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5.xml" ContentType="application/vnd.openxmlformats-officedocument.drawingml.chartshapes+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drawings/drawing18.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2.xml" ContentType="application/vnd.openxmlformats-officedocument.drawing+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3.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6.xml" ContentType="application/vnd.openxmlformats-officedocument.drawing+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7.xml" ContentType="application/vnd.openxmlformats-officedocument.drawing+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0.xml" ContentType="application/vnd.openxmlformats-officedocument.drawingml.chartshapes+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2.xml" ContentType="application/vnd.openxmlformats-officedocument.drawingml.chart+xml"/>
  <Override PartName="/xl/drawings/drawing33.xml" ContentType="application/vnd.openxmlformats-officedocument.drawingml.chartshapes+xml"/>
  <Override PartName="/xl/charts/chart23.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7.xml" ContentType="application/vnd.openxmlformats-officedocument.drawing+xml"/>
  <Override PartName="/xl/charts/chart2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42.xml" ContentType="application/vnd.openxmlformats-officedocument.drawing+xml"/>
  <Override PartName="/xl/charts/chart5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3.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44.xml" ContentType="application/vnd.openxmlformats-officedocument.drawing+xml"/>
  <Override PartName="/xl/charts/chart6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5.xml" ContentType="application/vnd.openxmlformats-officedocument.drawing+xml"/>
  <Override PartName="/xl/charts/chart65.xml" ContentType="application/vnd.openxmlformats-officedocument.drawingml.chart+xml"/>
  <Override PartName="/xl/charts/style24.xml" ContentType="application/vnd.ms-office.chartstyle+xml"/>
  <Override PartName="/xl/charts/colors24.xml" ContentType="application/vnd.ms-office.chartcolorstyle+xml"/>
  <Override PartName="/xl/charts/chart6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6.xml" ContentType="application/vnd.openxmlformats-officedocument.drawing+xml"/>
  <Override PartName="/xl/charts/chart67.xml" ContentType="application/vnd.openxmlformats-officedocument.drawingml.chart+xml"/>
  <Override PartName="/xl/drawings/drawing47.xml" ContentType="application/vnd.openxmlformats-officedocument.drawingml.chartshapes+xml"/>
  <Override PartName="/xl/charts/chart6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style27.xml" ContentType="application/vnd.ms-office.chartstyle+xml"/>
  <Override PartName="/xl/charts/colors27.xml" ContentType="application/vnd.ms-office.chartcolorstyle+xml"/>
  <Override PartName="/xl/charts/chart7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0.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style29.xml" ContentType="application/vnd.ms-office.chartstyle+xml"/>
  <Override PartName="/xl/charts/colors29.xml" ContentType="application/vnd.ms-office.chartcolorstyle+xml"/>
  <Override PartName="/xl/charts/chart7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1.xml" ContentType="application/vnd.openxmlformats-officedocument.drawing+xml"/>
  <Override PartName="/xl/charts/chart77.xml" ContentType="application/vnd.openxmlformats-officedocument.drawingml.chart+xml"/>
  <Override PartName="/xl/charts/style31.xml" ContentType="application/vnd.ms-office.chartstyle+xml"/>
  <Override PartName="/xl/charts/colors31.xml" ContentType="application/vnd.ms-office.chartcolorstyle+xml"/>
  <Override PartName="/xl/charts/chart78.xml" ContentType="application/vnd.openxmlformats-officedocument.drawingml.chart+xml"/>
  <Override PartName="/xl/charts/style32.xml" ContentType="application/vnd.ms-office.chartstyle+xml"/>
  <Override PartName="/xl/charts/colors32.xml" ContentType="application/vnd.ms-office.chartcolorstyle+xml"/>
  <Override PartName="/xl/charts/chart79.xml" ContentType="application/vnd.openxmlformats-officedocument.drawingml.chart+xml"/>
  <Override PartName="/xl/charts/style33.xml" ContentType="application/vnd.ms-office.chartstyle+xml"/>
  <Override PartName="/xl/charts/colors33.xml" ContentType="application/vnd.ms-office.chartcolorstyle+xml"/>
  <Override PartName="/xl/charts/chart8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2.xml" ContentType="application/vnd.openxmlformats-officedocument.drawing+xml"/>
  <Override PartName="/xl/charts/chart8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3.xml" ContentType="application/vnd.openxmlformats-officedocument.drawingml.chartshapes+xml"/>
  <Override PartName="/xl/charts/chart8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83.xml" ContentType="application/vnd.openxmlformats-officedocument.drawingml.chart+xml"/>
  <Override PartName="/xl/charts/style37.xml" ContentType="application/vnd.ms-office.chartstyle+xml"/>
  <Override PartName="/xl/charts/colors37.xml" ContentType="application/vnd.ms-office.chartcolorstyle+xml"/>
  <Override PartName="/xl/charts/chart8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6.xml" ContentType="application/vnd.openxmlformats-officedocument.drawing+xml"/>
  <Override PartName="/xl/charts/chart85.xml" ContentType="application/vnd.openxmlformats-officedocument.drawingml.chart+xml"/>
  <Override PartName="/xl/charts/style39.xml" ContentType="application/vnd.ms-office.chartstyle+xml"/>
  <Override PartName="/xl/charts/colors39.xml" ContentType="application/vnd.ms-office.chartcolorstyle+xml"/>
  <Override PartName="/xl/charts/chart86.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7.xml" ContentType="application/vnd.openxmlformats-officedocument.drawing+xml"/>
  <Override PartName="/xl/charts/chart87.xml" ContentType="application/vnd.openxmlformats-officedocument.drawingml.chart+xml"/>
  <Override PartName="/xl/charts/style41.xml" ContentType="application/vnd.ms-office.chartstyle+xml"/>
  <Override PartName="/xl/charts/colors41.xml" ContentType="application/vnd.ms-office.chartcolorstyle+xml"/>
  <Override PartName="/xl/charts/chart88.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8.xml" ContentType="application/vnd.openxmlformats-officedocument.drawing+xml"/>
  <Override PartName="/xl/charts/chart89.xml" ContentType="application/vnd.openxmlformats-officedocument.drawingml.chart+xml"/>
  <Override PartName="/xl/charts/style43.xml" ContentType="application/vnd.ms-office.chartstyle+xml"/>
  <Override PartName="/xl/charts/colors43.xml" ContentType="application/vnd.ms-office.chartcolorstyle+xml"/>
  <Override PartName="/xl/charts/chart90.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9.xml" ContentType="application/vnd.openxmlformats-officedocument.drawing+xml"/>
  <Override PartName="/xl/charts/chart91.xml" ContentType="application/vnd.openxmlformats-officedocument.drawingml.chart+xml"/>
  <Override PartName="/xl/charts/style45.xml" ContentType="application/vnd.ms-office.chartstyle+xml"/>
  <Override PartName="/xl/charts/colors45.xml" ContentType="application/vnd.ms-office.chartcolorstyle+xml"/>
  <Override PartName="/xl/charts/chart92.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0.xml" ContentType="application/vnd.openxmlformats-officedocument.drawing+xml"/>
  <Override PartName="/xl/charts/chart93.xml" ContentType="application/vnd.openxmlformats-officedocument.drawingml.chart+xml"/>
  <Override PartName="/xl/charts/style47.xml" ContentType="application/vnd.ms-office.chartstyle+xml"/>
  <Override PartName="/xl/charts/colors47.xml" ContentType="application/vnd.ms-office.chartcolorstyle+xml"/>
  <Override PartName="/xl/charts/chart94.xml" ContentType="application/vnd.openxmlformats-officedocument.drawingml.chart+xml"/>
  <Override PartName="/xl/charts/style48.xml" ContentType="application/vnd.ms-office.chartstyle+xml"/>
  <Override PartName="/xl/charts/colors4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howInkAnnotation="0"/>
  <mc:AlternateContent xmlns:mc="http://schemas.openxmlformats.org/markup-compatibility/2006">
    <mc:Choice Requires="x15">
      <x15ac:absPath xmlns:x15ac="http://schemas.microsoft.com/office/spreadsheetml/2010/11/ac" url="C:\Users\Milena Mira\Desktop\Mem 2023\"/>
    </mc:Choice>
  </mc:AlternateContent>
  <xr:revisionPtr revIDLastSave="0" documentId="13_ncr:1_{EF3E29D4-79AB-4160-B1F6-B0B5F1D1B374}" xr6:coauthVersionLast="47" xr6:coauthVersionMax="47" xr10:uidLastSave="{00000000-0000-0000-0000-000000000000}"/>
  <bookViews>
    <workbookView xWindow="-120" yWindow="-120" windowWidth="29040" windowHeight="15720" tabRatio="891" xr2:uid="{00000000-000D-0000-FFFF-FFFF00000000}"/>
  </bookViews>
  <sheets>
    <sheet name="INDICE" sheetId="101" r:id="rId1"/>
    <sheet name="PROLOGO" sheetId="20" r:id="rId2"/>
    <sheet name="CAP I INF. BASICA" sheetId="115" r:id="rId3"/>
    <sheet name="2" sheetId="117" r:id="rId4"/>
    <sheet name="3" sheetId="116" r:id="rId5"/>
    <sheet name="4" sheetId="5" r:id="rId6"/>
    <sheet name="5" sheetId="6" r:id="rId7"/>
    <sheet name="6" sheetId="10" r:id="rId8"/>
    <sheet name="7" sheetId="22" r:id="rId9"/>
    <sheet name="8" sheetId="11" r:id="rId10"/>
    <sheet name="9" sheetId="12" r:id="rId11"/>
    <sheet name="10" sheetId="13" r:id="rId12"/>
    <sheet name="11" sheetId="21" r:id="rId13"/>
    <sheet name="12" sheetId="14" r:id="rId14"/>
    <sheet name="13" sheetId="15" r:id="rId15"/>
    <sheet name="14" sheetId="120" r:id="rId16"/>
    <sheet name="15" sheetId="121" r:id="rId17"/>
    <sheet name="CAP II  IND BIODEM" sheetId="118" r:id="rId18"/>
    <sheet name="18" sheetId="30" r:id="rId19"/>
    <sheet name="19" sheetId="31" r:id="rId20"/>
    <sheet name="20" sheetId="32" r:id="rId21"/>
    <sheet name="21" sheetId="33" r:id="rId22"/>
    <sheet name="22" sheetId="34" r:id="rId23"/>
    <sheet name="23" sheetId="35" r:id="rId24"/>
    <sheet name="24" sheetId="36" r:id="rId25"/>
    <sheet name="25" sheetId="37" r:id="rId26"/>
    <sheet name="26" sheetId="38" r:id="rId27"/>
    <sheet name="27" sheetId="39" r:id="rId28"/>
    <sheet name="28" sheetId="106" r:id="rId29"/>
    <sheet name="29" sheetId="40" r:id="rId30"/>
    <sheet name="30" sheetId="41" r:id="rId31"/>
    <sheet name="31" sheetId="113" r:id="rId32"/>
    <sheet name="CAP III ACTIVIDADES" sheetId="119" r:id="rId33"/>
    <sheet name="34" sheetId="43" r:id="rId34"/>
    <sheet name="35" sheetId="44" r:id="rId35"/>
    <sheet name="36" sheetId="45" r:id="rId36"/>
    <sheet name="37" sheetId="46" r:id="rId37"/>
    <sheet name="38" sheetId="47" r:id="rId38"/>
    <sheet name="39" sheetId="48" r:id="rId39"/>
    <sheet name="40" sheetId="49" r:id="rId40"/>
    <sheet name="41" sheetId="50" r:id="rId41"/>
    <sheet name="42" sheetId="51" r:id="rId42"/>
    <sheet name="43" sheetId="52" r:id="rId43"/>
    <sheet name="44" sheetId="53" r:id="rId44"/>
    <sheet name="45" sheetId="54" r:id="rId45"/>
    <sheet name="46" sheetId="55" r:id="rId46"/>
    <sheet name="47" sheetId="56" r:id="rId47"/>
    <sheet name="48" sheetId="57" r:id="rId48"/>
    <sheet name="49" sheetId="58" r:id="rId49"/>
    <sheet name="50" sheetId="59" r:id="rId50"/>
    <sheet name="51" sheetId="60" r:id="rId51"/>
    <sheet name="52" sheetId="61" r:id="rId52"/>
    <sheet name="53" sheetId="62" r:id="rId53"/>
    <sheet name="54" sheetId="112" r:id="rId54"/>
    <sheet name="55" sheetId="63" r:id="rId55"/>
    <sheet name="56" sheetId="64" r:id="rId56"/>
    <sheet name="57" sheetId="110" r:id="rId57"/>
    <sheet name="58" sheetId="102" r:id="rId58"/>
    <sheet name="60" sheetId="66" r:id="rId59"/>
    <sheet name="61" sheetId="67" r:id="rId60"/>
    <sheet name="62" sheetId="68" r:id="rId61"/>
    <sheet name="63" sheetId="70" r:id="rId62"/>
    <sheet name="64" sheetId="71" r:id="rId63"/>
    <sheet name="65" sheetId="111" r:id="rId64"/>
    <sheet name="66" sheetId="72" r:id="rId65"/>
    <sheet name="67" sheetId="73" r:id="rId66"/>
    <sheet name="68" sheetId="74" r:id="rId67"/>
    <sheet name="69" sheetId="75" r:id="rId68"/>
    <sheet name="70" sheetId="76" r:id="rId69"/>
    <sheet name="71" sheetId="77" r:id="rId70"/>
    <sheet name="72" sheetId="78" r:id="rId71"/>
    <sheet name="73" sheetId="79" r:id="rId72"/>
    <sheet name="74" sheetId="80" r:id="rId73"/>
    <sheet name="75" sheetId="114" r:id="rId74"/>
    <sheet name="76" sheetId="81" r:id="rId75"/>
    <sheet name="77" sheetId="107" r:id="rId76"/>
    <sheet name="78" sheetId="82" r:id="rId77"/>
    <sheet name="79" sheetId="109" r:id="rId78"/>
    <sheet name="80" sheetId="83" r:id="rId79"/>
    <sheet name="81" sheetId="84" r:id="rId80"/>
    <sheet name="82" sheetId="85" r:id="rId81"/>
    <sheet name="83" sheetId="86" r:id="rId82"/>
    <sheet name="84" sheetId="87" r:id="rId83"/>
    <sheet name="85" sheetId="88" r:id="rId84"/>
    <sheet name="86" sheetId="89" r:id="rId85"/>
    <sheet name="87" sheetId="90" r:id="rId86"/>
    <sheet name="88" sheetId="91" r:id="rId87"/>
    <sheet name="89" sheetId="92" r:id="rId88"/>
    <sheet name="90" sheetId="93" r:id="rId89"/>
    <sheet name="91" sheetId="94" r:id="rId90"/>
    <sheet name="92" sheetId="95" r:id="rId91"/>
    <sheet name="93" sheetId="96" r:id="rId92"/>
    <sheet name="94" sheetId="97" r:id="rId93"/>
    <sheet name="95" sheetId="98" r:id="rId94"/>
    <sheet name="GLOSARIO" sheetId="100" r:id="rId95"/>
  </sheets>
  <externalReferences>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s>
  <definedNames>
    <definedName name="_xlnm._FilterDatabase" localSheetId="29" hidden="1">'29'!$A$45:$T$62</definedName>
    <definedName name="_xlnm._FilterDatabase" localSheetId="89" hidden="1">'91'!$E$41:$W$60</definedName>
    <definedName name="_R" localSheetId="28">'74'!#REF!</definedName>
    <definedName name="_R" localSheetId="31">'74'!#REF!</definedName>
    <definedName name="_R" localSheetId="56">'74'!#REF!</definedName>
    <definedName name="_R" localSheetId="57">'74'!#REF!</definedName>
    <definedName name="_R" localSheetId="63">'74'!#REF!</definedName>
    <definedName name="_R" localSheetId="74">'76'!#REF!</definedName>
    <definedName name="_R" localSheetId="75">'77'!#REF!</definedName>
    <definedName name="_R" localSheetId="76">'78'!#REF!</definedName>
    <definedName name="_R" localSheetId="78">'80'!#REF!</definedName>
    <definedName name="_R" localSheetId="79">'81'!#REF!</definedName>
    <definedName name="_R" localSheetId="80">'82'!#REF!</definedName>
    <definedName name="_Regression_Int" localSheetId="72" hidden="1">1</definedName>
    <definedName name="_Regression_Int" localSheetId="73" hidden="1">1</definedName>
    <definedName name="_Regression_Int" localSheetId="74" hidden="1">1</definedName>
    <definedName name="_Regression_Int" localSheetId="75" hidden="1">1</definedName>
    <definedName name="_Regression_Int" localSheetId="76" hidden="1">1</definedName>
    <definedName name="_Regression_Int" localSheetId="78" hidden="1">1</definedName>
    <definedName name="_Regression_Int" localSheetId="79" hidden="1">1</definedName>
    <definedName name="_Regression_Int" localSheetId="80" hidden="1">1</definedName>
    <definedName name="A_impresión_IM" localSheetId="74">'76'!$A$1:$Y$27</definedName>
    <definedName name="A_impresión_IM" localSheetId="75">'77'!$A$1:$Y$4</definedName>
    <definedName name="A_impresión_IM" localSheetId="76">'78'!$A$1:$Y$27</definedName>
    <definedName name="A_impresión_IM" localSheetId="78">'80'!$A$1:$Y$27</definedName>
    <definedName name="A_impresión_IM" localSheetId="79">'81'!$A$1:$Y$27</definedName>
    <definedName name="A_impresión_IM" localSheetId="80">'82'!$A$1:$Y$27</definedName>
    <definedName name="_xlnm.Print_Area" localSheetId="11">'10'!$A$62:$F$116</definedName>
    <definedName name="_xlnm.Print_Area" localSheetId="13">'12'!$A$1:$I$53</definedName>
    <definedName name="_xlnm.Print_Area" localSheetId="14">'13'!$A$1:$F$59</definedName>
    <definedName name="_xlnm.Print_Area" localSheetId="29">'29'!$A$1:$T$25</definedName>
    <definedName name="_xlnm.Print_Area" localSheetId="33">'34'!$A$1:$V$35</definedName>
    <definedName name="_xlnm.Print_Area" localSheetId="37">'38'!$A$1:$K$36</definedName>
    <definedName name="_xlnm.Print_Area" localSheetId="7">'6'!$A$1:$G$55</definedName>
    <definedName name="_xlnm.Print_Area" localSheetId="59">'61'!$A$1:$H$279</definedName>
    <definedName name="_xlnm.Print_Area" localSheetId="64">'66'!$A$51:$I$107</definedName>
    <definedName name="_xlnm.Print_Area" localSheetId="67">'69'!$A$1:$H$64</definedName>
    <definedName name="_xlnm.Print_Area" localSheetId="68">'70'!$A$1:$J$81</definedName>
    <definedName name="_xlnm.Print_Area" localSheetId="69">'71'!$A$1:$J$127</definedName>
    <definedName name="_xlnm.Print_Area" localSheetId="71">'73'!$A$1:$M$71</definedName>
    <definedName name="_xlnm.Print_Area" localSheetId="76">'78'!$A$1:$Y$27</definedName>
    <definedName name="_xlnm.Print_Area" localSheetId="78">'80'!$A$1:$Y$27</definedName>
    <definedName name="_xlnm.Print_Area" localSheetId="79">'81'!$A$1:$Y$27</definedName>
    <definedName name="_xlnm.Print_Area" localSheetId="80">'82'!$A$1:$Y$35</definedName>
    <definedName name="_xlnm.Print_Area" localSheetId="81">'83'!$A$1:$H$72</definedName>
    <definedName name="_xlnm.Print_Area" localSheetId="82">'84'!$A$1:$H$70</definedName>
    <definedName name="_xlnm.Print_Area" localSheetId="83">'85'!$A$1:$H$71</definedName>
    <definedName name="_xlnm.Print_Area" localSheetId="84">'86'!$A$1:$H$71</definedName>
    <definedName name="_xlnm.Print_Area" localSheetId="85">'87'!$A$1:$H$71</definedName>
    <definedName name="_xlnm.Print_Area" localSheetId="86">'88'!$A$1:$H$72</definedName>
    <definedName name="_xlnm.Print_Area" localSheetId="17">'CAP II  IND BIODEM'!$A$1:$K$67</definedName>
    <definedName name="_xlnm.Print_Area" localSheetId="32">'CAP III ACTIVIDADES'!$A$1:$K$97</definedName>
    <definedName name="_xlnm.Print_Area" localSheetId="94">GLOSARIO!$A$1:$D$79</definedName>
    <definedName name="hola" localSheetId="28">'[1]1990'!#REF!</definedName>
    <definedName name="hola" localSheetId="31">'[1]1990'!#REF!</definedName>
    <definedName name="hola" localSheetId="56">'[1]1990'!#REF!</definedName>
    <definedName name="hola" localSheetId="57">'[1]1990'!#REF!</definedName>
    <definedName name="hola" localSheetId="63">'[1]1990'!#REF!</definedName>
    <definedName name="hola" localSheetId="75">'[1]1990'!#REF!</definedName>
    <definedName name="tabla" localSheetId="28">'[1]1990'!#REF!</definedName>
    <definedName name="tabla" localSheetId="31">'[1]1990'!#REF!</definedName>
    <definedName name="tabla" localSheetId="56">'[1]1990'!#REF!</definedName>
    <definedName name="tabla" localSheetId="57">'[1]1990'!#REF!</definedName>
    <definedName name="tabla" localSheetId="63">'[1]1990'!#REF!</definedName>
    <definedName name="tabla" localSheetId="75">'[1]1990'!#REF!</definedName>
    <definedName name="TOTAL" localSheetId="74">'76'!$AE$2:$AE$40</definedName>
    <definedName name="TOTAL" localSheetId="75">'77'!$AE$2:$AE$29</definedName>
    <definedName name="TOTAL" localSheetId="76">'78'!$AE$2:$AE$52</definedName>
    <definedName name="TOTAL" localSheetId="78">'80'!$AE$2:$AE$52</definedName>
    <definedName name="TOTAL" localSheetId="79">'81'!$AE$2:$AE$52</definedName>
    <definedName name="TOTAL" localSheetId="80">'82'!$AE$2:$AE$57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 i="72" l="1"/>
  <c r="AG41" i="59"/>
  <c r="AG42" i="59"/>
  <c r="AG43" i="59"/>
  <c r="AG44" i="59"/>
  <c r="AG45" i="59"/>
  <c r="AG46" i="59"/>
  <c r="AG47" i="59"/>
  <c r="AG48" i="59"/>
  <c r="AG49" i="59"/>
  <c r="Z41" i="54"/>
  <c r="Y41" i="54"/>
  <c r="X41" i="54"/>
  <c r="W41" i="54"/>
  <c r="V41" i="54"/>
  <c r="U41" i="54"/>
  <c r="T41" i="54"/>
  <c r="S41" i="54"/>
  <c r="R41" i="54"/>
  <c r="Q41" i="54"/>
  <c r="P41" i="54"/>
  <c r="O41" i="54"/>
  <c r="N41" i="54"/>
  <c r="M41" i="54"/>
  <c r="L41" i="54"/>
  <c r="K41" i="54"/>
  <c r="J41" i="54"/>
  <c r="I41" i="54"/>
  <c r="H41" i="54"/>
  <c r="G41" i="54"/>
  <c r="F41" i="54"/>
  <c r="Z37" i="54"/>
  <c r="Y37" i="54"/>
  <c r="X37" i="54"/>
  <c r="W37" i="54"/>
  <c r="V37" i="54"/>
  <c r="U37" i="54"/>
  <c r="T37" i="54"/>
  <c r="S37" i="54"/>
  <c r="R37" i="54"/>
  <c r="Q37" i="54"/>
  <c r="P37" i="54"/>
  <c r="O37" i="54"/>
  <c r="N37" i="54"/>
  <c r="M37" i="54"/>
  <c r="L37" i="54"/>
  <c r="K37" i="54"/>
  <c r="J37" i="54"/>
  <c r="I37" i="54"/>
  <c r="H37" i="54"/>
  <c r="G37" i="54"/>
  <c r="F37" i="54"/>
  <c r="Z31" i="54"/>
  <c r="Y31" i="54"/>
  <c r="X31" i="54"/>
  <c r="W31" i="54"/>
  <c r="V31" i="54"/>
  <c r="U31" i="54"/>
  <c r="T31" i="54"/>
  <c r="S31" i="54"/>
  <c r="R31" i="54"/>
  <c r="Q31" i="54"/>
  <c r="P31" i="54"/>
  <c r="O31" i="54"/>
  <c r="N31" i="54"/>
  <c r="M31" i="54"/>
  <c r="L31" i="54"/>
  <c r="K31" i="54"/>
  <c r="J31" i="54"/>
  <c r="I31" i="54"/>
  <c r="H31" i="54"/>
  <c r="G31" i="54"/>
  <c r="F31" i="54"/>
  <c r="Z23" i="54"/>
  <c r="Y23" i="54"/>
  <c r="X23" i="54"/>
  <c r="W23" i="54"/>
  <c r="V23" i="54"/>
  <c r="U23" i="54"/>
  <c r="T23" i="54"/>
  <c r="S23" i="54"/>
  <c r="R23" i="54"/>
  <c r="Q23" i="54"/>
  <c r="P23" i="54"/>
  <c r="O23" i="54"/>
  <c r="N23" i="54"/>
  <c r="M23" i="54"/>
  <c r="L23" i="54"/>
  <c r="K23" i="54"/>
  <c r="J23" i="54"/>
  <c r="I23" i="54"/>
  <c r="H23" i="54"/>
  <c r="G23" i="54"/>
  <c r="F23" i="54"/>
  <c r="Z21" i="54"/>
  <c r="Y21" i="54"/>
  <c r="X21" i="54"/>
  <c r="W21" i="54"/>
  <c r="V21" i="54"/>
  <c r="U21" i="54"/>
  <c r="T21" i="54"/>
  <c r="S21" i="54"/>
  <c r="R21" i="54"/>
  <c r="Q21" i="54"/>
  <c r="P21" i="54"/>
  <c r="O21" i="54"/>
  <c r="N21" i="54"/>
  <c r="M21" i="54"/>
  <c r="L21" i="54"/>
  <c r="K21" i="54"/>
  <c r="J21" i="54"/>
  <c r="I21" i="54"/>
  <c r="H21" i="54"/>
  <c r="G21" i="54"/>
  <c r="F21" i="54"/>
  <c r="Z18" i="54"/>
  <c r="Y18" i="54"/>
  <c r="X18" i="54"/>
  <c r="W18" i="54"/>
  <c r="V18" i="54"/>
  <c r="U18" i="54"/>
  <c r="T18" i="54"/>
  <c r="S18" i="54"/>
  <c r="R18" i="54"/>
  <c r="Q18" i="54"/>
  <c r="P18" i="54"/>
  <c r="O18" i="54"/>
  <c r="N18" i="54"/>
  <c r="M18" i="54"/>
  <c r="L18" i="54"/>
  <c r="K18" i="54"/>
  <c r="J18" i="54"/>
  <c r="I18" i="54"/>
  <c r="H18" i="54"/>
  <c r="G18" i="54"/>
  <c r="F18" i="54"/>
  <c r="Z14" i="54" l="1"/>
  <c r="Y14" i="54"/>
  <c r="X14" i="54"/>
  <c r="W14" i="54"/>
  <c r="V14" i="54"/>
  <c r="U14" i="54"/>
  <c r="T14" i="54"/>
  <c r="S14" i="54"/>
  <c r="R14" i="54"/>
  <c r="Q14" i="54"/>
  <c r="P14" i="54"/>
  <c r="O14" i="54"/>
  <c r="N14" i="54"/>
  <c r="M14" i="54"/>
  <c r="L14" i="54"/>
  <c r="K14" i="54"/>
  <c r="J14" i="54"/>
  <c r="I14" i="54"/>
  <c r="H14" i="54"/>
  <c r="G14" i="54"/>
  <c r="F14" i="54"/>
  <c r="V49" i="53"/>
  <c r="U49" i="53"/>
  <c r="T49" i="53"/>
  <c r="S49" i="53"/>
  <c r="R49" i="53"/>
  <c r="Q49" i="53"/>
  <c r="P49" i="53"/>
  <c r="O49" i="53"/>
  <c r="J49" i="53"/>
  <c r="I49" i="53"/>
  <c r="H49" i="53"/>
  <c r="G49" i="53"/>
  <c r="Z48" i="53"/>
  <c r="Z49" i="53" s="1"/>
  <c r="Y48" i="53"/>
  <c r="Y49" i="53" s="1"/>
  <c r="X48" i="53"/>
  <c r="X49" i="53" s="1"/>
  <c r="W48" i="53"/>
  <c r="W49" i="53" s="1"/>
  <c r="V48" i="53"/>
  <c r="U48" i="53"/>
  <c r="T48" i="53"/>
  <c r="S48" i="53"/>
  <c r="R48" i="53"/>
  <c r="Q48" i="53"/>
  <c r="P48" i="53"/>
  <c r="O48" i="53"/>
  <c r="N48" i="53"/>
  <c r="N49" i="53" s="1"/>
  <c r="M48" i="53"/>
  <c r="M49" i="53" s="1"/>
  <c r="L48" i="53"/>
  <c r="L49" i="53" s="1"/>
  <c r="K48" i="53"/>
  <c r="K49" i="53" s="1"/>
  <c r="J48" i="53"/>
  <c r="I48" i="53"/>
  <c r="H48" i="53"/>
  <c r="G48" i="53"/>
  <c r="Z47" i="53"/>
  <c r="Y47" i="53"/>
  <c r="X47" i="53"/>
  <c r="W47" i="53"/>
  <c r="V47" i="53"/>
  <c r="U47" i="53"/>
  <c r="T47" i="53"/>
  <c r="S47" i="53"/>
  <c r="R47" i="53"/>
  <c r="Q47" i="53"/>
  <c r="P47" i="53"/>
  <c r="O47" i="53"/>
  <c r="N47" i="53"/>
  <c r="M47" i="53"/>
  <c r="L47" i="53"/>
  <c r="K47" i="53"/>
  <c r="J47" i="53"/>
  <c r="I47" i="53"/>
  <c r="H47" i="53"/>
  <c r="G47" i="53"/>
  <c r="Z41" i="53"/>
  <c r="Y41" i="53"/>
  <c r="X41" i="53"/>
  <c r="W41" i="53"/>
  <c r="V41" i="53"/>
  <c r="U41" i="53"/>
  <c r="T41" i="53"/>
  <c r="S41" i="53"/>
  <c r="R41" i="53"/>
  <c r="Q41" i="53"/>
  <c r="P41" i="53"/>
  <c r="O41" i="53"/>
  <c r="N41" i="53"/>
  <c r="M41" i="53"/>
  <c r="L41" i="53"/>
  <c r="K41" i="53"/>
  <c r="J41" i="53"/>
  <c r="I41" i="53"/>
  <c r="H41" i="53"/>
  <c r="G41" i="53"/>
  <c r="F41" i="53"/>
  <c r="Z37" i="53"/>
  <c r="Y37" i="53"/>
  <c r="X37" i="53"/>
  <c r="W37" i="53"/>
  <c r="V37" i="53"/>
  <c r="U37" i="53"/>
  <c r="T37" i="53"/>
  <c r="S37" i="53"/>
  <c r="R37" i="53"/>
  <c r="Q37" i="53"/>
  <c r="P37" i="53"/>
  <c r="O37" i="53"/>
  <c r="N37" i="53"/>
  <c r="M37" i="53"/>
  <c r="L37" i="53"/>
  <c r="K37" i="53"/>
  <c r="J37" i="53"/>
  <c r="I37" i="53"/>
  <c r="H37" i="53"/>
  <c r="G37" i="53"/>
  <c r="F37" i="53"/>
  <c r="Z31" i="53"/>
  <c r="Y31" i="53"/>
  <c r="X31" i="53"/>
  <c r="W31" i="53"/>
  <c r="V31" i="53"/>
  <c r="U31" i="53"/>
  <c r="T31" i="53"/>
  <c r="S31" i="53"/>
  <c r="R31" i="53"/>
  <c r="Q31" i="53"/>
  <c r="P31" i="53"/>
  <c r="O31" i="53"/>
  <c r="N31" i="53"/>
  <c r="M31" i="53"/>
  <c r="L31" i="53"/>
  <c r="K31" i="53"/>
  <c r="J31" i="53"/>
  <c r="I31" i="53"/>
  <c r="H31" i="53"/>
  <c r="G31" i="53"/>
  <c r="F31" i="53"/>
  <c r="Z23" i="53"/>
  <c r="Y23" i="53"/>
  <c r="X23" i="53"/>
  <c r="W23" i="53"/>
  <c r="V23" i="53"/>
  <c r="U23" i="53"/>
  <c r="T23" i="53"/>
  <c r="S23" i="53"/>
  <c r="R23" i="53"/>
  <c r="Q23" i="53"/>
  <c r="P23" i="53"/>
  <c r="O23" i="53"/>
  <c r="N23" i="53"/>
  <c r="M23" i="53"/>
  <c r="L23" i="53"/>
  <c r="K23" i="53"/>
  <c r="J23" i="53"/>
  <c r="I23" i="53"/>
  <c r="H23" i="53"/>
  <c r="G23" i="53"/>
  <c r="F23" i="53"/>
  <c r="Z21" i="53"/>
  <c r="Y21" i="53"/>
  <c r="X21" i="53"/>
  <c r="W21" i="53"/>
  <c r="V21" i="53"/>
  <c r="U21" i="53"/>
  <c r="T21" i="53"/>
  <c r="S21" i="53"/>
  <c r="R21" i="53"/>
  <c r="Q21" i="53"/>
  <c r="P21" i="53"/>
  <c r="O21" i="53"/>
  <c r="N21" i="53"/>
  <c r="M21" i="53"/>
  <c r="L21" i="53"/>
  <c r="K21" i="53"/>
  <c r="J21" i="53"/>
  <c r="I21" i="53"/>
  <c r="H21" i="53"/>
  <c r="G21" i="53"/>
  <c r="F21" i="53"/>
  <c r="Z18" i="53"/>
  <c r="Y18" i="53"/>
  <c r="X18" i="53"/>
  <c r="W18" i="53"/>
  <c r="V18" i="53"/>
  <c r="U18" i="53"/>
  <c r="T18" i="53"/>
  <c r="S18" i="53"/>
  <c r="R18" i="53"/>
  <c r="Q18" i="53"/>
  <c r="P18" i="53"/>
  <c r="O18" i="53"/>
  <c r="N18" i="53"/>
  <c r="M18" i="53"/>
  <c r="L18" i="53"/>
  <c r="K18" i="53"/>
  <c r="J18" i="53"/>
  <c r="I18" i="53"/>
  <c r="H18" i="53"/>
  <c r="G18" i="53"/>
  <c r="F18" i="53"/>
  <c r="Z14" i="53"/>
  <c r="Y14" i="53"/>
  <c r="X14" i="53"/>
  <c r="W14" i="53"/>
  <c r="V14" i="53"/>
  <c r="U14" i="53"/>
  <c r="T14" i="53"/>
  <c r="S14" i="53"/>
  <c r="R14" i="53"/>
  <c r="Q14" i="53"/>
  <c r="P14" i="53"/>
  <c r="O14" i="53"/>
  <c r="N14" i="53"/>
  <c r="M14" i="53"/>
  <c r="L14" i="53"/>
  <c r="K14" i="53"/>
  <c r="J14" i="53"/>
  <c r="I14" i="53"/>
  <c r="H14" i="53"/>
  <c r="G14" i="53"/>
  <c r="F14" i="53"/>
  <c r="N41" i="52" l="1"/>
  <c r="M41" i="52"/>
  <c r="L41" i="52"/>
  <c r="K41" i="52"/>
  <c r="J41" i="52"/>
  <c r="I41" i="52"/>
  <c r="H41" i="52"/>
  <c r="G41" i="52"/>
  <c r="F41" i="52"/>
  <c r="N37" i="52"/>
  <c r="M37" i="52"/>
  <c r="L37" i="52"/>
  <c r="K37" i="52"/>
  <c r="J37" i="52"/>
  <c r="I37" i="52"/>
  <c r="H37" i="52"/>
  <c r="H48" i="52" s="1"/>
  <c r="G37" i="52"/>
  <c r="G48" i="52" s="1"/>
  <c r="F37" i="52"/>
  <c r="F48" i="52" s="1"/>
  <c r="N31" i="52"/>
  <c r="M31" i="52"/>
  <c r="L31" i="52"/>
  <c r="K31" i="52"/>
  <c r="J31" i="52"/>
  <c r="I31" i="52"/>
  <c r="H31" i="52"/>
  <c r="G31" i="52"/>
  <c r="F31" i="52"/>
  <c r="N23" i="52"/>
  <c r="M23" i="52"/>
  <c r="L23" i="52"/>
  <c r="K23" i="52"/>
  <c r="J23" i="52"/>
  <c r="I23" i="52"/>
  <c r="H23" i="52"/>
  <c r="G23" i="52"/>
  <c r="F23" i="52"/>
  <c r="N21" i="52"/>
  <c r="M21" i="52"/>
  <c r="L21" i="52"/>
  <c r="K21" i="52"/>
  <c r="J21" i="52"/>
  <c r="I21" i="52"/>
  <c r="H21" i="52"/>
  <c r="G21" i="52"/>
  <c r="F21" i="52"/>
  <c r="N18" i="52"/>
  <c r="M18" i="52"/>
  <c r="L18" i="52"/>
  <c r="K18" i="52"/>
  <c r="J18" i="52"/>
  <c r="I18" i="52"/>
  <c r="H18" i="52"/>
  <c r="G18" i="52"/>
  <c r="F18" i="52"/>
  <c r="Z14" i="52"/>
  <c r="Y14" i="52"/>
  <c r="X14" i="52"/>
  <c r="W14" i="52"/>
  <c r="V14" i="52"/>
  <c r="U14" i="52"/>
  <c r="U23" i="52" s="1"/>
  <c r="U49" i="52" s="1"/>
  <c r="T14" i="52"/>
  <c r="T23" i="52" s="1"/>
  <c r="T49" i="52" s="1"/>
  <c r="S14" i="52"/>
  <c r="S23" i="52" s="1"/>
  <c r="S49" i="52" s="1"/>
  <c r="R14" i="52"/>
  <c r="R23" i="52" s="1"/>
  <c r="R49" i="52" s="1"/>
  <c r="Q14" i="52"/>
  <c r="Q23" i="52" s="1"/>
  <c r="Q49" i="52" s="1"/>
  <c r="P14" i="52"/>
  <c r="P23" i="52" s="1"/>
  <c r="P49" i="52" s="1"/>
  <c r="O14" i="52"/>
  <c r="O23" i="52" s="1"/>
  <c r="O49" i="52" s="1"/>
  <c r="N14" i="52"/>
  <c r="M14" i="52"/>
  <c r="L14" i="52"/>
  <c r="K14" i="52"/>
  <c r="J14" i="52"/>
  <c r="I14" i="52"/>
  <c r="H14" i="52"/>
  <c r="G14" i="52"/>
  <c r="F14" i="52"/>
  <c r="Z49" i="52"/>
  <c r="Y49" i="52"/>
  <c r="X49" i="52"/>
  <c r="Z48" i="52"/>
  <c r="Y48" i="52"/>
  <c r="X48" i="52"/>
  <c r="W48" i="52"/>
  <c r="V48" i="52"/>
  <c r="U48" i="52"/>
  <c r="T48" i="52"/>
  <c r="S48" i="52"/>
  <c r="R48" i="52"/>
  <c r="Q48" i="52"/>
  <c r="P48" i="52"/>
  <c r="O48" i="52"/>
  <c r="N48" i="52"/>
  <c r="N49" i="52" s="1"/>
  <c r="M48" i="52"/>
  <c r="M49" i="52" s="1"/>
  <c r="L48" i="52"/>
  <c r="L49" i="52" s="1"/>
  <c r="Z47" i="52"/>
  <c r="Y47" i="52"/>
  <c r="X47" i="52"/>
  <c r="W47" i="52"/>
  <c r="V47" i="52"/>
  <c r="U47" i="52"/>
  <c r="T47" i="52"/>
  <c r="S47" i="52"/>
  <c r="R47" i="52"/>
  <c r="Q47" i="52"/>
  <c r="P47" i="52"/>
  <c r="O47" i="52"/>
  <c r="N47" i="52"/>
  <c r="M47" i="52"/>
  <c r="L47" i="52"/>
  <c r="K47" i="52"/>
  <c r="J47" i="52"/>
  <c r="I47" i="52"/>
  <c r="H47" i="52"/>
  <c r="G47" i="52"/>
  <c r="F47" i="52"/>
  <c r="Z41" i="52"/>
  <c r="Y41" i="52"/>
  <c r="X41" i="52"/>
  <c r="W41" i="52"/>
  <c r="V41" i="52"/>
  <c r="U41" i="52"/>
  <c r="T41" i="52"/>
  <c r="S41" i="52"/>
  <c r="R41" i="52"/>
  <c r="Q41" i="52"/>
  <c r="P41" i="52"/>
  <c r="O41" i="52"/>
  <c r="Z37" i="52"/>
  <c r="Y37" i="52"/>
  <c r="X37" i="52"/>
  <c r="W37" i="52"/>
  <c r="V37" i="52"/>
  <c r="U37" i="52"/>
  <c r="T37" i="52"/>
  <c r="S37" i="52"/>
  <c r="R37" i="52"/>
  <c r="Q37" i="52"/>
  <c r="P37" i="52"/>
  <c r="O37" i="52"/>
  <c r="Z31" i="52"/>
  <c r="Y31" i="52"/>
  <c r="X31" i="52"/>
  <c r="W31" i="52"/>
  <c r="V31" i="52"/>
  <c r="U31" i="52"/>
  <c r="T31" i="52"/>
  <c r="S31" i="52"/>
  <c r="R31" i="52"/>
  <c r="Q31" i="52"/>
  <c r="P31" i="52"/>
  <c r="O31" i="52"/>
  <c r="Z23" i="52"/>
  <c r="Y23" i="52"/>
  <c r="X23" i="52"/>
  <c r="W23" i="52"/>
  <c r="W49" i="52" s="1"/>
  <c r="V23" i="52"/>
  <c r="V49" i="52" s="1"/>
  <c r="Z21" i="52"/>
  <c r="Y21" i="52"/>
  <c r="X21" i="52"/>
  <c r="W21" i="52"/>
  <c r="V21" i="52"/>
  <c r="U21" i="52"/>
  <c r="T21" i="52"/>
  <c r="S21" i="52"/>
  <c r="R21" i="52"/>
  <c r="Q21" i="52"/>
  <c r="P21" i="52"/>
  <c r="O21" i="52"/>
  <c r="Z18" i="52"/>
  <c r="Y18" i="52"/>
  <c r="X18" i="52"/>
  <c r="W18" i="52"/>
  <c r="V18" i="52"/>
  <c r="U18" i="52"/>
  <c r="T18" i="52"/>
  <c r="S18" i="52"/>
  <c r="R18" i="52"/>
  <c r="Q18" i="52"/>
  <c r="P18" i="52"/>
  <c r="O18" i="52"/>
  <c r="Z41" i="51"/>
  <c r="Y41" i="51"/>
  <c r="X41" i="51"/>
  <c r="W41" i="51"/>
  <c r="V41" i="51"/>
  <c r="U41" i="51"/>
  <c r="T41" i="51"/>
  <c r="S41" i="51"/>
  <c r="R41" i="51"/>
  <c r="Q41" i="51"/>
  <c r="P41" i="51"/>
  <c r="O41" i="51"/>
  <c r="N41" i="51"/>
  <c r="M41" i="51"/>
  <c r="L41" i="51"/>
  <c r="K41" i="51"/>
  <c r="J41" i="51"/>
  <c r="I41" i="51"/>
  <c r="H41" i="51"/>
  <c r="G41" i="51"/>
  <c r="F41" i="51"/>
  <c r="Z37" i="51"/>
  <c r="Y37" i="51"/>
  <c r="X37" i="51"/>
  <c r="W37" i="51"/>
  <c r="V37" i="51"/>
  <c r="U37" i="51"/>
  <c r="T37" i="51"/>
  <c r="S37" i="51"/>
  <c r="R37" i="51"/>
  <c r="Q37" i="51"/>
  <c r="P37" i="51"/>
  <c r="O37" i="51"/>
  <c r="N37" i="51"/>
  <c r="M37" i="51"/>
  <c r="L37" i="51"/>
  <c r="K37" i="51"/>
  <c r="J37" i="51"/>
  <c r="I37" i="51"/>
  <c r="H37" i="51"/>
  <c r="G37" i="51"/>
  <c r="F37" i="51"/>
  <c r="Z31" i="51"/>
  <c r="Y31" i="51"/>
  <c r="X31" i="51"/>
  <c r="W31" i="51"/>
  <c r="V31" i="51"/>
  <c r="U31" i="51"/>
  <c r="T31" i="51"/>
  <c r="S31" i="51"/>
  <c r="R31" i="51"/>
  <c r="Q31" i="51"/>
  <c r="P31" i="51"/>
  <c r="O31" i="51"/>
  <c r="N31" i="51"/>
  <c r="M31" i="51"/>
  <c r="L31" i="51"/>
  <c r="K31" i="51"/>
  <c r="J31" i="51"/>
  <c r="I31" i="51"/>
  <c r="H31" i="51"/>
  <c r="G31" i="51"/>
  <c r="F31" i="51"/>
  <c r="Z23" i="51"/>
  <c r="Y23" i="51"/>
  <c r="X23" i="51"/>
  <c r="W23" i="51"/>
  <c r="V23" i="51"/>
  <c r="U23" i="51"/>
  <c r="T23" i="51"/>
  <c r="S23" i="51"/>
  <c r="R23" i="51"/>
  <c r="Q23" i="51"/>
  <c r="P23" i="51"/>
  <c r="O23" i="51"/>
  <c r="N23" i="51"/>
  <c r="M23" i="51"/>
  <c r="L23" i="51"/>
  <c r="K23" i="51"/>
  <c r="J23" i="51"/>
  <c r="I23" i="51"/>
  <c r="H23" i="51"/>
  <c r="G23" i="51"/>
  <c r="F23" i="51"/>
  <c r="Z21" i="51"/>
  <c r="Y21" i="51"/>
  <c r="X21" i="51"/>
  <c r="W21" i="51"/>
  <c r="V21" i="51"/>
  <c r="U21" i="51"/>
  <c r="T21" i="51"/>
  <c r="S21" i="51"/>
  <c r="R21" i="51"/>
  <c r="Q21" i="51"/>
  <c r="P21" i="51"/>
  <c r="O21" i="51"/>
  <c r="N21" i="51"/>
  <c r="M21" i="51"/>
  <c r="L21" i="51"/>
  <c r="K21" i="51"/>
  <c r="J21" i="51"/>
  <c r="I21" i="51"/>
  <c r="H21" i="51"/>
  <c r="G21" i="51"/>
  <c r="F21" i="51"/>
  <c r="Z18" i="51"/>
  <c r="Y18" i="51"/>
  <c r="X18" i="51"/>
  <c r="W18" i="51"/>
  <c r="V18" i="51"/>
  <c r="U18" i="51"/>
  <c r="T18" i="51"/>
  <c r="S18" i="51"/>
  <c r="R18" i="51"/>
  <c r="Q18" i="51"/>
  <c r="P18" i="51"/>
  <c r="O18" i="51"/>
  <c r="N18" i="51"/>
  <c r="M18" i="51"/>
  <c r="L18" i="51"/>
  <c r="K18" i="51"/>
  <c r="J18" i="51"/>
  <c r="I18" i="51"/>
  <c r="H18" i="51"/>
  <c r="G18" i="51"/>
  <c r="F18" i="51"/>
  <c r="Z14" i="51"/>
  <c r="Y14" i="51"/>
  <c r="X14" i="51"/>
  <c r="W14" i="51"/>
  <c r="V14" i="51"/>
  <c r="U14" i="51"/>
  <c r="T14" i="51"/>
  <c r="S14" i="51"/>
  <c r="R14" i="51"/>
  <c r="Q14" i="51"/>
  <c r="P14" i="51"/>
  <c r="O14" i="51"/>
  <c r="N14" i="51"/>
  <c r="M14" i="51"/>
  <c r="L14" i="51"/>
  <c r="K14" i="51"/>
  <c r="J14" i="51"/>
  <c r="I14" i="51"/>
  <c r="H14" i="51"/>
  <c r="G14" i="51"/>
  <c r="F14" i="51"/>
  <c r="Z41" i="50"/>
  <c r="Y41" i="50"/>
  <c r="X41" i="50"/>
  <c r="W41" i="50"/>
  <c r="V41" i="50"/>
  <c r="U41" i="50"/>
  <c r="T41" i="50"/>
  <c r="S41" i="50"/>
  <c r="R41" i="50"/>
  <c r="Q41" i="50"/>
  <c r="P41" i="50"/>
  <c r="O41" i="50"/>
  <c r="N41" i="50"/>
  <c r="M41" i="50"/>
  <c r="L41" i="50"/>
  <c r="K41" i="50"/>
  <c r="J41" i="50"/>
  <c r="I41" i="50"/>
  <c r="H41" i="50"/>
  <c r="G41" i="50"/>
  <c r="F41" i="50"/>
  <c r="Z37" i="50"/>
  <c r="Y37" i="50"/>
  <c r="X37" i="50"/>
  <c r="W37" i="50"/>
  <c r="V37" i="50"/>
  <c r="U37" i="50"/>
  <c r="T37" i="50"/>
  <c r="S37" i="50"/>
  <c r="R37" i="50"/>
  <c r="Q37" i="50"/>
  <c r="P37" i="50"/>
  <c r="O37" i="50"/>
  <c r="N37" i="50"/>
  <c r="M37" i="50"/>
  <c r="L37" i="50"/>
  <c r="K37" i="50"/>
  <c r="J37" i="50"/>
  <c r="I37" i="50"/>
  <c r="H37" i="50"/>
  <c r="G37" i="50"/>
  <c r="F37" i="50"/>
  <c r="Z31" i="50"/>
  <c r="Y31" i="50"/>
  <c r="X31" i="50"/>
  <c r="W31" i="50"/>
  <c r="V31" i="50"/>
  <c r="U31" i="50"/>
  <c r="T31" i="50"/>
  <c r="S31" i="50"/>
  <c r="R31" i="50"/>
  <c r="Q31" i="50"/>
  <c r="P31" i="50"/>
  <c r="O31" i="50"/>
  <c r="N31" i="50"/>
  <c r="M31" i="50"/>
  <c r="L31" i="50"/>
  <c r="K31" i="50"/>
  <c r="J31" i="50"/>
  <c r="I31" i="50"/>
  <c r="H31" i="50"/>
  <c r="G31" i="50"/>
  <c r="F31" i="50"/>
  <c r="Z23" i="50"/>
  <c r="Y23" i="50"/>
  <c r="X23" i="50"/>
  <c r="W23" i="50"/>
  <c r="V23" i="50"/>
  <c r="U23" i="50"/>
  <c r="T23" i="50"/>
  <c r="S23" i="50"/>
  <c r="R23" i="50"/>
  <c r="Q23" i="50"/>
  <c r="P23" i="50"/>
  <c r="O23" i="50"/>
  <c r="N23" i="50"/>
  <c r="M23" i="50"/>
  <c r="L23" i="50"/>
  <c r="K23" i="50"/>
  <c r="J23" i="50"/>
  <c r="I23" i="50"/>
  <c r="H23" i="50"/>
  <c r="G23" i="50"/>
  <c r="F23" i="50"/>
  <c r="Z21" i="50"/>
  <c r="Y21" i="50"/>
  <c r="X21" i="50"/>
  <c r="W21" i="50"/>
  <c r="V21" i="50"/>
  <c r="U21" i="50"/>
  <c r="T21" i="50"/>
  <c r="S21" i="50"/>
  <c r="R21" i="50"/>
  <c r="Q21" i="50"/>
  <c r="P21" i="50"/>
  <c r="O21" i="50"/>
  <c r="N21" i="50"/>
  <c r="M21" i="50"/>
  <c r="L21" i="50"/>
  <c r="K21" i="50"/>
  <c r="J21" i="50"/>
  <c r="I21" i="50"/>
  <c r="H21" i="50"/>
  <c r="G21" i="50"/>
  <c r="F21" i="50"/>
  <c r="Z18" i="50"/>
  <c r="Y18" i="50"/>
  <c r="X18" i="50"/>
  <c r="W18" i="50"/>
  <c r="V18" i="50"/>
  <c r="U18" i="50"/>
  <c r="T18" i="50"/>
  <c r="S18" i="50"/>
  <c r="R18" i="50"/>
  <c r="Q18" i="50"/>
  <c r="P18" i="50"/>
  <c r="O18" i="50"/>
  <c r="N18" i="50"/>
  <c r="M18" i="50"/>
  <c r="L18" i="50"/>
  <c r="K18" i="50"/>
  <c r="J18" i="50"/>
  <c r="I18" i="50"/>
  <c r="H18" i="50"/>
  <c r="G18" i="50"/>
  <c r="F18" i="50"/>
  <c r="Z14" i="50"/>
  <c r="Y14" i="50"/>
  <c r="X14" i="50"/>
  <c r="W14" i="50"/>
  <c r="V14" i="50"/>
  <c r="U14" i="50"/>
  <c r="T14" i="50"/>
  <c r="S14" i="50"/>
  <c r="R14" i="50"/>
  <c r="Q14" i="50"/>
  <c r="P14" i="50"/>
  <c r="O14" i="50"/>
  <c r="N14" i="50"/>
  <c r="M14" i="50"/>
  <c r="L14" i="50"/>
  <c r="K14" i="50"/>
  <c r="J14" i="50"/>
  <c r="I14" i="50"/>
  <c r="H14" i="50"/>
  <c r="G14" i="50"/>
  <c r="F14" i="50"/>
  <c r="J48" i="52" l="1"/>
  <c r="I48" i="52"/>
  <c r="K48" i="52"/>
  <c r="K49" i="52" s="1"/>
  <c r="F49" i="52"/>
  <c r="J49" i="52"/>
  <c r="I49" i="52"/>
  <c r="G49" i="52"/>
  <c r="H49" i="52"/>
  <c r="AC40" i="62" l="1"/>
  <c r="AG38" i="62"/>
  <c r="AG38" i="61"/>
  <c r="AG38" i="60"/>
  <c r="AG38" i="59"/>
  <c r="AC38" i="58"/>
  <c r="AB38" i="58"/>
  <c r="AA38" i="58"/>
  <c r="Z38" i="58"/>
  <c r="Y38" i="58"/>
  <c r="X38" i="58"/>
  <c r="W38" i="58"/>
  <c r="V38" i="58"/>
  <c r="U38" i="58"/>
  <c r="AG38" i="58" s="1"/>
  <c r="T38" i="58"/>
  <c r="S38" i="58"/>
  <c r="R38" i="58"/>
  <c r="Q38" i="58"/>
  <c r="P38" i="58"/>
  <c r="O38" i="58"/>
  <c r="N38" i="58"/>
  <c r="M38" i="58"/>
  <c r="M9" i="62"/>
  <c r="M10" i="62"/>
  <c r="M11" i="62"/>
  <c r="M12" i="62"/>
  <c r="M13" i="62"/>
  <c r="M14" i="62"/>
  <c r="M15" i="62"/>
  <c r="M16" i="62"/>
  <c r="M17" i="62"/>
  <c r="M18" i="62"/>
  <c r="M19" i="62"/>
  <c r="M20" i="62"/>
  <c r="M21" i="62"/>
  <c r="M22" i="62"/>
  <c r="M23" i="62"/>
  <c r="M24" i="62"/>
  <c r="M25" i="62"/>
  <c r="M26" i="62"/>
  <c r="M27" i="62"/>
  <c r="M28" i="62"/>
  <c r="M29" i="62"/>
  <c r="M30" i="62"/>
  <c r="M31" i="62"/>
  <c r="M32" i="62"/>
  <c r="M33" i="62"/>
  <c r="M34" i="62"/>
  <c r="M35" i="62"/>
  <c r="M37" i="62"/>
  <c r="I38" i="58"/>
  <c r="AC39" i="62" l="1"/>
  <c r="Y39" i="62"/>
  <c r="U39" i="62"/>
  <c r="Q39" i="62"/>
  <c r="M39" i="62"/>
  <c r="I39" i="62"/>
  <c r="E39" i="62"/>
  <c r="D10" i="11" l="1"/>
  <c r="K14" i="76" l="1"/>
  <c r="K16" i="76"/>
  <c r="L11" i="76"/>
  <c r="C16" i="76"/>
  <c r="Q26" i="78"/>
  <c r="P26" i="78"/>
  <c r="O26" i="78"/>
  <c r="N26" i="78"/>
  <c r="M26" i="78"/>
  <c r="L26" i="78"/>
  <c r="K26" i="78"/>
  <c r="J26" i="78"/>
  <c r="I26" i="78"/>
  <c r="H26" i="78"/>
  <c r="G26" i="78"/>
  <c r="F26" i="78"/>
  <c r="E26" i="78"/>
  <c r="D26" i="78"/>
  <c r="C26" i="78"/>
  <c r="B26" i="78"/>
  <c r="W20" i="38" l="1"/>
  <c r="C20" i="30" l="1"/>
  <c r="E20" i="30"/>
  <c r="H19" i="30"/>
  <c r="E19" i="30"/>
  <c r="I19" i="14" l="1"/>
  <c r="I17" i="14"/>
  <c r="I16" i="14"/>
  <c r="I15" i="14"/>
  <c r="I14" i="14"/>
  <c r="I13" i="14"/>
  <c r="I12" i="14"/>
  <c r="I10" i="14"/>
  <c r="I9" i="14"/>
  <c r="I8" i="14"/>
  <c r="I7" i="14"/>
  <c r="H19" i="14"/>
  <c r="H17" i="14"/>
  <c r="H16" i="14"/>
  <c r="H15" i="14"/>
  <c r="H14" i="14"/>
  <c r="H13" i="14"/>
  <c r="H12" i="14"/>
  <c r="H10" i="14"/>
  <c r="H9" i="14"/>
  <c r="H8" i="14"/>
  <c r="H7" i="14"/>
  <c r="D39" i="13" l="1"/>
  <c r="D40" i="13"/>
  <c r="D41" i="13"/>
  <c r="D26" i="13"/>
  <c r="D27" i="13"/>
  <c r="D28" i="13"/>
  <c r="D29" i="13"/>
  <c r="D30" i="13"/>
  <c r="D31" i="13"/>
  <c r="D32" i="13"/>
  <c r="D33" i="13"/>
  <c r="D34" i="13"/>
  <c r="D35" i="13"/>
  <c r="D36" i="13"/>
  <c r="D37" i="13"/>
  <c r="D38" i="13"/>
  <c r="D25" i="13"/>
  <c r="X39" i="112"/>
  <c r="W39" i="112"/>
  <c r="V39" i="112"/>
  <c r="U39" i="112"/>
  <c r="T39" i="112"/>
  <c r="S39" i="112"/>
  <c r="R39" i="112"/>
  <c r="Q39" i="112"/>
  <c r="P39" i="112"/>
  <c r="O39" i="112"/>
  <c r="N39" i="112"/>
  <c r="M39" i="112"/>
  <c r="L39" i="112"/>
  <c r="I39" i="112"/>
  <c r="E39" i="112"/>
  <c r="U49" i="62"/>
  <c r="U48" i="62"/>
  <c r="U47" i="62"/>
  <c r="U46" i="62"/>
  <c r="U45" i="62"/>
  <c r="U44" i="62"/>
  <c r="U43" i="62"/>
  <c r="U42" i="62"/>
  <c r="U41" i="62"/>
  <c r="Q49" i="62"/>
  <c r="Q48" i="62"/>
  <c r="Q47" i="62"/>
  <c r="Q46" i="62"/>
  <c r="Q45" i="62"/>
  <c r="Q44" i="62"/>
  <c r="Q43" i="62"/>
  <c r="Q42" i="62"/>
  <c r="Q41" i="62"/>
  <c r="M49" i="62"/>
  <c r="M48" i="62"/>
  <c r="M47" i="62"/>
  <c r="M46" i="62"/>
  <c r="M45" i="62"/>
  <c r="M44" i="62"/>
  <c r="M43" i="62"/>
  <c r="M42" i="62"/>
  <c r="M41" i="62"/>
  <c r="AC23" i="62"/>
  <c r="AC38" i="62" s="1"/>
  <c r="Y23" i="62"/>
  <c r="Y38" i="62" s="1"/>
  <c r="U9" i="62"/>
  <c r="U10" i="62"/>
  <c r="U11" i="62"/>
  <c r="U12" i="62"/>
  <c r="U13" i="62"/>
  <c r="U14" i="62"/>
  <c r="U15" i="62"/>
  <c r="U16" i="62"/>
  <c r="U17" i="62"/>
  <c r="U18" i="62"/>
  <c r="U19" i="62"/>
  <c r="U20" i="62"/>
  <c r="U21" i="62"/>
  <c r="U22" i="62"/>
  <c r="U23" i="62"/>
  <c r="U24" i="62"/>
  <c r="U25" i="62"/>
  <c r="U26" i="62"/>
  <c r="U27" i="62"/>
  <c r="U28" i="62"/>
  <c r="U29" i="62"/>
  <c r="U30" i="62"/>
  <c r="U31" i="62"/>
  <c r="U32" i="62"/>
  <c r="U33" i="62"/>
  <c r="U34" i="62"/>
  <c r="U35" i="62"/>
  <c r="U37" i="62"/>
  <c r="Q9" i="62"/>
  <c r="Q10" i="62"/>
  <c r="Q11" i="62"/>
  <c r="Q12" i="62"/>
  <c r="Q13" i="62"/>
  <c r="Q14" i="62"/>
  <c r="Q15" i="62"/>
  <c r="Q16" i="62"/>
  <c r="Q17" i="62"/>
  <c r="Q18" i="62"/>
  <c r="Q19" i="62"/>
  <c r="Q20" i="62"/>
  <c r="Q21" i="62"/>
  <c r="Q22" i="62"/>
  <c r="Q23" i="62"/>
  <c r="Q24" i="62"/>
  <c r="Q25" i="62"/>
  <c r="Q26" i="62"/>
  <c r="Q27" i="62"/>
  <c r="Q28" i="62"/>
  <c r="Q29" i="62"/>
  <c r="Q30" i="62"/>
  <c r="Q31" i="62"/>
  <c r="Q32" i="62"/>
  <c r="Q33" i="62"/>
  <c r="Q34" i="62"/>
  <c r="Q35" i="62"/>
  <c r="Q37" i="62"/>
  <c r="Q38" i="61"/>
  <c r="U38" i="61"/>
  <c r="AC38" i="61"/>
  <c r="Y38" i="61"/>
  <c r="M38" i="61"/>
  <c r="I38" i="61"/>
  <c r="E38" i="61"/>
  <c r="M38" i="62" l="1"/>
  <c r="M40" i="62" s="1"/>
  <c r="Q38" i="62"/>
  <c r="U38" i="62"/>
  <c r="I38" i="60"/>
  <c r="AC38" i="60"/>
  <c r="AA38" i="60"/>
  <c r="Z38" i="60"/>
  <c r="Y38" i="60"/>
  <c r="X38" i="60"/>
  <c r="W38" i="60"/>
  <c r="V38" i="60"/>
  <c r="U38" i="60"/>
  <c r="T38" i="60"/>
  <c r="S38" i="60"/>
  <c r="R38" i="60"/>
  <c r="Q38" i="60"/>
  <c r="P38" i="60"/>
  <c r="O38" i="60"/>
  <c r="N38" i="60"/>
  <c r="M38" i="60"/>
  <c r="L38" i="60"/>
  <c r="K38" i="60"/>
  <c r="J38" i="60"/>
  <c r="H38" i="60"/>
  <c r="G38" i="60"/>
  <c r="F38" i="60"/>
  <c r="E38" i="60"/>
  <c r="AC38" i="59"/>
  <c r="AA38" i="59"/>
  <c r="Z38" i="59"/>
  <c r="Y38" i="59"/>
  <c r="X38" i="59"/>
  <c r="W38" i="59"/>
  <c r="V38" i="59"/>
  <c r="U38" i="59"/>
  <c r="T38" i="59"/>
  <c r="S38" i="59"/>
  <c r="R38" i="59"/>
  <c r="Q38" i="59"/>
  <c r="P38" i="59"/>
  <c r="O38" i="59"/>
  <c r="N38" i="59"/>
  <c r="M38" i="59"/>
  <c r="L38" i="59"/>
  <c r="K38" i="59"/>
  <c r="J38" i="59"/>
  <c r="I38" i="59"/>
  <c r="H38" i="59"/>
  <c r="G38" i="59"/>
  <c r="F38" i="59"/>
  <c r="E38" i="59"/>
  <c r="AG41" i="58"/>
  <c r="E38" i="58"/>
  <c r="I47" i="72" l="1"/>
  <c r="I46" i="72"/>
  <c r="I45" i="72"/>
  <c r="I44" i="72"/>
  <c r="I43" i="72"/>
  <c r="I42" i="72"/>
  <c r="I41" i="72"/>
  <c r="I40" i="72"/>
  <c r="I39" i="72"/>
  <c r="I38" i="72"/>
  <c r="I37" i="72"/>
  <c r="I36" i="72"/>
  <c r="I35" i="72"/>
  <c r="I34" i="72"/>
  <c r="I33" i="72"/>
  <c r="I32" i="72"/>
  <c r="I31" i="72"/>
  <c r="H12" i="76"/>
  <c r="I12" i="76" l="1"/>
  <c r="R45" i="56" l="1"/>
  <c r="Q45" i="56"/>
  <c r="P45" i="56"/>
  <c r="O45" i="56"/>
  <c r="N45" i="56"/>
  <c r="M45" i="56"/>
  <c r="L45" i="56"/>
  <c r="K45" i="56"/>
  <c r="J45" i="56"/>
  <c r="I45" i="56"/>
  <c r="H45" i="56"/>
  <c r="G45" i="56"/>
  <c r="F45" i="56"/>
  <c r="R39" i="56"/>
  <c r="Q39" i="56"/>
  <c r="P39" i="56"/>
  <c r="O39" i="56"/>
  <c r="N39" i="56"/>
  <c r="M39" i="56"/>
  <c r="L39" i="56"/>
  <c r="K39" i="56"/>
  <c r="J39" i="56"/>
  <c r="I39" i="56"/>
  <c r="H39" i="56"/>
  <c r="G39" i="56"/>
  <c r="F39" i="56"/>
  <c r="R35" i="56"/>
  <c r="Q35" i="56"/>
  <c r="P35" i="56"/>
  <c r="O35" i="56"/>
  <c r="N35" i="56"/>
  <c r="M35" i="56"/>
  <c r="L35" i="56"/>
  <c r="K35" i="56"/>
  <c r="J35" i="56"/>
  <c r="I35" i="56"/>
  <c r="H35" i="56"/>
  <c r="G35" i="56"/>
  <c r="F35" i="56"/>
  <c r="R29" i="56"/>
  <c r="Q29" i="56"/>
  <c r="P29" i="56"/>
  <c r="O29" i="56"/>
  <c r="N29" i="56"/>
  <c r="M29" i="56"/>
  <c r="L29" i="56"/>
  <c r="K29" i="56"/>
  <c r="J29" i="56"/>
  <c r="I29" i="56"/>
  <c r="H29" i="56"/>
  <c r="G29" i="56"/>
  <c r="F29" i="56"/>
  <c r="J22" i="56"/>
  <c r="R20" i="56"/>
  <c r="Q20" i="56"/>
  <c r="P20" i="56"/>
  <c r="O20" i="56"/>
  <c r="N20" i="56"/>
  <c r="M20" i="56"/>
  <c r="L20" i="56"/>
  <c r="K20" i="56"/>
  <c r="J20" i="56"/>
  <c r="I20" i="56"/>
  <c r="H20" i="56"/>
  <c r="G20" i="56"/>
  <c r="F20" i="56"/>
  <c r="R17" i="56"/>
  <c r="Q17" i="56"/>
  <c r="P17" i="56"/>
  <c r="O17" i="56"/>
  <c r="N17" i="56"/>
  <c r="M17" i="56"/>
  <c r="L17" i="56"/>
  <c r="K17" i="56"/>
  <c r="J17" i="56"/>
  <c r="I17" i="56"/>
  <c r="H17" i="56"/>
  <c r="G17" i="56"/>
  <c r="F17" i="56"/>
  <c r="R13" i="56"/>
  <c r="Q13" i="56"/>
  <c r="P13" i="56"/>
  <c r="P22" i="56" s="1"/>
  <c r="O13" i="56"/>
  <c r="O22" i="56" s="1"/>
  <c r="N13" i="56"/>
  <c r="N22" i="56" s="1"/>
  <c r="M13" i="56"/>
  <c r="L13" i="56"/>
  <c r="K13" i="56"/>
  <c r="J13" i="56"/>
  <c r="I13" i="56"/>
  <c r="I22" i="56" s="1"/>
  <c r="H13" i="56"/>
  <c r="H22" i="56" s="1"/>
  <c r="G13" i="56"/>
  <c r="G22" i="56" s="1"/>
  <c r="F13" i="56"/>
  <c r="V8" i="56"/>
  <c r="V9" i="56"/>
  <c r="V10" i="56"/>
  <c r="V11" i="56"/>
  <c r="V12" i="56"/>
  <c r="V14" i="56"/>
  <c r="V15" i="56"/>
  <c r="V16" i="56"/>
  <c r="V17" i="56"/>
  <c r="V18" i="56"/>
  <c r="V19" i="56"/>
  <c r="V21" i="56"/>
  <c r="V23" i="56"/>
  <c r="V24" i="56"/>
  <c r="V25" i="56"/>
  <c r="V26" i="56"/>
  <c r="V27" i="56"/>
  <c r="V28" i="56"/>
  <c r="V30" i="56"/>
  <c r="V31" i="56"/>
  <c r="V32" i="56"/>
  <c r="V33" i="56"/>
  <c r="V34" i="56"/>
  <c r="V36" i="56"/>
  <c r="V37" i="56"/>
  <c r="V38" i="56"/>
  <c r="V40" i="56"/>
  <c r="V41" i="56"/>
  <c r="V42" i="56"/>
  <c r="V43" i="56"/>
  <c r="V44" i="56"/>
  <c r="L46" i="56" l="1"/>
  <c r="K22" i="56"/>
  <c r="F22" i="56"/>
  <c r="R22" i="56"/>
  <c r="Q22" i="56"/>
  <c r="M22" i="56"/>
  <c r="L22" i="56"/>
  <c r="H46" i="56"/>
  <c r="H47" i="56"/>
  <c r="M46" i="56"/>
  <c r="M47" i="56" s="1"/>
  <c r="I46" i="56"/>
  <c r="I47" i="56" s="1"/>
  <c r="V13" i="56"/>
  <c r="J46" i="56"/>
  <c r="J47" i="56" s="1"/>
  <c r="V39" i="56"/>
  <c r="V29" i="56"/>
  <c r="K46" i="56"/>
  <c r="K47" i="56" s="1"/>
  <c r="V20" i="56"/>
  <c r="V35" i="56"/>
  <c r="P46" i="56"/>
  <c r="P47" i="56" s="1"/>
  <c r="L47" i="56"/>
  <c r="N46" i="56"/>
  <c r="N47" i="56" s="1"/>
  <c r="O46" i="56"/>
  <c r="O47" i="56" s="1"/>
  <c r="V45" i="56"/>
  <c r="Q46" i="56"/>
  <c r="Q47" i="56" s="1"/>
  <c r="F46" i="56"/>
  <c r="R46" i="56"/>
  <c r="G46" i="56"/>
  <c r="G47" i="56" s="1"/>
  <c r="Z47" i="54"/>
  <c r="Y47" i="54"/>
  <c r="X47" i="54"/>
  <c r="W47" i="54"/>
  <c r="V47" i="54"/>
  <c r="U47" i="54"/>
  <c r="T47" i="54"/>
  <c r="S47" i="54"/>
  <c r="R47" i="54"/>
  <c r="Q47" i="54"/>
  <c r="P47" i="54"/>
  <c r="O47" i="54"/>
  <c r="N47" i="54"/>
  <c r="M47" i="54"/>
  <c r="L47" i="54"/>
  <c r="K47" i="54"/>
  <c r="J47" i="54"/>
  <c r="I47" i="54"/>
  <c r="H47" i="54"/>
  <c r="G47" i="54"/>
  <c r="F47" i="54"/>
  <c r="F48" i="54" s="1"/>
  <c r="F49" i="54" s="1"/>
  <c r="AD9" i="54"/>
  <c r="AD10" i="54"/>
  <c r="AD11" i="54"/>
  <c r="AD12" i="54"/>
  <c r="AD13" i="54"/>
  <c r="AD15" i="54"/>
  <c r="AD16" i="54"/>
  <c r="AD17" i="54"/>
  <c r="AD19" i="54"/>
  <c r="AD20" i="54"/>
  <c r="AD22" i="54"/>
  <c r="AD24" i="54"/>
  <c r="AD25" i="54"/>
  <c r="AD26" i="54"/>
  <c r="AD27" i="54"/>
  <c r="AD28" i="54"/>
  <c r="AD29" i="54"/>
  <c r="AD30" i="54"/>
  <c r="AD32" i="54"/>
  <c r="AD33" i="54"/>
  <c r="AD34" i="54"/>
  <c r="AD35" i="54"/>
  <c r="AD36" i="54"/>
  <c r="AD38" i="54"/>
  <c r="AD39" i="54"/>
  <c r="AD40" i="54"/>
  <c r="AD42" i="54"/>
  <c r="AD43" i="54"/>
  <c r="AD44" i="54"/>
  <c r="AD45" i="54"/>
  <c r="AD46" i="54"/>
  <c r="F47" i="53"/>
  <c r="AD9" i="53"/>
  <c r="AD10" i="53"/>
  <c r="AD11" i="53"/>
  <c r="AD12" i="53"/>
  <c r="AD13" i="53"/>
  <c r="AD15" i="53"/>
  <c r="AD16" i="53"/>
  <c r="AD17" i="53"/>
  <c r="AD19" i="53"/>
  <c r="AD20" i="53"/>
  <c r="AD22" i="53"/>
  <c r="AD24" i="53"/>
  <c r="AD25" i="53"/>
  <c r="AD26" i="53"/>
  <c r="AD27" i="53"/>
  <c r="AD28" i="53"/>
  <c r="AD29" i="53"/>
  <c r="AD30" i="53"/>
  <c r="AD32" i="53"/>
  <c r="AD33" i="53"/>
  <c r="AD34" i="53"/>
  <c r="AD35" i="53"/>
  <c r="AD36" i="53"/>
  <c r="AD38" i="53"/>
  <c r="AD39" i="53"/>
  <c r="AD40" i="53"/>
  <c r="AD42" i="53"/>
  <c r="AD43" i="53"/>
  <c r="AD44" i="53"/>
  <c r="AD45" i="53"/>
  <c r="AD47" i="53" s="1"/>
  <c r="AD46" i="53"/>
  <c r="AD18" i="54" l="1"/>
  <c r="AD14" i="54"/>
  <c r="R48" i="54"/>
  <c r="R49" i="54" s="1"/>
  <c r="H48" i="54"/>
  <c r="H49" i="54" s="1"/>
  <c r="R47" i="56"/>
  <c r="T48" i="54"/>
  <c r="T49" i="54" s="1"/>
  <c r="N48" i="54"/>
  <c r="Z48" i="54"/>
  <c r="AD41" i="54"/>
  <c r="L48" i="54"/>
  <c r="X48" i="54"/>
  <c r="O48" i="54"/>
  <c r="F48" i="53"/>
  <c r="F49" i="53" s="1"/>
  <c r="AD21" i="54"/>
  <c r="AD23" i="54" s="1"/>
  <c r="P48" i="54"/>
  <c r="P49" i="54" s="1"/>
  <c r="F47" i="56"/>
  <c r="AD41" i="53"/>
  <c r="AD47" i="54"/>
  <c r="AD37" i="54"/>
  <c r="AD21" i="53"/>
  <c r="S48" i="54"/>
  <c r="S49" i="54" s="1"/>
  <c r="AD18" i="53"/>
  <c r="AD23" i="53" s="1"/>
  <c r="V46" i="56"/>
  <c r="G48" i="54"/>
  <c r="G49" i="54" s="1"/>
  <c r="J48" i="54"/>
  <c r="J49" i="54" s="1"/>
  <c r="V48" i="54"/>
  <c r="V49" i="54" s="1"/>
  <c r="AD31" i="54"/>
  <c r="K48" i="54"/>
  <c r="K49" i="54" s="1"/>
  <c r="W48" i="54"/>
  <c r="W49" i="54" s="1"/>
  <c r="V22" i="56"/>
  <c r="AD14" i="53"/>
  <c r="AD31" i="53"/>
  <c r="AD37" i="53"/>
  <c r="V47" i="56" l="1"/>
  <c r="Z49" i="54"/>
  <c r="N49" i="54"/>
  <c r="X49" i="54"/>
  <c r="L49" i="54"/>
  <c r="O49" i="54"/>
  <c r="AD48" i="54"/>
  <c r="AD49" i="54" s="1"/>
  <c r="AD48" i="53"/>
  <c r="AD49" i="53" s="1"/>
  <c r="AD9" i="52" l="1"/>
  <c r="AD10" i="52"/>
  <c r="AD11" i="52"/>
  <c r="AD12" i="52"/>
  <c r="AD13" i="52"/>
  <c r="AD15" i="52"/>
  <c r="AD16" i="52"/>
  <c r="AD17" i="52"/>
  <c r="AD19" i="52"/>
  <c r="AD20" i="52"/>
  <c r="AD22" i="52"/>
  <c r="AD24" i="52"/>
  <c r="AD25" i="52"/>
  <c r="AD26" i="52"/>
  <c r="AD27" i="52"/>
  <c r="AD28" i="52"/>
  <c r="AD29" i="52"/>
  <c r="AD30" i="52"/>
  <c r="AD32" i="52"/>
  <c r="AD33" i="52"/>
  <c r="AD34" i="52"/>
  <c r="AD35" i="52"/>
  <c r="AD36" i="52"/>
  <c r="AD38" i="52"/>
  <c r="AD39" i="52"/>
  <c r="AD40" i="52"/>
  <c r="AD42" i="52"/>
  <c r="AD43" i="52"/>
  <c r="AD44" i="52"/>
  <c r="AD45" i="52"/>
  <c r="AD46" i="52"/>
  <c r="Z47" i="51"/>
  <c r="Y47" i="51"/>
  <c r="X47" i="51"/>
  <c r="W47" i="51"/>
  <c r="V47" i="51"/>
  <c r="U47" i="51"/>
  <c r="T47" i="51"/>
  <c r="S47" i="51"/>
  <c r="R47" i="51"/>
  <c r="Q47" i="51"/>
  <c r="P47" i="51"/>
  <c r="O47" i="51"/>
  <c r="N47" i="51"/>
  <c r="M47" i="51"/>
  <c r="L47" i="51"/>
  <c r="K47" i="51"/>
  <c r="J47" i="51"/>
  <c r="I47" i="51"/>
  <c r="H47" i="51"/>
  <c r="G47" i="51"/>
  <c r="F47" i="51"/>
  <c r="X48" i="51"/>
  <c r="T48" i="51"/>
  <c r="S48" i="51"/>
  <c r="O48" i="51"/>
  <c r="L48" i="51"/>
  <c r="H48" i="51"/>
  <c r="G48" i="51"/>
  <c r="AD9" i="51"/>
  <c r="AD10" i="51"/>
  <c r="AD11" i="51"/>
  <c r="AD12" i="51"/>
  <c r="AD13" i="51"/>
  <c r="AD15" i="51"/>
  <c r="AD16" i="51"/>
  <c r="AD17" i="51"/>
  <c r="AD19" i="51"/>
  <c r="AD20" i="51"/>
  <c r="AD22" i="51"/>
  <c r="AD24" i="51"/>
  <c r="AD25" i="51"/>
  <c r="AD26" i="51"/>
  <c r="AD27" i="51"/>
  <c r="AD28" i="51"/>
  <c r="AD29" i="51"/>
  <c r="AD30" i="51"/>
  <c r="AD32" i="51"/>
  <c r="AD33" i="51"/>
  <c r="AD34" i="51"/>
  <c r="AD35" i="51"/>
  <c r="AD36" i="51"/>
  <c r="AD38" i="51"/>
  <c r="AD39" i="51"/>
  <c r="AD40" i="51"/>
  <c r="AD42" i="51"/>
  <c r="AD43" i="51"/>
  <c r="AD44" i="51"/>
  <c r="AD45" i="51"/>
  <c r="AD46" i="51"/>
  <c r="Z47" i="50"/>
  <c r="Y47" i="50"/>
  <c r="X47" i="50"/>
  <c r="W47" i="50"/>
  <c r="V47" i="50"/>
  <c r="U47" i="50"/>
  <c r="T47" i="50"/>
  <c r="S47" i="50"/>
  <c r="R47" i="50"/>
  <c r="R48" i="50" s="1"/>
  <c r="Q47" i="50"/>
  <c r="P47" i="50"/>
  <c r="O47" i="50"/>
  <c r="N47" i="50"/>
  <c r="M47" i="50"/>
  <c r="L47" i="50"/>
  <c r="K47" i="50"/>
  <c r="J47" i="50"/>
  <c r="I47" i="50"/>
  <c r="H47" i="50"/>
  <c r="G47" i="50"/>
  <c r="F47" i="50"/>
  <c r="F48" i="50" s="1"/>
  <c r="F49" i="50" s="1"/>
  <c r="W48" i="50"/>
  <c r="V48" i="50"/>
  <c r="Q48" i="50"/>
  <c r="J48" i="50"/>
  <c r="AD9" i="50"/>
  <c r="AD10" i="50"/>
  <c r="AD11" i="50"/>
  <c r="AD12" i="50"/>
  <c r="AD13" i="50"/>
  <c r="AD15" i="50"/>
  <c r="AD16" i="50"/>
  <c r="AD17" i="50"/>
  <c r="AD19" i="50"/>
  <c r="AD20" i="50"/>
  <c r="AD22" i="50"/>
  <c r="AD24" i="50"/>
  <c r="AD25" i="50"/>
  <c r="AD26" i="50"/>
  <c r="AD27" i="50"/>
  <c r="AD28" i="50"/>
  <c r="AD29" i="50"/>
  <c r="AD30" i="50"/>
  <c r="AD32" i="50"/>
  <c r="AD33" i="50"/>
  <c r="AD34" i="50"/>
  <c r="AD35" i="50"/>
  <c r="AD36" i="50"/>
  <c r="AD38" i="50"/>
  <c r="AD39" i="50"/>
  <c r="AD40" i="50"/>
  <c r="AD42" i="50"/>
  <c r="AD43" i="50"/>
  <c r="AD44" i="50"/>
  <c r="AD45" i="50"/>
  <c r="AD46" i="50"/>
  <c r="AD18" i="52" l="1"/>
  <c r="AD14" i="51"/>
  <c r="AD41" i="51"/>
  <c r="AD47" i="51"/>
  <c r="AD18" i="50"/>
  <c r="AD41" i="50"/>
  <c r="AD31" i="50"/>
  <c r="AD14" i="50"/>
  <c r="L49" i="51"/>
  <c r="X49" i="51"/>
  <c r="K48" i="50"/>
  <c r="K49" i="50" s="1"/>
  <c r="M48" i="51"/>
  <c r="M49" i="51" s="1"/>
  <c r="Y48" i="51"/>
  <c r="Y49" i="51" s="1"/>
  <c r="L48" i="50"/>
  <c r="L49" i="50" s="1"/>
  <c r="X48" i="50"/>
  <c r="X49" i="50" s="1"/>
  <c r="N48" i="51"/>
  <c r="N49" i="51" s="1"/>
  <c r="Z48" i="51"/>
  <c r="Z49" i="51" s="1"/>
  <c r="AD41" i="52"/>
  <c r="AD31" i="52"/>
  <c r="M48" i="50"/>
  <c r="M49" i="50" s="1"/>
  <c r="Y48" i="50"/>
  <c r="Y49" i="50" s="1"/>
  <c r="J49" i="50"/>
  <c r="V49" i="50"/>
  <c r="N48" i="50"/>
  <c r="N49" i="50" s="1"/>
  <c r="Z48" i="50"/>
  <c r="Z49" i="50" s="1"/>
  <c r="P48" i="51"/>
  <c r="P49" i="51" s="1"/>
  <c r="W49" i="50"/>
  <c r="O48" i="50"/>
  <c r="O49" i="50" s="1"/>
  <c r="Q48" i="51"/>
  <c r="Q49" i="51" s="1"/>
  <c r="AD21" i="52"/>
  <c r="P48" i="50"/>
  <c r="P49" i="50" s="1"/>
  <c r="F48" i="51"/>
  <c r="F49" i="51" s="1"/>
  <c r="R48" i="51"/>
  <c r="R49" i="51" s="1"/>
  <c r="R49" i="50"/>
  <c r="AD47" i="52"/>
  <c r="AD21" i="50"/>
  <c r="S48" i="50"/>
  <c r="S49" i="50" s="1"/>
  <c r="I48" i="51"/>
  <c r="I49" i="51" s="1"/>
  <c r="AD47" i="50"/>
  <c r="AD37" i="50"/>
  <c r="H48" i="50"/>
  <c r="H49" i="50" s="1"/>
  <c r="T48" i="50"/>
  <c r="S49" i="51"/>
  <c r="O49" i="51"/>
  <c r="J48" i="51"/>
  <c r="J49" i="51" s="1"/>
  <c r="V48" i="51"/>
  <c r="V49" i="51" s="1"/>
  <c r="AD18" i="51"/>
  <c r="G48" i="50"/>
  <c r="G49" i="50" s="1"/>
  <c r="U48" i="51"/>
  <c r="U49" i="51" s="1"/>
  <c r="I48" i="50"/>
  <c r="U48" i="50"/>
  <c r="T49" i="51"/>
  <c r="AD31" i="51"/>
  <c r="K48" i="51"/>
  <c r="W48" i="51"/>
  <c r="W49" i="51" s="1"/>
  <c r="G49" i="51"/>
  <c r="Q49" i="50"/>
  <c r="H49" i="51"/>
  <c r="AD37" i="51"/>
  <c r="AD21" i="51"/>
  <c r="AD37" i="52"/>
  <c r="AD14" i="52"/>
  <c r="AD48" i="52" l="1"/>
  <c r="AD48" i="51"/>
  <c r="AD23" i="51"/>
  <c r="AD49" i="51" s="1"/>
  <c r="AD23" i="50"/>
  <c r="AD48" i="50"/>
  <c r="K49" i="51"/>
  <c r="I49" i="50"/>
  <c r="AD23" i="52"/>
  <c r="AD49" i="52" s="1"/>
  <c r="U49" i="50"/>
  <c r="T49" i="50"/>
  <c r="AD49" i="50" l="1"/>
  <c r="P74" i="11"/>
  <c r="P75" i="11"/>
  <c r="P76" i="11"/>
  <c r="N76" i="11" s="1"/>
  <c r="P77" i="11"/>
  <c r="N77" i="11" s="1"/>
  <c r="P78" i="11"/>
  <c r="N78" i="11" s="1"/>
  <c r="G78" i="11" s="1"/>
  <c r="P79" i="11"/>
  <c r="P80" i="11"/>
  <c r="P81" i="11"/>
  <c r="P82" i="11"/>
  <c r="P83" i="11"/>
  <c r="P73" i="11"/>
  <c r="P68" i="11"/>
  <c r="P69" i="11"/>
  <c r="P70" i="11"/>
  <c r="P71" i="11"/>
  <c r="P67" i="11"/>
  <c r="P61" i="11"/>
  <c r="P63" i="11"/>
  <c r="P64" i="11"/>
  <c r="P65" i="11"/>
  <c r="N65" i="11" s="1"/>
  <c r="D65" i="11" s="1"/>
  <c r="P62" i="11"/>
  <c r="N62" i="11" s="1"/>
  <c r="P56" i="11"/>
  <c r="P58" i="11"/>
  <c r="P59" i="11"/>
  <c r="P57" i="11"/>
  <c r="P43" i="11"/>
  <c r="P45" i="11"/>
  <c r="P46" i="11"/>
  <c r="P47" i="11"/>
  <c r="P48" i="11"/>
  <c r="P49" i="11"/>
  <c r="P50" i="11"/>
  <c r="P51" i="11"/>
  <c r="P52" i="11"/>
  <c r="P53" i="11"/>
  <c r="P54" i="11"/>
  <c r="P44" i="11"/>
  <c r="P37" i="11"/>
  <c r="N37" i="11" s="1"/>
  <c r="P39" i="11"/>
  <c r="N39" i="11" s="1"/>
  <c r="P40" i="11"/>
  <c r="N40" i="11" s="1"/>
  <c r="P41" i="11"/>
  <c r="N41" i="11" s="1"/>
  <c r="J41" i="11" s="1"/>
  <c r="P38" i="11"/>
  <c r="M37" i="11"/>
  <c r="M61" i="11"/>
  <c r="M73" i="11"/>
  <c r="N73" i="11" s="1"/>
  <c r="P29" i="11"/>
  <c r="P31" i="11"/>
  <c r="P32" i="11"/>
  <c r="P30" i="11"/>
  <c r="P26" i="11"/>
  <c r="P27" i="11"/>
  <c r="P25" i="11"/>
  <c r="P23" i="11"/>
  <c r="P19" i="11"/>
  <c r="P20" i="11"/>
  <c r="P21" i="11"/>
  <c r="P22" i="11"/>
  <c r="P18" i="11"/>
  <c r="P10" i="11"/>
  <c r="S83" i="11"/>
  <c r="S82" i="11"/>
  <c r="S81" i="11"/>
  <c r="S80" i="11"/>
  <c r="S79" i="11"/>
  <c r="S78" i="11"/>
  <c r="S77" i="11"/>
  <c r="S76" i="11"/>
  <c r="S75" i="11"/>
  <c r="S74" i="11"/>
  <c r="AC73" i="11"/>
  <c r="AB73" i="11"/>
  <c r="AA73" i="11"/>
  <c r="Z73" i="11"/>
  <c r="Y73" i="11"/>
  <c r="X73" i="11"/>
  <c r="W73" i="11"/>
  <c r="V73" i="11"/>
  <c r="U73" i="11"/>
  <c r="S71" i="11"/>
  <c r="S70" i="11"/>
  <c r="S69" i="11"/>
  <c r="S68" i="11"/>
  <c r="AC67" i="11"/>
  <c r="AB67" i="11"/>
  <c r="AA67" i="11"/>
  <c r="Z67" i="11"/>
  <c r="Y67" i="11"/>
  <c r="X67" i="11"/>
  <c r="W67" i="11"/>
  <c r="V67" i="11"/>
  <c r="U67" i="11"/>
  <c r="S65" i="11"/>
  <c r="S64" i="11"/>
  <c r="S63" i="11"/>
  <c r="S62" i="11"/>
  <c r="AC61" i="11"/>
  <c r="AB61" i="11"/>
  <c r="AA61" i="11"/>
  <c r="Z61" i="11"/>
  <c r="Y61" i="11"/>
  <c r="X61" i="11"/>
  <c r="W61" i="11"/>
  <c r="V61" i="11"/>
  <c r="U61" i="11"/>
  <c r="S59" i="11"/>
  <c r="S58" i="11"/>
  <c r="S57" i="11"/>
  <c r="AC56" i="11"/>
  <c r="AB56" i="11"/>
  <c r="AA56" i="11"/>
  <c r="Z56" i="11"/>
  <c r="Y56" i="11"/>
  <c r="X56" i="11"/>
  <c r="W56" i="11"/>
  <c r="V56" i="11"/>
  <c r="U56" i="11"/>
  <c r="S54" i="11"/>
  <c r="S53" i="11"/>
  <c r="S52" i="11"/>
  <c r="S51" i="11"/>
  <c r="S50" i="11"/>
  <c r="S49" i="11"/>
  <c r="S48" i="11"/>
  <c r="S47" i="11"/>
  <c r="S46" i="11"/>
  <c r="S45" i="11"/>
  <c r="S44" i="11"/>
  <c r="AC43" i="11"/>
  <c r="AB43" i="11"/>
  <c r="AA43" i="11"/>
  <c r="Z43" i="11"/>
  <c r="Y43" i="11"/>
  <c r="X43" i="11"/>
  <c r="W43" i="11"/>
  <c r="V43" i="11"/>
  <c r="U43" i="11"/>
  <c r="S41" i="11"/>
  <c r="S40" i="11"/>
  <c r="S39" i="11"/>
  <c r="S38" i="11"/>
  <c r="AC37" i="11"/>
  <c r="AB37" i="11"/>
  <c r="AA37" i="11"/>
  <c r="Z37" i="11"/>
  <c r="Y37" i="11"/>
  <c r="X37" i="11"/>
  <c r="W37" i="11"/>
  <c r="V37" i="11"/>
  <c r="U37" i="11"/>
  <c r="S32" i="11"/>
  <c r="S31" i="11"/>
  <c r="S30" i="11"/>
  <c r="AC29" i="11"/>
  <c r="AB29" i="11"/>
  <c r="AA29" i="11"/>
  <c r="Z29" i="11"/>
  <c r="Y29" i="11"/>
  <c r="X29" i="11"/>
  <c r="W29" i="11"/>
  <c r="V29" i="11"/>
  <c r="U29" i="11"/>
  <c r="S27" i="11"/>
  <c r="S26" i="11"/>
  <c r="AC25" i="11"/>
  <c r="AB25" i="11"/>
  <c r="AA25" i="11"/>
  <c r="Z25" i="11"/>
  <c r="Y25" i="11"/>
  <c r="X25" i="11"/>
  <c r="W25" i="11"/>
  <c r="V25" i="11"/>
  <c r="U25" i="11"/>
  <c r="S23" i="11"/>
  <c r="S22" i="11"/>
  <c r="S21" i="11"/>
  <c r="S20" i="11"/>
  <c r="S19" i="11"/>
  <c r="S18" i="11"/>
  <c r="AC17" i="11"/>
  <c r="AB17" i="11"/>
  <c r="AA17" i="11"/>
  <c r="Z17" i="11"/>
  <c r="Y17" i="11"/>
  <c r="X17" i="11"/>
  <c r="W17" i="11"/>
  <c r="V17" i="11"/>
  <c r="U17" i="11"/>
  <c r="S15" i="11"/>
  <c r="S14" i="11"/>
  <c r="S13" i="11"/>
  <c r="S12" i="11"/>
  <c r="S11" i="11"/>
  <c r="S10" i="11"/>
  <c r="AC9" i="11"/>
  <c r="AB9" i="11"/>
  <c r="AA9" i="11"/>
  <c r="Z9" i="11"/>
  <c r="Y9" i="11"/>
  <c r="X9" i="11"/>
  <c r="W9" i="11"/>
  <c r="V9" i="11"/>
  <c r="U9" i="11"/>
  <c r="D77" i="11" l="1"/>
  <c r="E77" i="11"/>
  <c r="G40" i="11"/>
  <c r="H40" i="11"/>
  <c r="S17" i="11"/>
  <c r="S67" i="11"/>
  <c r="Y85" i="11"/>
  <c r="N75" i="11"/>
  <c r="I75" i="11" s="1"/>
  <c r="Y34" i="11"/>
  <c r="N74" i="11"/>
  <c r="I74" i="11" s="1"/>
  <c r="Z34" i="11"/>
  <c r="AC85" i="11"/>
  <c r="N83" i="11"/>
  <c r="N82" i="11"/>
  <c r="N61" i="11"/>
  <c r="N81" i="11"/>
  <c r="L81" i="11" s="1"/>
  <c r="N64" i="11"/>
  <c r="H64" i="11" s="1"/>
  <c r="N80" i="11"/>
  <c r="E80" i="11" s="1"/>
  <c r="N63" i="11"/>
  <c r="J63" i="11" s="1"/>
  <c r="N79" i="11"/>
  <c r="I79" i="11" s="1"/>
  <c r="F74" i="11"/>
  <c r="E74" i="11"/>
  <c r="D74" i="11"/>
  <c r="L76" i="11"/>
  <c r="K76" i="11"/>
  <c r="J76" i="11"/>
  <c r="I76" i="11"/>
  <c r="H76" i="11"/>
  <c r="G76" i="11"/>
  <c r="F76" i="11"/>
  <c r="E76" i="11"/>
  <c r="D76" i="11"/>
  <c r="D39" i="11"/>
  <c r="E39" i="11"/>
  <c r="L39" i="11"/>
  <c r="K39" i="11"/>
  <c r="J39" i="11"/>
  <c r="F39" i="11"/>
  <c r="I39" i="11"/>
  <c r="H39" i="11"/>
  <c r="G39" i="11"/>
  <c r="J75" i="11"/>
  <c r="J83" i="11"/>
  <c r="I83" i="11"/>
  <c r="H83" i="11"/>
  <c r="G83" i="11"/>
  <c r="F83" i="11"/>
  <c r="E83" i="11"/>
  <c r="D83" i="11"/>
  <c r="L83" i="11"/>
  <c r="K83" i="11"/>
  <c r="G62" i="11"/>
  <c r="F62" i="11"/>
  <c r="E62" i="11"/>
  <c r="D62" i="11"/>
  <c r="I62" i="11"/>
  <c r="L62" i="11"/>
  <c r="K62" i="11"/>
  <c r="J62" i="11"/>
  <c r="H62" i="11"/>
  <c r="G82" i="11"/>
  <c r="F82" i="11"/>
  <c r="E82" i="11"/>
  <c r="D82" i="11"/>
  <c r="H82" i="11"/>
  <c r="I82" i="11"/>
  <c r="L82" i="11"/>
  <c r="K82" i="11"/>
  <c r="J82" i="11"/>
  <c r="D81" i="11"/>
  <c r="E81" i="11"/>
  <c r="F81" i="11"/>
  <c r="G81" i="11"/>
  <c r="L64" i="11"/>
  <c r="K64" i="11"/>
  <c r="J64" i="11"/>
  <c r="I64" i="11"/>
  <c r="F64" i="11"/>
  <c r="E64" i="11"/>
  <c r="D64" i="11"/>
  <c r="L80" i="11"/>
  <c r="K80" i="11"/>
  <c r="J80" i="11"/>
  <c r="I80" i="11"/>
  <c r="H80" i="11"/>
  <c r="G80" i="11"/>
  <c r="F80" i="11"/>
  <c r="F63" i="11"/>
  <c r="E63" i="11"/>
  <c r="D63" i="11"/>
  <c r="L63" i="11"/>
  <c r="K63" i="11"/>
  <c r="J79" i="11"/>
  <c r="K41" i="11"/>
  <c r="AA85" i="11"/>
  <c r="AB34" i="11"/>
  <c r="J40" i="11"/>
  <c r="G65" i="11"/>
  <c r="G77" i="11"/>
  <c r="J78" i="11"/>
  <c r="Z85" i="11"/>
  <c r="F65" i="11"/>
  <c r="S43" i="11"/>
  <c r="AC34" i="11"/>
  <c r="S37" i="11"/>
  <c r="N38" i="11"/>
  <c r="K40" i="11"/>
  <c r="H65" i="11"/>
  <c r="H77" i="11"/>
  <c r="K78" i="11"/>
  <c r="L40" i="11"/>
  <c r="I65" i="11"/>
  <c r="I77" i="11"/>
  <c r="L78" i="11"/>
  <c r="S61" i="11"/>
  <c r="F77" i="11"/>
  <c r="I78" i="11"/>
  <c r="U85" i="11"/>
  <c r="D41" i="11"/>
  <c r="J65" i="11"/>
  <c r="J77" i="11"/>
  <c r="S56" i="11"/>
  <c r="I40" i="11"/>
  <c r="S25" i="11"/>
  <c r="V85" i="11"/>
  <c r="E41" i="11"/>
  <c r="K65" i="11"/>
  <c r="K77" i="11"/>
  <c r="AA34" i="11"/>
  <c r="L41" i="11"/>
  <c r="U34" i="11"/>
  <c r="S34" i="11" s="1"/>
  <c r="W85" i="11"/>
  <c r="F41" i="11"/>
  <c r="L65" i="11"/>
  <c r="L77" i="11"/>
  <c r="D40" i="11"/>
  <c r="G41" i="11"/>
  <c r="D78" i="11"/>
  <c r="E40" i="11"/>
  <c r="H41" i="11"/>
  <c r="E78" i="11"/>
  <c r="E65" i="11"/>
  <c r="H78" i="11"/>
  <c r="V34" i="11"/>
  <c r="V87" i="11" s="1"/>
  <c r="W34" i="11"/>
  <c r="W87" i="11" s="1"/>
  <c r="S9" i="11"/>
  <c r="X34" i="11"/>
  <c r="X85" i="11"/>
  <c r="F40" i="11"/>
  <c r="I41" i="11"/>
  <c r="F78" i="11"/>
  <c r="AB85" i="11"/>
  <c r="S29" i="11"/>
  <c r="S73" i="11"/>
  <c r="AB87" i="11" l="1"/>
  <c r="U87" i="11"/>
  <c r="G74" i="11"/>
  <c r="Y87" i="11"/>
  <c r="D79" i="11"/>
  <c r="L75" i="11"/>
  <c r="E79" i="11"/>
  <c r="D75" i="11"/>
  <c r="L79" i="11"/>
  <c r="G63" i="11"/>
  <c r="H81" i="11"/>
  <c r="E75" i="11"/>
  <c r="F79" i="11"/>
  <c r="H63" i="11"/>
  <c r="I81" i="11"/>
  <c r="F75" i="11"/>
  <c r="H74" i="11"/>
  <c r="AA87" i="11"/>
  <c r="Z87" i="11"/>
  <c r="AC87" i="11"/>
  <c r="G79" i="11"/>
  <c r="I63" i="11"/>
  <c r="G75" i="11"/>
  <c r="J74" i="11"/>
  <c r="H79" i="11"/>
  <c r="J81" i="11"/>
  <c r="H75" i="11"/>
  <c r="K74" i="11"/>
  <c r="K79" i="11"/>
  <c r="D80" i="11"/>
  <c r="G64" i="11"/>
  <c r="K81" i="11"/>
  <c r="K75" i="11"/>
  <c r="L74" i="11"/>
  <c r="L38" i="11"/>
  <c r="K38" i="11"/>
  <c r="J38" i="11"/>
  <c r="I38" i="11"/>
  <c r="H38" i="11"/>
  <c r="G38" i="11"/>
  <c r="F38" i="11"/>
  <c r="E38" i="11"/>
  <c r="D38" i="11"/>
  <c r="X87" i="11"/>
  <c r="S87" i="11"/>
  <c r="S85" i="11"/>
  <c r="P11" i="11" l="1"/>
  <c r="P12" i="11"/>
  <c r="P13" i="11"/>
  <c r="P14" i="11"/>
  <c r="P15" i="11"/>
  <c r="P9" i="11" l="1"/>
  <c r="G60" i="72"/>
  <c r="G61" i="72"/>
  <c r="G62" i="72"/>
  <c r="G63" i="72"/>
  <c r="G64" i="72"/>
  <c r="G65" i="72"/>
  <c r="G66" i="72"/>
  <c r="G67" i="72"/>
  <c r="G68" i="72"/>
  <c r="G69" i="72"/>
  <c r="G70" i="72"/>
  <c r="G71" i="72"/>
  <c r="G72" i="72"/>
  <c r="G73" i="72"/>
  <c r="G74" i="72"/>
  <c r="G75" i="72"/>
  <c r="G76" i="72"/>
  <c r="G77" i="72"/>
  <c r="G78" i="72"/>
  <c r="H49" i="72"/>
  <c r="H25" i="72"/>
  <c r="G79" i="72" s="1"/>
  <c r="L8" i="74"/>
  <c r="L9" i="74"/>
  <c r="L11" i="74"/>
  <c r="L12" i="74"/>
  <c r="H13" i="74"/>
  <c r="D13" i="74"/>
  <c r="L13" i="74" l="1"/>
  <c r="G49" i="73"/>
  <c r="G48" i="73"/>
  <c r="G47" i="73"/>
  <c r="G46" i="73"/>
  <c r="G45" i="73"/>
  <c r="G44" i="73"/>
  <c r="F49" i="73"/>
  <c r="F48" i="73"/>
  <c r="F47" i="73"/>
  <c r="F46" i="73"/>
  <c r="F45" i="73"/>
  <c r="F44" i="73"/>
  <c r="E49" i="73"/>
  <c r="E48" i="73"/>
  <c r="E47" i="73"/>
  <c r="E46" i="73"/>
  <c r="E45" i="73"/>
  <c r="E44" i="73"/>
  <c r="D49" i="73"/>
  <c r="D48" i="73"/>
  <c r="D47" i="73"/>
  <c r="D46" i="73"/>
  <c r="D45" i="73"/>
  <c r="D44" i="73"/>
  <c r="C49" i="73"/>
  <c r="C48" i="73"/>
  <c r="C47" i="73"/>
  <c r="C46" i="73"/>
  <c r="C45" i="73"/>
  <c r="C44" i="73"/>
  <c r="K12" i="73"/>
  <c r="K11" i="73"/>
  <c r="K9" i="73"/>
  <c r="K8" i="73"/>
  <c r="F12" i="73"/>
  <c r="E12" i="73"/>
  <c r="F11" i="73"/>
  <c r="E11" i="73"/>
  <c r="F9" i="73"/>
  <c r="E9" i="73"/>
  <c r="F8" i="73"/>
  <c r="E8" i="73"/>
  <c r="G16" i="75" l="1"/>
  <c r="E17" i="86"/>
  <c r="D17" i="86"/>
  <c r="V61" i="98"/>
  <c r="U61" i="98"/>
  <c r="T61" i="98"/>
  <c r="S61" i="98"/>
  <c r="R61" i="98"/>
  <c r="Q61" i="98"/>
  <c r="P61" i="98"/>
  <c r="O61" i="98"/>
  <c r="N61" i="98"/>
  <c r="M61" i="98"/>
  <c r="L61" i="98"/>
  <c r="K61" i="98"/>
  <c r="J61" i="98"/>
  <c r="I61" i="98"/>
  <c r="H61" i="98"/>
  <c r="G61" i="98"/>
  <c r="F61" i="98"/>
  <c r="E61" i="98"/>
  <c r="D61" i="98"/>
  <c r="C61" i="98"/>
  <c r="Y60" i="98"/>
  <c r="X60" i="98"/>
  <c r="W60" i="98"/>
  <c r="Y59" i="98"/>
  <c r="X59" i="98"/>
  <c r="W59" i="98"/>
  <c r="Y58" i="98"/>
  <c r="X58" i="98"/>
  <c r="W58" i="98"/>
  <c r="Y57" i="98"/>
  <c r="X57" i="98"/>
  <c r="W57" i="98"/>
  <c r="Y56" i="98"/>
  <c r="X56" i="98"/>
  <c r="W56" i="98"/>
  <c r="Y55" i="98"/>
  <c r="Y54" i="98"/>
  <c r="Y53" i="98"/>
  <c r="X53" i="98"/>
  <c r="W53" i="98"/>
  <c r="Y52" i="98"/>
  <c r="X52" i="98"/>
  <c r="W52" i="98"/>
  <c r="Y51" i="98"/>
  <c r="Y50" i="98"/>
  <c r="X50" i="98"/>
  <c r="W50" i="98"/>
  <c r="Y49" i="98"/>
  <c r="X49" i="98"/>
  <c r="W49" i="98"/>
  <c r="Y48" i="98"/>
  <c r="X48" i="98"/>
  <c r="W48" i="98"/>
  <c r="Y47" i="98"/>
  <c r="Y46" i="98"/>
  <c r="X46" i="98"/>
  <c r="W46" i="98"/>
  <c r="Y45" i="98"/>
  <c r="X45" i="98"/>
  <c r="W45" i="98"/>
  <c r="Y44" i="98"/>
  <c r="X44" i="98"/>
  <c r="W44" i="98"/>
  <c r="Y43" i="98"/>
  <c r="X43" i="98"/>
  <c r="W43" i="98"/>
  <c r="Y42" i="98"/>
  <c r="X42" i="98"/>
  <c r="W42" i="98"/>
  <c r="Y41" i="98"/>
  <c r="X41" i="98"/>
  <c r="W41" i="98"/>
  <c r="AB30" i="98"/>
  <c r="AA30" i="98"/>
  <c r="Z30" i="98"/>
  <c r="Y30" i="98"/>
  <c r="X30" i="98"/>
  <c r="W30" i="98"/>
  <c r="V30" i="98"/>
  <c r="U30" i="98"/>
  <c r="T30" i="98"/>
  <c r="S30" i="98"/>
  <c r="R30" i="98"/>
  <c r="Q30" i="98"/>
  <c r="P30" i="98"/>
  <c r="O30" i="98"/>
  <c r="L30" i="98"/>
  <c r="K30" i="98"/>
  <c r="J30" i="98"/>
  <c r="I30" i="98"/>
  <c r="H30" i="98"/>
  <c r="G30" i="98"/>
  <c r="F30" i="98"/>
  <c r="E30" i="98"/>
  <c r="N29" i="98"/>
  <c r="M29" i="98"/>
  <c r="AC29" i="98" s="1"/>
  <c r="D29" i="98"/>
  <c r="C29" i="98"/>
  <c r="N28" i="98"/>
  <c r="M28" i="98"/>
  <c r="AC28" i="98" s="1"/>
  <c r="D28" i="98"/>
  <c r="C28" i="98"/>
  <c r="N27" i="98"/>
  <c r="AD27" i="98" s="1"/>
  <c r="M27" i="98"/>
  <c r="AC27" i="98" s="1"/>
  <c r="D27" i="98"/>
  <c r="C27" i="98"/>
  <c r="N26" i="98"/>
  <c r="M26" i="98"/>
  <c r="D26" i="98"/>
  <c r="C26" i="98"/>
  <c r="AE25" i="98"/>
  <c r="N25" i="98"/>
  <c r="M25" i="98"/>
  <c r="D25" i="98"/>
  <c r="C25" i="98"/>
  <c r="AE24" i="98"/>
  <c r="N24" i="98"/>
  <c r="M24" i="98"/>
  <c r="D24" i="98"/>
  <c r="C24" i="98"/>
  <c r="N23" i="98"/>
  <c r="M23" i="98"/>
  <c r="D23" i="98"/>
  <c r="C23" i="98"/>
  <c r="N22" i="98"/>
  <c r="M22" i="98"/>
  <c r="D22" i="98"/>
  <c r="C22" i="98"/>
  <c r="N21" i="98"/>
  <c r="AD21" i="98" s="1"/>
  <c r="M21" i="98"/>
  <c r="AC21" i="98" s="1"/>
  <c r="D21" i="98"/>
  <c r="C21" i="98"/>
  <c r="N20" i="98"/>
  <c r="M20" i="98"/>
  <c r="D20" i="98"/>
  <c r="C20" i="98"/>
  <c r="N19" i="98"/>
  <c r="AD19" i="98" s="1"/>
  <c r="M19" i="98"/>
  <c r="AC19" i="98" s="1"/>
  <c r="AE19" i="98" s="1"/>
  <c r="D19" i="98"/>
  <c r="C19" i="98"/>
  <c r="N18" i="98"/>
  <c r="M18" i="98"/>
  <c r="D18" i="98"/>
  <c r="C18" i="98"/>
  <c r="N17" i="98"/>
  <c r="AD17" i="98" s="1"/>
  <c r="M17" i="98"/>
  <c r="D17" i="98"/>
  <c r="C17" i="98"/>
  <c r="AC16" i="98"/>
  <c r="N16" i="98"/>
  <c r="AD16" i="98" s="1"/>
  <c r="AE16" i="98" s="1"/>
  <c r="M16" i="98"/>
  <c r="D16" i="98"/>
  <c r="C16" i="98"/>
  <c r="N15" i="98"/>
  <c r="M15" i="98"/>
  <c r="D15" i="98"/>
  <c r="C15" i="98"/>
  <c r="AD14" i="98"/>
  <c r="N14" i="98"/>
  <c r="M14" i="98"/>
  <c r="D14" i="98"/>
  <c r="C14" i="98"/>
  <c r="N13" i="98"/>
  <c r="M13" i="98"/>
  <c r="D13" i="98"/>
  <c r="C13" i="98"/>
  <c r="N12" i="98"/>
  <c r="M12" i="98"/>
  <c r="D12" i="98"/>
  <c r="C12" i="98"/>
  <c r="N11" i="98"/>
  <c r="AD11" i="98" s="1"/>
  <c r="M11" i="98"/>
  <c r="AC11" i="98" s="1"/>
  <c r="D11" i="98"/>
  <c r="C11" i="98"/>
  <c r="N10" i="98"/>
  <c r="M10" i="98"/>
  <c r="D10" i="98"/>
  <c r="C10" i="98"/>
  <c r="V61" i="97"/>
  <c r="U61" i="97"/>
  <c r="T61" i="97"/>
  <c r="S61" i="97"/>
  <c r="R61" i="97"/>
  <c r="Q61" i="97"/>
  <c r="P61" i="97"/>
  <c r="O61" i="97"/>
  <c r="N61" i="97"/>
  <c r="M61" i="97"/>
  <c r="L61" i="97"/>
  <c r="K61" i="97"/>
  <c r="J61" i="97"/>
  <c r="I61" i="97"/>
  <c r="H61" i="97"/>
  <c r="G61" i="97"/>
  <c r="F61" i="97"/>
  <c r="E61" i="97"/>
  <c r="D61" i="97"/>
  <c r="C61" i="97"/>
  <c r="X60" i="97"/>
  <c r="W60" i="97"/>
  <c r="Y60" i="97" s="1"/>
  <c r="X59" i="97"/>
  <c r="W59" i="97"/>
  <c r="Y59" i="97" s="1"/>
  <c r="X58" i="97"/>
  <c r="W58" i="97"/>
  <c r="X57" i="97"/>
  <c r="W57" i="97"/>
  <c r="X56" i="97"/>
  <c r="W56" i="97"/>
  <c r="Y56" i="97" s="1"/>
  <c r="X55" i="97"/>
  <c r="W55" i="97"/>
  <c r="Y55" i="97" s="1"/>
  <c r="X54" i="97"/>
  <c r="W54" i="97"/>
  <c r="X53" i="97"/>
  <c r="W53" i="97"/>
  <c r="Y53" i="97" s="1"/>
  <c r="X52" i="97"/>
  <c r="W52" i="97"/>
  <c r="X51" i="97"/>
  <c r="W51" i="97"/>
  <c r="X50" i="97"/>
  <c r="W50" i="97"/>
  <c r="X49" i="97"/>
  <c r="W49" i="97"/>
  <c r="X48" i="97"/>
  <c r="W48" i="97"/>
  <c r="Y48" i="97" s="1"/>
  <c r="X47" i="97"/>
  <c r="W47" i="97"/>
  <c r="Y47" i="97" s="1"/>
  <c r="X46" i="97"/>
  <c r="W46" i="97"/>
  <c r="X45" i="97"/>
  <c r="W45" i="97"/>
  <c r="Y45" i="97" s="1"/>
  <c r="X44" i="97"/>
  <c r="W44" i="97"/>
  <c r="Y44" i="97" s="1"/>
  <c r="X43" i="97"/>
  <c r="W43" i="97"/>
  <c r="Y43" i="97" s="1"/>
  <c r="X42" i="97"/>
  <c r="W42" i="97"/>
  <c r="X41" i="97"/>
  <c r="W41" i="97"/>
  <c r="AB30" i="97"/>
  <c r="AA30" i="97"/>
  <c r="Z30" i="97"/>
  <c r="Y30" i="97"/>
  <c r="X30" i="97"/>
  <c r="W30" i="97"/>
  <c r="V30" i="97"/>
  <c r="U30" i="97"/>
  <c r="T30" i="97"/>
  <c r="S30" i="97"/>
  <c r="R30" i="97"/>
  <c r="Q30" i="97"/>
  <c r="P30" i="97"/>
  <c r="O30" i="97"/>
  <c r="L30" i="97"/>
  <c r="K30" i="97"/>
  <c r="J30" i="97"/>
  <c r="I30" i="97"/>
  <c r="H30" i="97"/>
  <c r="G30" i="97"/>
  <c r="F30" i="97"/>
  <c r="E30" i="97"/>
  <c r="N29" i="97"/>
  <c r="M29" i="97"/>
  <c r="D29" i="97"/>
  <c r="C29" i="97"/>
  <c r="N28" i="97"/>
  <c r="M28" i="97"/>
  <c r="D28" i="97"/>
  <c r="C28" i="97"/>
  <c r="N27" i="97"/>
  <c r="M27" i="97"/>
  <c r="AC27" i="97" s="1"/>
  <c r="D27" i="97"/>
  <c r="C27" i="97"/>
  <c r="N26" i="97"/>
  <c r="M26" i="97"/>
  <c r="D26" i="97"/>
  <c r="C26" i="97"/>
  <c r="N25" i="97"/>
  <c r="M25" i="97"/>
  <c r="AC25" i="97" s="1"/>
  <c r="D25" i="97"/>
  <c r="C25" i="97"/>
  <c r="N24" i="97"/>
  <c r="M24" i="97"/>
  <c r="D24" i="97"/>
  <c r="C24" i="97"/>
  <c r="N23" i="97"/>
  <c r="M23" i="97"/>
  <c r="D23" i="97"/>
  <c r="AD23" i="97" s="1"/>
  <c r="C23" i="97"/>
  <c r="N22" i="97"/>
  <c r="M22" i="97"/>
  <c r="D22" i="97"/>
  <c r="C22" i="97"/>
  <c r="N21" i="97"/>
  <c r="M21" i="97"/>
  <c r="D21" i="97"/>
  <c r="C21" i="97"/>
  <c r="N20" i="97"/>
  <c r="M20" i="97"/>
  <c r="D20" i="97"/>
  <c r="C20" i="97"/>
  <c r="N19" i="97"/>
  <c r="M19" i="97"/>
  <c r="D19" i="97"/>
  <c r="C19" i="97"/>
  <c r="N18" i="97"/>
  <c r="M18" i="97"/>
  <c r="D18" i="97"/>
  <c r="C18" i="97"/>
  <c r="N17" i="97"/>
  <c r="M17" i="97"/>
  <c r="AC17" i="97" s="1"/>
  <c r="D17" i="97"/>
  <c r="C17" i="97"/>
  <c r="N16" i="97"/>
  <c r="M16" i="97"/>
  <c r="AC16" i="97" s="1"/>
  <c r="D16" i="97"/>
  <c r="C16" i="97"/>
  <c r="N15" i="97"/>
  <c r="M15" i="97"/>
  <c r="D15" i="97"/>
  <c r="C15" i="97"/>
  <c r="N14" i="97"/>
  <c r="M14" i="97"/>
  <c r="D14" i="97"/>
  <c r="C14" i="97"/>
  <c r="N13" i="97"/>
  <c r="AD13" i="97" s="1"/>
  <c r="M13" i="97"/>
  <c r="AC13" i="97" s="1"/>
  <c r="D13" i="97"/>
  <c r="C13" i="97"/>
  <c r="N12" i="97"/>
  <c r="M12" i="97"/>
  <c r="D12" i="97"/>
  <c r="AD12" i="97" s="1"/>
  <c r="C12" i="97"/>
  <c r="N11" i="97"/>
  <c r="AD11" i="97" s="1"/>
  <c r="M11" i="97"/>
  <c r="D11" i="97"/>
  <c r="C11" i="97"/>
  <c r="N10" i="97"/>
  <c r="M10" i="97"/>
  <c r="D10" i="97"/>
  <c r="C10" i="97"/>
  <c r="V61" i="96"/>
  <c r="U61" i="96"/>
  <c r="T61" i="96"/>
  <c r="S61" i="96"/>
  <c r="R61" i="96"/>
  <c r="Q61" i="96"/>
  <c r="P61" i="96"/>
  <c r="O61" i="96"/>
  <c r="N61" i="96"/>
  <c r="M61" i="96"/>
  <c r="L61" i="96"/>
  <c r="K61" i="96"/>
  <c r="J61" i="96"/>
  <c r="I61" i="96"/>
  <c r="H61" i="96"/>
  <c r="G61" i="96"/>
  <c r="F61" i="96"/>
  <c r="E61" i="96"/>
  <c r="D61" i="96"/>
  <c r="C61" i="96"/>
  <c r="X60" i="96"/>
  <c r="W60" i="96"/>
  <c r="Y60" i="96" s="1"/>
  <c r="X59" i="96"/>
  <c r="W59" i="96"/>
  <c r="X58" i="96"/>
  <c r="W58" i="96"/>
  <c r="Y58" i="96" s="1"/>
  <c r="X57" i="96"/>
  <c r="W57" i="96"/>
  <c r="Y57" i="96" s="1"/>
  <c r="X56" i="96"/>
  <c r="W56" i="96"/>
  <c r="X55" i="96"/>
  <c r="W55" i="96"/>
  <c r="Y55" i="96" s="1"/>
  <c r="X54" i="96"/>
  <c r="W54" i="96"/>
  <c r="X53" i="96"/>
  <c r="W53" i="96"/>
  <c r="Y53" i="96" s="1"/>
  <c r="X52" i="96"/>
  <c r="W52" i="96"/>
  <c r="Y52" i="96" s="1"/>
  <c r="X51" i="96"/>
  <c r="W51" i="96"/>
  <c r="Y51" i="96" s="1"/>
  <c r="X50" i="96"/>
  <c r="W50" i="96"/>
  <c r="Y50" i="96" s="1"/>
  <c r="X49" i="96"/>
  <c r="W49" i="96"/>
  <c r="Y49" i="96" s="1"/>
  <c r="X48" i="96"/>
  <c r="W48" i="96"/>
  <c r="Y48" i="96" s="1"/>
  <c r="X47" i="96"/>
  <c r="W47" i="96"/>
  <c r="X46" i="96"/>
  <c r="W46" i="96"/>
  <c r="X45" i="96"/>
  <c r="W45" i="96"/>
  <c r="X44" i="96"/>
  <c r="W44" i="96"/>
  <c r="Y44" i="96" s="1"/>
  <c r="X43" i="96"/>
  <c r="W43" i="96"/>
  <c r="X42" i="96"/>
  <c r="W42" i="96"/>
  <c r="Y42" i="96" s="1"/>
  <c r="X41" i="96"/>
  <c r="W41" i="96"/>
  <c r="AB30" i="96"/>
  <c r="AA30" i="96"/>
  <c r="Z30" i="96"/>
  <c r="Y30" i="96"/>
  <c r="X30" i="96"/>
  <c r="W30" i="96"/>
  <c r="V30" i="96"/>
  <c r="U30" i="96"/>
  <c r="T30" i="96"/>
  <c r="S30" i="96"/>
  <c r="R30" i="96"/>
  <c r="Q30" i="96"/>
  <c r="P30" i="96"/>
  <c r="O30" i="96"/>
  <c r="L30" i="96"/>
  <c r="K30" i="96"/>
  <c r="J30" i="96"/>
  <c r="I30" i="96"/>
  <c r="H30" i="96"/>
  <c r="G30" i="96"/>
  <c r="F30" i="96"/>
  <c r="E30" i="96"/>
  <c r="N29" i="96"/>
  <c r="M29" i="96"/>
  <c r="D29" i="96"/>
  <c r="C29" i="96"/>
  <c r="N28" i="96"/>
  <c r="M28" i="96"/>
  <c r="D28" i="96"/>
  <c r="C28" i="96"/>
  <c r="N27" i="96"/>
  <c r="M27" i="96"/>
  <c r="D27" i="96"/>
  <c r="C27" i="96"/>
  <c r="N26" i="96"/>
  <c r="M26" i="96"/>
  <c r="D26" i="96"/>
  <c r="C26" i="96"/>
  <c r="N25" i="96"/>
  <c r="M25" i="96"/>
  <c r="D25" i="96"/>
  <c r="AD25" i="96" s="1"/>
  <c r="C25" i="96"/>
  <c r="N24" i="96"/>
  <c r="M24" i="96"/>
  <c r="D24" i="96"/>
  <c r="C24" i="96"/>
  <c r="N23" i="96"/>
  <c r="M23" i="96"/>
  <c r="D23" i="96"/>
  <c r="AD23" i="96" s="1"/>
  <c r="C23" i="96"/>
  <c r="N22" i="96"/>
  <c r="M22" i="96"/>
  <c r="D22" i="96"/>
  <c r="C22" i="96"/>
  <c r="N21" i="96"/>
  <c r="M21" i="96"/>
  <c r="D21" i="96"/>
  <c r="C21" i="96"/>
  <c r="N20" i="96"/>
  <c r="M20" i="96"/>
  <c r="D20" i="96"/>
  <c r="C20" i="96"/>
  <c r="AC20" i="96" s="1"/>
  <c r="N19" i="96"/>
  <c r="M19" i="96"/>
  <c r="D19" i="96"/>
  <c r="C19" i="96"/>
  <c r="N18" i="96"/>
  <c r="M18" i="96"/>
  <c r="D18" i="96"/>
  <c r="C18" i="96"/>
  <c r="AC18" i="96" s="1"/>
  <c r="N17" i="96"/>
  <c r="M17" i="96"/>
  <c r="D17" i="96"/>
  <c r="C17" i="96"/>
  <c r="N16" i="96"/>
  <c r="M16" i="96"/>
  <c r="D16" i="96"/>
  <c r="C16" i="96"/>
  <c r="N15" i="96"/>
  <c r="M15" i="96"/>
  <c r="D15" i="96"/>
  <c r="C15" i="96"/>
  <c r="N14" i="96"/>
  <c r="M14" i="96"/>
  <c r="D14" i="96"/>
  <c r="C14" i="96"/>
  <c r="N13" i="96"/>
  <c r="M13" i="96"/>
  <c r="D13" i="96"/>
  <c r="C13" i="96"/>
  <c r="N12" i="96"/>
  <c r="M12" i="96"/>
  <c r="D12" i="96"/>
  <c r="C12" i="96"/>
  <c r="N11" i="96"/>
  <c r="M11" i="96"/>
  <c r="D11" i="96"/>
  <c r="C11" i="96"/>
  <c r="N10" i="96"/>
  <c r="M10" i="96"/>
  <c r="D10" i="96"/>
  <c r="C10" i="96"/>
  <c r="V61" i="95"/>
  <c r="U61" i="95"/>
  <c r="T61" i="95"/>
  <c r="S61" i="95"/>
  <c r="R61" i="95"/>
  <c r="Q61" i="95"/>
  <c r="P61" i="95"/>
  <c r="O61" i="95"/>
  <c r="N61" i="95"/>
  <c r="M61" i="95"/>
  <c r="L61" i="95"/>
  <c r="K61" i="95"/>
  <c r="J61" i="95"/>
  <c r="I61" i="95"/>
  <c r="H61" i="95"/>
  <c r="G61" i="95"/>
  <c r="F61" i="95"/>
  <c r="E61" i="95"/>
  <c r="D61" i="95"/>
  <c r="C61" i="95"/>
  <c r="X60" i="95"/>
  <c r="W60" i="95"/>
  <c r="Y60" i="95" s="1"/>
  <c r="X59" i="95"/>
  <c r="W59" i="95"/>
  <c r="X58" i="95"/>
  <c r="W58" i="95"/>
  <c r="Y58" i="95" s="1"/>
  <c r="X57" i="95"/>
  <c r="W57" i="95"/>
  <c r="X56" i="95"/>
  <c r="W56" i="95"/>
  <c r="Y56" i="95" s="1"/>
  <c r="X55" i="95"/>
  <c r="W55" i="95"/>
  <c r="X54" i="95"/>
  <c r="W54" i="95"/>
  <c r="Y54" i="95" s="1"/>
  <c r="X53" i="95"/>
  <c r="W53" i="95"/>
  <c r="X52" i="95"/>
  <c r="W52" i="95"/>
  <c r="Y52" i="95" s="1"/>
  <c r="X51" i="95"/>
  <c r="W51" i="95"/>
  <c r="Y51" i="95" s="1"/>
  <c r="X50" i="95"/>
  <c r="W50" i="95"/>
  <c r="Y50" i="95" s="1"/>
  <c r="X49" i="95"/>
  <c r="W49" i="95"/>
  <c r="X48" i="95"/>
  <c r="W48" i="95"/>
  <c r="X47" i="95"/>
  <c r="W47" i="95"/>
  <c r="X46" i="95"/>
  <c r="W46" i="95"/>
  <c r="X45" i="95"/>
  <c r="W45" i="95"/>
  <c r="Y45" i="95" s="1"/>
  <c r="X44" i="95"/>
  <c r="W44" i="95"/>
  <c r="X43" i="95"/>
  <c r="W43" i="95"/>
  <c r="Y43" i="95" s="1"/>
  <c r="X42" i="95"/>
  <c r="W42" i="95"/>
  <c r="Y42" i="95" s="1"/>
  <c r="X41" i="95"/>
  <c r="W41" i="95"/>
  <c r="AB30" i="95"/>
  <c r="AA30" i="95"/>
  <c r="Z30" i="95"/>
  <c r="Y30" i="95"/>
  <c r="X30" i="95"/>
  <c r="W30" i="95"/>
  <c r="V30" i="95"/>
  <c r="U30" i="95"/>
  <c r="T30" i="95"/>
  <c r="S30" i="95"/>
  <c r="R30" i="95"/>
  <c r="Q30" i="95"/>
  <c r="P30" i="95"/>
  <c r="O30" i="95"/>
  <c r="L30" i="95"/>
  <c r="K30" i="95"/>
  <c r="J30" i="95"/>
  <c r="I30" i="95"/>
  <c r="H30" i="95"/>
  <c r="G30" i="95"/>
  <c r="F30" i="95"/>
  <c r="E30" i="95"/>
  <c r="N29" i="95"/>
  <c r="M29" i="95"/>
  <c r="D29" i="95"/>
  <c r="C29" i="95"/>
  <c r="N28" i="95"/>
  <c r="M28" i="95"/>
  <c r="D28" i="95"/>
  <c r="C28" i="95"/>
  <c r="N27" i="95"/>
  <c r="AD27" i="95" s="1"/>
  <c r="M27" i="95"/>
  <c r="AC27" i="95" s="1"/>
  <c r="D27" i="95"/>
  <c r="C27" i="95"/>
  <c r="N26" i="95"/>
  <c r="M26" i="95"/>
  <c r="D26" i="95"/>
  <c r="C26" i="95"/>
  <c r="N25" i="95"/>
  <c r="M25" i="95"/>
  <c r="AC25" i="95" s="1"/>
  <c r="D25" i="95"/>
  <c r="C25" i="95"/>
  <c r="N24" i="95"/>
  <c r="AD24" i="95" s="1"/>
  <c r="M24" i="95"/>
  <c r="D24" i="95"/>
  <c r="C24" i="95"/>
  <c r="N23" i="95"/>
  <c r="AD23" i="95" s="1"/>
  <c r="M23" i="95"/>
  <c r="D23" i="95"/>
  <c r="C23" i="95"/>
  <c r="N22" i="95"/>
  <c r="M22" i="95"/>
  <c r="D22" i="95"/>
  <c r="C22" i="95"/>
  <c r="N21" i="95"/>
  <c r="M21" i="95"/>
  <c r="D21" i="95"/>
  <c r="C21" i="95"/>
  <c r="N20" i="95"/>
  <c r="AD20" i="95" s="1"/>
  <c r="M20" i="95"/>
  <c r="AC20" i="95" s="1"/>
  <c r="D20" i="95"/>
  <c r="C20" i="95"/>
  <c r="N19" i="95"/>
  <c r="M19" i="95"/>
  <c r="D19" i="95"/>
  <c r="C19" i="95"/>
  <c r="N18" i="95"/>
  <c r="AD18" i="95" s="1"/>
  <c r="M18" i="95"/>
  <c r="D18" i="95"/>
  <c r="C18" i="95"/>
  <c r="N17" i="95"/>
  <c r="M17" i="95"/>
  <c r="D17" i="95"/>
  <c r="C17" i="95"/>
  <c r="N16" i="95"/>
  <c r="M16" i="95"/>
  <c r="D16" i="95"/>
  <c r="C16" i="95"/>
  <c r="N15" i="95"/>
  <c r="M15" i="95"/>
  <c r="AC15" i="95" s="1"/>
  <c r="D15" i="95"/>
  <c r="C15" i="95"/>
  <c r="N14" i="95"/>
  <c r="AD14" i="95" s="1"/>
  <c r="M14" i="95"/>
  <c r="AC14" i="95" s="1"/>
  <c r="D14" i="95"/>
  <c r="C14" i="95"/>
  <c r="N13" i="95"/>
  <c r="M13" i="95"/>
  <c r="D13" i="95"/>
  <c r="C13" i="95"/>
  <c r="AC13" i="95" s="1"/>
  <c r="N12" i="95"/>
  <c r="M12" i="95"/>
  <c r="M30" i="95" s="1"/>
  <c r="D12" i="95"/>
  <c r="C12" i="95"/>
  <c r="N11" i="95"/>
  <c r="AD11" i="95" s="1"/>
  <c r="M11" i="95"/>
  <c r="D11" i="95"/>
  <c r="C11" i="95"/>
  <c r="N10" i="95"/>
  <c r="M10" i="95"/>
  <c r="D10" i="95"/>
  <c r="C10" i="95"/>
  <c r="V61" i="94"/>
  <c r="U61" i="94"/>
  <c r="T61" i="94"/>
  <c r="S61" i="94"/>
  <c r="R61" i="94"/>
  <c r="Q61" i="94"/>
  <c r="P61" i="94"/>
  <c r="O61" i="94"/>
  <c r="N61" i="94"/>
  <c r="M61" i="94"/>
  <c r="L61" i="94"/>
  <c r="K61" i="94"/>
  <c r="J61" i="94"/>
  <c r="I61" i="94"/>
  <c r="H61" i="94"/>
  <c r="G61" i="94"/>
  <c r="F61" i="94"/>
  <c r="E61" i="94"/>
  <c r="D61" i="94"/>
  <c r="C61" i="94"/>
  <c r="X60" i="94"/>
  <c r="W60" i="94"/>
  <c r="Y60" i="94" s="1"/>
  <c r="X59" i="94"/>
  <c r="W59" i="94"/>
  <c r="Y59" i="94" s="1"/>
  <c r="X58" i="94"/>
  <c r="W58" i="94"/>
  <c r="X57" i="94"/>
  <c r="W57" i="94"/>
  <c r="X56" i="94"/>
  <c r="W56" i="94"/>
  <c r="Y56" i="94" s="1"/>
  <c r="X55" i="94"/>
  <c r="W55" i="94"/>
  <c r="Y55" i="94" s="1"/>
  <c r="X54" i="94"/>
  <c r="W54" i="94"/>
  <c r="X53" i="94"/>
  <c r="W53" i="94"/>
  <c r="X52" i="94"/>
  <c r="Y52" i="94" s="1"/>
  <c r="W52" i="94"/>
  <c r="X51" i="94"/>
  <c r="W51" i="94"/>
  <c r="Y51" i="94" s="1"/>
  <c r="X50" i="94"/>
  <c r="Y50" i="94" s="1"/>
  <c r="W50" i="94"/>
  <c r="X49" i="94"/>
  <c r="W49" i="94"/>
  <c r="Y49" i="94" s="1"/>
  <c r="X48" i="94"/>
  <c r="W48" i="94"/>
  <c r="Y48" i="94" s="1"/>
  <c r="X47" i="94"/>
  <c r="W47" i="94"/>
  <c r="X46" i="94"/>
  <c r="Y46" i="94" s="1"/>
  <c r="W46" i="94"/>
  <c r="X45" i="94"/>
  <c r="W45" i="94"/>
  <c r="Y45" i="94" s="1"/>
  <c r="X44" i="94"/>
  <c r="W44" i="94"/>
  <c r="X43" i="94"/>
  <c r="W43" i="94"/>
  <c r="Y43" i="94" s="1"/>
  <c r="X42" i="94"/>
  <c r="W42" i="94"/>
  <c r="X41" i="94"/>
  <c r="W41" i="94"/>
  <c r="AB30" i="94"/>
  <c r="AA30" i="94"/>
  <c r="Z30" i="94"/>
  <c r="Y30" i="94"/>
  <c r="X30" i="94"/>
  <c r="W30" i="94"/>
  <c r="V30" i="94"/>
  <c r="U30" i="94"/>
  <c r="T30" i="94"/>
  <c r="S30" i="94"/>
  <c r="R30" i="94"/>
  <c r="Q30" i="94"/>
  <c r="P30" i="94"/>
  <c r="O30" i="94"/>
  <c r="L30" i="94"/>
  <c r="K30" i="94"/>
  <c r="J30" i="94"/>
  <c r="I30" i="94"/>
  <c r="H30" i="94"/>
  <c r="G30" i="94"/>
  <c r="F30" i="94"/>
  <c r="E30" i="94"/>
  <c r="N29" i="94"/>
  <c r="M29" i="94"/>
  <c r="D29" i="94"/>
  <c r="C29" i="94"/>
  <c r="N28" i="94"/>
  <c r="M28" i="94"/>
  <c r="D28" i="94"/>
  <c r="C28" i="94"/>
  <c r="N27" i="94"/>
  <c r="M27" i="94"/>
  <c r="D27" i="94"/>
  <c r="C27" i="94"/>
  <c r="N26" i="94"/>
  <c r="M26" i="94"/>
  <c r="AC26" i="94" s="1"/>
  <c r="D26" i="94"/>
  <c r="C26" i="94"/>
  <c r="N25" i="94"/>
  <c r="M25" i="94"/>
  <c r="D25" i="94"/>
  <c r="C25" i="94"/>
  <c r="N24" i="94"/>
  <c r="M24" i="94"/>
  <c r="D24" i="94"/>
  <c r="C24" i="94"/>
  <c r="N23" i="94"/>
  <c r="M23" i="94"/>
  <c r="D23" i="94"/>
  <c r="C23" i="94"/>
  <c r="N22" i="94"/>
  <c r="M22" i="94"/>
  <c r="AC22" i="94" s="1"/>
  <c r="D22" i="94"/>
  <c r="C22" i="94"/>
  <c r="N21" i="94"/>
  <c r="M21" i="94"/>
  <c r="D21" i="94"/>
  <c r="C21" i="94"/>
  <c r="N20" i="94"/>
  <c r="M20" i="94"/>
  <c r="D20" i="94"/>
  <c r="C20" i="94"/>
  <c r="AC19" i="94"/>
  <c r="N19" i="94"/>
  <c r="AD19" i="94" s="1"/>
  <c r="M19" i="94"/>
  <c r="D19" i="94"/>
  <c r="C19" i="94"/>
  <c r="N18" i="94"/>
  <c r="M18" i="94"/>
  <c r="D18" i="94"/>
  <c r="AD18" i="94" s="1"/>
  <c r="C18" i="94"/>
  <c r="N17" i="94"/>
  <c r="AD17" i="94" s="1"/>
  <c r="M17" i="94"/>
  <c r="D17" i="94"/>
  <c r="C17" i="94"/>
  <c r="N16" i="94"/>
  <c r="AD16" i="94" s="1"/>
  <c r="M16" i="94"/>
  <c r="D16" i="94"/>
  <c r="C16" i="94"/>
  <c r="N15" i="94"/>
  <c r="M15" i="94"/>
  <c r="D15" i="94"/>
  <c r="C15" i="94"/>
  <c r="N14" i="94"/>
  <c r="AD14" i="94" s="1"/>
  <c r="M14" i="94"/>
  <c r="D14" i="94"/>
  <c r="C14" i="94"/>
  <c r="N13" i="94"/>
  <c r="M13" i="94"/>
  <c r="D13" i="94"/>
  <c r="C13" i="94"/>
  <c r="AC13" i="94" s="1"/>
  <c r="N12" i="94"/>
  <c r="M12" i="94"/>
  <c r="D12" i="94"/>
  <c r="AD12" i="94" s="1"/>
  <c r="C12" i="94"/>
  <c r="N11" i="94"/>
  <c r="AD11" i="94" s="1"/>
  <c r="M11" i="94"/>
  <c r="D11" i="94"/>
  <c r="C11" i="94"/>
  <c r="N10" i="94"/>
  <c r="M10" i="94"/>
  <c r="D10" i="94"/>
  <c r="C10" i="94"/>
  <c r="E10" i="92"/>
  <c r="F10" i="92"/>
  <c r="G10" i="92"/>
  <c r="H10" i="92"/>
  <c r="I10" i="92"/>
  <c r="J10" i="92"/>
  <c r="K10" i="92"/>
  <c r="L10" i="92"/>
  <c r="O10" i="92"/>
  <c r="P10" i="92"/>
  <c r="Q10" i="92"/>
  <c r="R10" i="92"/>
  <c r="S10" i="92"/>
  <c r="T10" i="92"/>
  <c r="U10" i="92"/>
  <c r="V10" i="92"/>
  <c r="W10" i="92"/>
  <c r="X10" i="92"/>
  <c r="Y10" i="92"/>
  <c r="Z10" i="92"/>
  <c r="AA10" i="92"/>
  <c r="AB10" i="92"/>
  <c r="E11" i="92"/>
  <c r="F11" i="92"/>
  <c r="G11" i="92"/>
  <c r="H11" i="92"/>
  <c r="I11" i="92"/>
  <c r="J11" i="92"/>
  <c r="K11" i="92"/>
  <c r="L11" i="92"/>
  <c r="O11" i="92"/>
  <c r="P11" i="92"/>
  <c r="Q11" i="92"/>
  <c r="R11" i="92"/>
  <c r="S11" i="92"/>
  <c r="T11" i="92"/>
  <c r="U11" i="92"/>
  <c r="V11" i="92"/>
  <c r="W11" i="92"/>
  <c r="X11" i="92"/>
  <c r="Y11" i="92"/>
  <c r="Z11" i="92"/>
  <c r="AA11" i="92"/>
  <c r="AB11" i="92"/>
  <c r="E12" i="92"/>
  <c r="F12" i="92"/>
  <c r="G12" i="92"/>
  <c r="H12" i="92"/>
  <c r="I12" i="92"/>
  <c r="J12" i="92"/>
  <c r="K12" i="92"/>
  <c r="L12" i="92"/>
  <c r="O12" i="92"/>
  <c r="P12" i="92"/>
  <c r="Q12" i="92"/>
  <c r="R12" i="92"/>
  <c r="S12" i="92"/>
  <c r="T12" i="92"/>
  <c r="U12" i="92"/>
  <c r="V12" i="92"/>
  <c r="W12" i="92"/>
  <c r="X12" i="92"/>
  <c r="Y12" i="92"/>
  <c r="Z12" i="92"/>
  <c r="AA12" i="92"/>
  <c r="AB12" i="92"/>
  <c r="E13" i="92"/>
  <c r="F13" i="92"/>
  <c r="G13" i="92"/>
  <c r="H13" i="92"/>
  <c r="I13" i="92"/>
  <c r="J13" i="92"/>
  <c r="K13" i="92"/>
  <c r="L13" i="92"/>
  <c r="O13" i="92"/>
  <c r="P13" i="92"/>
  <c r="Q13" i="92"/>
  <c r="R13" i="92"/>
  <c r="S13" i="92"/>
  <c r="T13" i="92"/>
  <c r="U13" i="92"/>
  <c r="V13" i="92"/>
  <c r="W13" i="92"/>
  <c r="X13" i="92"/>
  <c r="Y13" i="92"/>
  <c r="Z13" i="92"/>
  <c r="AA13" i="92"/>
  <c r="AB13" i="92"/>
  <c r="E14" i="92"/>
  <c r="F14" i="92"/>
  <c r="G14" i="92"/>
  <c r="H14" i="92"/>
  <c r="I14" i="92"/>
  <c r="J14" i="92"/>
  <c r="K14" i="92"/>
  <c r="L14" i="92"/>
  <c r="O14" i="92"/>
  <c r="P14" i="92"/>
  <c r="Q14" i="92"/>
  <c r="R14" i="92"/>
  <c r="S14" i="92"/>
  <c r="T14" i="92"/>
  <c r="U14" i="92"/>
  <c r="V14" i="92"/>
  <c r="W14" i="92"/>
  <c r="X14" i="92"/>
  <c r="Y14" i="92"/>
  <c r="Z14" i="92"/>
  <c r="AA14" i="92"/>
  <c r="AB14" i="92"/>
  <c r="E15" i="92"/>
  <c r="F15" i="92"/>
  <c r="G15" i="92"/>
  <c r="H15" i="92"/>
  <c r="I15" i="92"/>
  <c r="J15" i="92"/>
  <c r="K15" i="92"/>
  <c r="L15" i="92"/>
  <c r="O15" i="92"/>
  <c r="P15" i="92"/>
  <c r="Q15" i="92"/>
  <c r="R15" i="92"/>
  <c r="S15" i="92"/>
  <c r="T15" i="92"/>
  <c r="U15" i="92"/>
  <c r="V15" i="92"/>
  <c r="W15" i="92"/>
  <c r="X15" i="92"/>
  <c r="Y15" i="92"/>
  <c r="Z15" i="92"/>
  <c r="AA15" i="92"/>
  <c r="AB15" i="92"/>
  <c r="E16" i="92"/>
  <c r="F16" i="92"/>
  <c r="G16" i="92"/>
  <c r="H16" i="92"/>
  <c r="I16" i="92"/>
  <c r="J16" i="92"/>
  <c r="K16" i="92"/>
  <c r="L16" i="92"/>
  <c r="O16" i="92"/>
  <c r="P16" i="92"/>
  <c r="Q16" i="92"/>
  <c r="R16" i="92"/>
  <c r="S16" i="92"/>
  <c r="T16" i="92"/>
  <c r="U16" i="92"/>
  <c r="V16" i="92"/>
  <c r="W16" i="92"/>
  <c r="X16" i="92"/>
  <c r="Y16" i="92"/>
  <c r="Z16" i="92"/>
  <c r="AA16" i="92"/>
  <c r="AB16" i="92"/>
  <c r="E17" i="92"/>
  <c r="F17" i="92"/>
  <c r="G17" i="92"/>
  <c r="H17" i="92"/>
  <c r="I17" i="92"/>
  <c r="J17" i="92"/>
  <c r="K17" i="92"/>
  <c r="L17" i="92"/>
  <c r="O17" i="92"/>
  <c r="P17" i="92"/>
  <c r="Q17" i="92"/>
  <c r="R17" i="92"/>
  <c r="S17" i="92"/>
  <c r="T17" i="92"/>
  <c r="U17" i="92"/>
  <c r="V17" i="92"/>
  <c r="W17" i="92"/>
  <c r="X17" i="92"/>
  <c r="Y17" i="92"/>
  <c r="Z17" i="92"/>
  <c r="AA17" i="92"/>
  <c r="AB17" i="92"/>
  <c r="E18" i="92"/>
  <c r="F18" i="92"/>
  <c r="G18" i="92"/>
  <c r="H18" i="92"/>
  <c r="I18" i="92"/>
  <c r="J18" i="92"/>
  <c r="K18" i="92"/>
  <c r="L18" i="92"/>
  <c r="O18" i="92"/>
  <c r="P18" i="92"/>
  <c r="Q18" i="92"/>
  <c r="R18" i="92"/>
  <c r="S18" i="92"/>
  <c r="T18" i="92"/>
  <c r="U18" i="92"/>
  <c r="V18" i="92"/>
  <c r="W18" i="92"/>
  <c r="X18" i="92"/>
  <c r="Y18" i="92"/>
  <c r="Z18" i="92"/>
  <c r="AA18" i="92"/>
  <c r="AB18" i="92"/>
  <c r="E19" i="92"/>
  <c r="F19" i="92"/>
  <c r="G19" i="92"/>
  <c r="H19" i="92"/>
  <c r="I19" i="92"/>
  <c r="J19" i="92"/>
  <c r="K19" i="92"/>
  <c r="L19" i="92"/>
  <c r="O19" i="92"/>
  <c r="P19" i="92"/>
  <c r="Q19" i="92"/>
  <c r="R19" i="92"/>
  <c r="S19" i="92"/>
  <c r="T19" i="92"/>
  <c r="U19" i="92"/>
  <c r="V19" i="92"/>
  <c r="W19" i="92"/>
  <c r="X19" i="92"/>
  <c r="Y19" i="92"/>
  <c r="Z19" i="92"/>
  <c r="AA19" i="92"/>
  <c r="AB19" i="92"/>
  <c r="E20" i="92"/>
  <c r="F20" i="92"/>
  <c r="G20" i="92"/>
  <c r="H20" i="92"/>
  <c r="I20" i="92"/>
  <c r="J20" i="92"/>
  <c r="K20" i="92"/>
  <c r="L20" i="92"/>
  <c r="O20" i="92"/>
  <c r="P20" i="92"/>
  <c r="Q20" i="92"/>
  <c r="R20" i="92"/>
  <c r="S20" i="92"/>
  <c r="T20" i="92"/>
  <c r="U20" i="92"/>
  <c r="V20" i="92"/>
  <c r="W20" i="92"/>
  <c r="X20" i="92"/>
  <c r="Y20" i="92"/>
  <c r="Z20" i="92"/>
  <c r="AA20" i="92"/>
  <c r="AB20" i="92"/>
  <c r="E21" i="92"/>
  <c r="F21" i="92"/>
  <c r="G21" i="92"/>
  <c r="H21" i="92"/>
  <c r="I21" i="92"/>
  <c r="J21" i="92"/>
  <c r="K21" i="92"/>
  <c r="L21" i="92"/>
  <c r="O21" i="92"/>
  <c r="P21" i="92"/>
  <c r="Q21" i="92"/>
  <c r="R21" i="92"/>
  <c r="S21" i="92"/>
  <c r="T21" i="92"/>
  <c r="U21" i="92"/>
  <c r="V21" i="92"/>
  <c r="W21" i="92"/>
  <c r="X21" i="92"/>
  <c r="Y21" i="92"/>
  <c r="Z21" i="92"/>
  <c r="AA21" i="92"/>
  <c r="AB21" i="92"/>
  <c r="E22" i="92"/>
  <c r="F22" i="92"/>
  <c r="G22" i="92"/>
  <c r="H22" i="92"/>
  <c r="I22" i="92"/>
  <c r="J22" i="92"/>
  <c r="K22" i="92"/>
  <c r="L22" i="92"/>
  <c r="O22" i="92"/>
  <c r="P22" i="92"/>
  <c r="Q22" i="92"/>
  <c r="R22" i="92"/>
  <c r="S22" i="92"/>
  <c r="T22" i="92"/>
  <c r="U22" i="92"/>
  <c r="V22" i="92"/>
  <c r="W22" i="92"/>
  <c r="X22" i="92"/>
  <c r="Y22" i="92"/>
  <c r="Z22" i="92"/>
  <c r="AA22" i="92"/>
  <c r="AB22" i="92"/>
  <c r="E23" i="92"/>
  <c r="F23" i="92"/>
  <c r="G23" i="92"/>
  <c r="H23" i="92"/>
  <c r="I23" i="92"/>
  <c r="J23" i="92"/>
  <c r="K23" i="92"/>
  <c r="L23" i="92"/>
  <c r="O23" i="92"/>
  <c r="P23" i="92"/>
  <c r="Q23" i="92"/>
  <c r="R23" i="92"/>
  <c r="S23" i="92"/>
  <c r="T23" i="92"/>
  <c r="U23" i="92"/>
  <c r="V23" i="92"/>
  <c r="W23" i="92"/>
  <c r="X23" i="92"/>
  <c r="Y23" i="92"/>
  <c r="Z23" i="92"/>
  <c r="AA23" i="92"/>
  <c r="AB23" i="92"/>
  <c r="E24" i="92"/>
  <c r="F24" i="92"/>
  <c r="G24" i="92"/>
  <c r="H24" i="92"/>
  <c r="I24" i="92"/>
  <c r="J24" i="92"/>
  <c r="K24" i="92"/>
  <c r="L24" i="92"/>
  <c r="O24" i="92"/>
  <c r="P24" i="92"/>
  <c r="Q24" i="92"/>
  <c r="R24" i="92"/>
  <c r="S24" i="92"/>
  <c r="T24" i="92"/>
  <c r="U24" i="92"/>
  <c r="V24" i="92"/>
  <c r="W24" i="92"/>
  <c r="X24" i="92"/>
  <c r="Y24" i="92"/>
  <c r="Z24" i="92"/>
  <c r="AA24" i="92"/>
  <c r="AB24" i="92"/>
  <c r="E25" i="92"/>
  <c r="F25" i="92"/>
  <c r="G25" i="92"/>
  <c r="H25" i="92"/>
  <c r="I25" i="92"/>
  <c r="J25" i="92"/>
  <c r="K25" i="92"/>
  <c r="L25" i="92"/>
  <c r="O25" i="92"/>
  <c r="P25" i="92"/>
  <c r="Q25" i="92"/>
  <c r="R25" i="92"/>
  <c r="S25" i="92"/>
  <c r="T25" i="92"/>
  <c r="U25" i="92"/>
  <c r="V25" i="92"/>
  <c r="W25" i="92"/>
  <c r="X25" i="92"/>
  <c r="Y25" i="92"/>
  <c r="Z25" i="92"/>
  <c r="AA25" i="92"/>
  <c r="AB25" i="92"/>
  <c r="E26" i="92"/>
  <c r="F26" i="92"/>
  <c r="G26" i="92"/>
  <c r="H26" i="92"/>
  <c r="I26" i="92"/>
  <c r="J26" i="92"/>
  <c r="K26" i="92"/>
  <c r="L26" i="92"/>
  <c r="O26" i="92"/>
  <c r="P26" i="92"/>
  <c r="Q26" i="92"/>
  <c r="R26" i="92"/>
  <c r="S26" i="92"/>
  <c r="T26" i="92"/>
  <c r="U26" i="92"/>
  <c r="V26" i="92"/>
  <c r="W26" i="92"/>
  <c r="X26" i="92"/>
  <c r="Y26" i="92"/>
  <c r="Z26" i="92"/>
  <c r="AA26" i="92"/>
  <c r="AB26" i="92"/>
  <c r="E27" i="92"/>
  <c r="F27" i="92"/>
  <c r="G27" i="92"/>
  <c r="H27" i="92"/>
  <c r="I27" i="92"/>
  <c r="J27" i="92"/>
  <c r="K27" i="92"/>
  <c r="L27" i="92"/>
  <c r="O27" i="92"/>
  <c r="P27" i="92"/>
  <c r="Q27" i="92"/>
  <c r="R27" i="92"/>
  <c r="S27" i="92"/>
  <c r="T27" i="92"/>
  <c r="U27" i="92"/>
  <c r="V27" i="92"/>
  <c r="W27" i="92"/>
  <c r="X27" i="92"/>
  <c r="Y27" i="92"/>
  <c r="Z27" i="92"/>
  <c r="AA27" i="92"/>
  <c r="AB27" i="92"/>
  <c r="E28" i="92"/>
  <c r="F28" i="92"/>
  <c r="G28" i="92"/>
  <c r="H28" i="92"/>
  <c r="I28" i="92"/>
  <c r="J28" i="92"/>
  <c r="K28" i="92"/>
  <c r="L28" i="92"/>
  <c r="O28" i="92"/>
  <c r="P28" i="92"/>
  <c r="Q28" i="92"/>
  <c r="R28" i="92"/>
  <c r="S28" i="92"/>
  <c r="T28" i="92"/>
  <c r="U28" i="92"/>
  <c r="V28" i="92"/>
  <c r="W28" i="92"/>
  <c r="X28" i="92"/>
  <c r="Y28" i="92"/>
  <c r="Z28" i="92"/>
  <c r="AA28" i="92"/>
  <c r="AB28" i="92"/>
  <c r="E29" i="92"/>
  <c r="F29" i="92"/>
  <c r="G29" i="92"/>
  <c r="H29" i="92"/>
  <c r="I29" i="92"/>
  <c r="J29" i="92"/>
  <c r="K29" i="92"/>
  <c r="L29" i="92"/>
  <c r="O29" i="92"/>
  <c r="P29" i="92"/>
  <c r="Q29" i="92"/>
  <c r="R29" i="92"/>
  <c r="S29" i="92"/>
  <c r="T29" i="92"/>
  <c r="U29" i="92"/>
  <c r="V29" i="92"/>
  <c r="W29" i="92"/>
  <c r="X29" i="92"/>
  <c r="Y29" i="92"/>
  <c r="Z29" i="92"/>
  <c r="AA29" i="92"/>
  <c r="AB29" i="92"/>
  <c r="C44" i="92"/>
  <c r="D44" i="92"/>
  <c r="E44" i="92"/>
  <c r="F44" i="92"/>
  <c r="G44" i="92"/>
  <c r="H44" i="92"/>
  <c r="I44" i="92"/>
  <c r="J44" i="92"/>
  <c r="K44" i="92"/>
  <c r="L44" i="92"/>
  <c r="M44" i="92"/>
  <c r="N44" i="92"/>
  <c r="O44" i="92"/>
  <c r="P44" i="92"/>
  <c r="Q44" i="92"/>
  <c r="R44" i="92"/>
  <c r="S44" i="92"/>
  <c r="T44" i="92"/>
  <c r="U44" i="92"/>
  <c r="V44" i="92"/>
  <c r="C45" i="92"/>
  <c r="D45" i="92"/>
  <c r="E45" i="92"/>
  <c r="F45" i="92"/>
  <c r="G45" i="92"/>
  <c r="H45" i="92"/>
  <c r="I45" i="92"/>
  <c r="J45" i="92"/>
  <c r="K45" i="92"/>
  <c r="L45" i="92"/>
  <c r="M45" i="92"/>
  <c r="N45" i="92"/>
  <c r="O45" i="92"/>
  <c r="P45" i="92"/>
  <c r="Q45" i="92"/>
  <c r="R45" i="92"/>
  <c r="S45" i="92"/>
  <c r="T45" i="92"/>
  <c r="U45" i="92"/>
  <c r="V45" i="92"/>
  <c r="C46" i="92"/>
  <c r="D46" i="92"/>
  <c r="E46" i="92"/>
  <c r="F46" i="92"/>
  <c r="G46" i="92"/>
  <c r="H46" i="92"/>
  <c r="I46" i="92"/>
  <c r="J46" i="92"/>
  <c r="K46" i="92"/>
  <c r="L46" i="92"/>
  <c r="M46" i="92"/>
  <c r="N46" i="92"/>
  <c r="O46" i="92"/>
  <c r="P46" i="92"/>
  <c r="Q46" i="92"/>
  <c r="R46" i="92"/>
  <c r="S46" i="92"/>
  <c r="T46" i="92"/>
  <c r="U46" i="92"/>
  <c r="V46" i="92"/>
  <c r="C47" i="92"/>
  <c r="D47" i="92"/>
  <c r="E47" i="92"/>
  <c r="F47" i="92"/>
  <c r="G47" i="92"/>
  <c r="H47" i="92"/>
  <c r="I47" i="92"/>
  <c r="J47" i="92"/>
  <c r="K47" i="92"/>
  <c r="L47" i="92"/>
  <c r="M47" i="92"/>
  <c r="N47" i="92"/>
  <c r="O47" i="92"/>
  <c r="P47" i="92"/>
  <c r="Q47" i="92"/>
  <c r="R47" i="92"/>
  <c r="S47" i="92"/>
  <c r="T47" i="92"/>
  <c r="U47" i="92"/>
  <c r="V47" i="92"/>
  <c r="C48" i="92"/>
  <c r="D48" i="92"/>
  <c r="E48" i="92"/>
  <c r="F48" i="92"/>
  <c r="G48" i="92"/>
  <c r="H48" i="92"/>
  <c r="I48" i="92"/>
  <c r="J48" i="92"/>
  <c r="K48" i="92"/>
  <c r="L48" i="92"/>
  <c r="M48" i="92"/>
  <c r="N48" i="92"/>
  <c r="O48" i="92"/>
  <c r="P48" i="92"/>
  <c r="Q48" i="92"/>
  <c r="R48" i="92"/>
  <c r="S48" i="92"/>
  <c r="T48" i="92"/>
  <c r="U48" i="92"/>
  <c r="V48" i="92"/>
  <c r="C49" i="92"/>
  <c r="D49" i="92"/>
  <c r="E49" i="92"/>
  <c r="F49" i="92"/>
  <c r="G49" i="92"/>
  <c r="H49" i="92"/>
  <c r="I49" i="92"/>
  <c r="J49" i="92"/>
  <c r="K49" i="92"/>
  <c r="L49" i="92"/>
  <c r="M49" i="92"/>
  <c r="N49" i="92"/>
  <c r="O49" i="92"/>
  <c r="P49" i="92"/>
  <c r="Q49" i="92"/>
  <c r="R49" i="92"/>
  <c r="S49" i="92"/>
  <c r="T49" i="92"/>
  <c r="U49" i="92"/>
  <c r="V49" i="92"/>
  <c r="C50" i="92"/>
  <c r="D50" i="92"/>
  <c r="E50" i="92"/>
  <c r="F50" i="92"/>
  <c r="G50" i="92"/>
  <c r="H50" i="92"/>
  <c r="I50" i="92"/>
  <c r="J50" i="92"/>
  <c r="K50" i="92"/>
  <c r="L50" i="92"/>
  <c r="M50" i="92"/>
  <c r="N50" i="92"/>
  <c r="O50" i="92"/>
  <c r="P50" i="92"/>
  <c r="Q50" i="92"/>
  <c r="R50" i="92"/>
  <c r="S50" i="92"/>
  <c r="T50" i="92"/>
  <c r="U50" i="92"/>
  <c r="V50" i="92"/>
  <c r="C51" i="92"/>
  <c r="D51" i="92"/>
  <c r="E51" i="92"/>
  <c r="F51" i="92"/>
  <c r="G51" i="92"/>
  <c r="H51" i="92"/>
  <c r="I51" i="92"/>
  <c r="J51" i="92"/>
  <c r="K51" i="92"/>
  <c r="L51" i="92"/>
  <c r="M51" i="92"/>
  <c r="N51" i="92"/>
  <c r="O51" i="92"/>
  <c r="P51" i="92"/>
  <c r="Q51" i="92"/>
  <c r="R51" i="92"/>
  <c r="S51" i="92"/>
  <c r="T51" i="92"/>
  <c r="U51" i="92"/>
  <c r="V51" i="92"/>
  <c r="C52" i="92"/>
  <c r="D52" i="92"/>
  <c r="E52" i="92"/>
  <c r="F52" i="92"/>
  <c r="G52" i="92"/>
  <c r="H52" i="92"/>
  <c r="I52" i="92"/>
  <c r="J52" i="92"/>
  <c r="K52" i="92"/>
  <c r="L52" i="92"/>
  <c r="M52" i="92"/>
  <c r="N52" i="92"/>
  <c r="O52" i="92"/>
  <c r="P52" i="92"/>
  <c r="Q52" i="92"/>
  <c r="R52" i="92"/>
  <c r="S52" i="92"/>
  <c r="T52" i="92"/>
  <c r="U52" i="92"/>
  <c r="V52" i="92"/>
  <c r="C53" i="92"/>
  <c r="D53" i="92"/>
  <c r="E53" i="92"/>
  <c r="F53" i="92"/>
  <c r="G53" i="92"/>
  <c r="H53" i="92"/>
  <c r="I53" i="92"/>
  <c r="J53" i="92"/>
  <c r="K53" i="92"/>
  <c r="L53" i="92"/>
  <c r="M53" i="92"/>
  <c r="N53" i="92"/>
  <c r="O53" i="92"/>
  <c r="P53" i="92"/>
  <c r="Q53" i="92"/>
  <c r="R53" i="92"/>
  <c r="S53" i="92"/>
  <c r="T53" i="92"/>
  <c r="U53" i="92"/>
  <c r="V53" i="92"/>
  <c r="C54" i="92"/>
  <c r="D54" i="92"/>
  <c r="E54" i="92"/>
  <c r="F54" i="92"/>
  <c r="G54" i="92"/>
  <c r="H54" i="92"/>
  <c r="I54" i="92"/>
  <c r="J54" i="92"/>
  <c r="K54" i="92"/>
  <c r="L54" i="92"/>
  <c r="M54" i="92"/>
  <c r="N54" i="92"/>
  <c r="O54" i="92"/>
  <c r="P54" i="92"/>
  <c r="Q54" i="92"/>
  <c r="R54" i="92"/>
  <c r="S54" i="92"/>
  <c r="T54" i="92"/>
  <c r="U54" i="92"/>
  <c r="V54" i="92"/>
  <c r="C55" i="92"/>
  <c r="D55" i="92"/>
  <c r="E55" i="92"/>
  <c r="F55" i="92"/>
  <c r="G55" i="92"/>
  <c r="H55" i="92"/>
  <c r="I55" i="92"/>
  <c r="J55" i="92"/>
  <c r="K55" i="92"/>
  <c r="L55" i="92"/>
  <c r="M55" i="92"/>
  <c r="N55" i="92"/>
  <c r="O55" i="92"/>
  <c r="P55" i="92"/>
  <c r="Q55" i="92"/>
  <c r="R55" i="92"/>
  <c r="S55" i="92"/>
  <c r="T55" i="92"/>
  <c r="U55" i="92"/>
  <c r="V55" i="92"/>
  <c r="C56" i="92"/>
  <c r="D56" i="92"/>
  <c r="E56" i="92"/>
  <c r="F56" i="92"/>
  <c r="G56" i="92"/>
  <c r="H56" i="92"/>
  <c r="I56" i="92"/>
  <c r="J56" i="92"/>
  <c r="K56" i="92"/>
  <c r="L56" i="92"/>
  <c r="M56" i="92"/>
  <c r="N56" i="92"/>
  <c r="O56" i="92"/>
  <c r="P56" i="92"/>
  <c r="Q56" i="92"/>
  <c r="R56" i="92"/>
  <c r="S56" i="92"/>
  <c r="T56" i="92"/>
  <c r="U56" i="92"/>
  <c r="V56" i="92"/>
  <c r="C57" i="92"/>
  <c r="D57" i="92"/>
  <c r="E57" i="92"/>
  <c r="F57" i="92"/>
  <c r="G57" i="92"/>
  <c r="H57" i="92"/>
  <c r="I57" i="92"/>
  <c r="J57" i="92"/>
  <c r="K57" i="92"/>
  <c r="L57" i="92"/>
  <c r="M57" i="92"/>
  <c r="N57" i="92"/>
  <c r="O57" i="92"/>
  <c r="P57" i="92"/>
  <c r="Q57" i="92"/>
  <c r="R57" i="92"/>
  <c r="S57" i="92"/>
  <c r="T57" i="92"/>
  <c r="U57" i="92"/>
  <c r="V57" i="92"/>
  <c r="C58" i="92"/>
  <c r="D58" i="92"/>
  <c r="E58" i="92"/>
  <c r="F58" i="92"/>
  <c r="G58" i="92"/>
  <c r="H58" i="92"/>
  <c r="I58" i="92"/>
  <c r="J58" i="92"/>
  <c r="K58" i="92"/>
  <c r="L58" i="92"/>
  <c r="M58" i="92"/>
  <c r="N58" i="92"/>
  <c r="O58" i="92"/>
  <c r="P58" i="92"/>
  <c r="Q58" i="92"/>
  <c r="R58" i="92"/>
  <c r="S58" i="92"/>
  <c r="T58" i="92"/>
  <c r="U58" i="92"/>
  <c r="V58" i="92"/>
  <c r="C59" i="92"/>
  <c r="D59" i="92"/>
  <c r="E59" i="92"/>
  <c r="F59" i="92"/>
  <c r="G59" i="92"/>
  <c r="H59" i="92"/>
  <c r="I59" i="92"/>
  <c r="J59" i="92"/>
  <c r="K59" i="92"/>
  <c r="L59" i="92"/>
  <c r="M59" i="92"/>
  <c r="N59" i="92"/>
  <c r="O59" i="92"/>
  <c r="P59" i="92"/>
  <c r="Q59" i="92"/>
  <c r="R59" i="92"/>
  <c r="S59" i="92"/>
  <c r="T59" i="92"/>
  <c r="U59" i="92"/>
  <c r="V59" i="92"/>
  <c r="C60" i="92"/>
  <c r="D60" i="92"/>
  <c r="E60" i="92"/>
  <c r="F60" i="92"/>
  <c r="G60" i="92"/>
  <c r="H60" i="92"/>
  <c r="I60" i="92"/>
  <c r="J60" i="92"/>
  <c r="K60" i="92"/>
  <c r="L60" i="92"/>
  <c r="M60" i="92"/>
  <c r="N60" i="92"/>
  <c r="O60" i="92"/>
  <c r="P60" i="92"/>
  <c r="Q60" i="92"/>
  <c r="R60" i="92"/>
  <c r="S60" i="92"/>
  <c r="T60" i="92"/>
  <c r="U60" i="92"/>
  <c r="V60" i="92"/>
  <c r="C61" i="92"/>
  <c r="D61" i="92"/>
  <c r="E61" i="92"/>
  <c r="F61" i="92"/>
  <c r="G61" i="92"/>
  <c r="H61" i="92"/>
  <c r="I61" i="92"/>
  <c r="J61" i="92"/>
  <c r="K61" i="92"/>
  <c r="L61" i="92"/>
  <c r="M61" i="92"/>
  <c r="N61" i="92"/>
  <c r="O61" i="92"/>
  <c r="P61" i="92"/>
  <c r="Q61" i="92"/>
  <c r="R61" i="92"/>
  <c r="S61" i="92"/>
  <c r="T61" i="92"/>
  <c r="U61" i="92"/>
  <c r="V61" i="92"/>
  <c r="C62" i="92"/>
  <c r="D62" i="92"/>
  <c r="E62" i="92"/>
  <c r="F62" i="92"/>
  <c r="G62" i="92"/>
  <c r="H62" i="92"/>
  <c r="I62" i="92"/>
  <c r="J62" i="92"/>
  <c r="K62" i="92"/>
  <c r="L62" i="92"/>
  <c r="M62" i="92"/>
  <c r="N62" i="92"/>
  <c r="O62" i="92"/>
  <c r="P62" i="92"/>
  <c r="Q62" i="92"/>
  <c r="R62" i="92"/>
  <c r="S62" i="92"/>
  <c r="T62" i="92"/>
  <c r="U62" i="92"/>
  <c r="V62" i="92"/>
  <c r="C63" i="92"/>
  <c r="D63" i="92"/>
  <c r="E63" i="92"/>
  <c r="F63" i="92"/>
  <c r="G63" i="92"/>
  <c r="H63" i="92"/>
  <c r="I63" i="92"/>
  <c r="J63" i="92"/>
  <c r="K63" i="92"/>
  <c r="L63" i="92"/>
  <c r="M63" i="92"/>
  <c r="N63" i="92"/>
  <c r="O63" i="92"/>
  <c r="P63" i="92"/>
  <c r="Q63" i="92"/>
  <c r="R63" i="92"/>
  <c r="S63" i="92"/>
  <c r="T63" i="92"/>
  <c r="U63" i="92"/>
  <c r="V63" i="92"/>
  <c r="G18" i="86"/>
  <c r="F18" i="86"/>
  <c r="C17" i="86"/>
  <c r="C18" i="86"/>
  <c r="B18" i="89"/>
  <c r="D18" i="89"/>
  <c r="B18" i="88"/>
  <c r="B18" i="87"/>
  <c r="O35" i="85"/>
  <c r="P35" i="85" s="1"/>
  <c r="K35" i="85"/>
  <c r="V34" i="85"/>
  <c r="O34" i="85"/>
  <c r="W34" i="85" s="1"/>
  <c r="K34" i="85"/>
  <c r="Y33" i="85"/>
  <c r="X33" i="85"/>
  <c r="V33" i="85"/>
  <c r="O33" i="85"/>
  <c r="W33" i="85" s="1"/>
  <c r="K33" i="85"/>
  <c r="V32" i="85"/>
  <c r="O32" i="85"/>
  <c r="K32" i="85"/>
  <c r="O31" i="85"/>
  <c r="K31" i="85"/>
  <c r="V30" i="85"/>
  <c r="O30" i="85"/>
  <c r="Y30" i="85" s="1"/>
  <c r="K30" i="85"/>
  <c r="V29" i="85"/>
  <c r="O29" i="85"/>
  <c r="W29" i="85" s="1"/>
  <c r="K29" i="85"/>
  <c r="V28" i="85"/>
  <c r="O28" i="85"/>
  <c r="K28" i="85"/>
  <c r="U27" i="85"/>
  <c r="U12" i="85" s="1"/>
  <c r="T27" i="85"/>
  <c r="S27" i="85"/>
  <c r="S12" i="85" s="1"/>
  <c r="R27" i="85"/>
  <c r="Q27" i="85"/>
  <c r="Q12" i="85" s="1"/>
  <c r="N27" i="85"/>
  <c r="M27" i="85"/>
  <c r="M12" i="85" s="1"/>
  <c r="L27" i="85"/>
  <c r="L12" i="85" s="1"/>
  <c r="J27" i="85"/>
  <c r="J12" i="85" s="1"/>
  <c r="I27" i="85"/>
  <c r="I12" i="85" s="1"/>
  <c r="H27" i="85"/>
  <c r="H12" i="85" s="1"/>
  <c r="G27" i="85"/>
  <c r="G12" i="85" s="1"/>
  <c r="F27" i="85"/>
  <c r="F12" i="85" s="1"/>
  <c r="E27" i="85"/>
  <c r="E12" i="85" s="1"/>
  <c r="D27" i="85"/>
  <c r="D12" i="85" s="1"/>
  <c r="C27" i="85"/>
  <c r="C12" i="85" s="1"/>
  <c r="V13" i="84"/>
  <c r="O13" i="84"/>
  <c r="Y13" i="84" s="1"/>
  <c r="K13" i="84"/>
  <c r="K12" i="84" s="1"/>
  <c r="U12" i="84"/>
  <c r="T12" i="84"/>
  <c r="S12" i="84"/>
  <c r="R12" i="84"/>
  <c r="Q12" i="84"/>
  <c r="N12" i="84"/>
  <c r="M12" i="84"/>
  <c r="L12" i="84"/>
  <c r="J12" i="84"/>
  <c r="I12" i="84"/>
  <c r="H12" i="84"/>
  <c r="G12" i="84"/>
  <c r="F12" i="84"/>
  <c r="E12" i="84"/>
  <c r="D12" i="84"/>
  <c r="C12" i="84"/>
  <c r="K26" i="83"/>
  <c r="P26" i="83" s="1"/>
  <c r="O17" i="83"/>
  <c r="K17" i="83"/>
  <c r="K16" i="83"/>
  <c r="K12" i="83" s="1"/>
  <c r="Y13" i="83"/>
  <c r="X13" i="83"/>
  <c r="W13" i="83"/>
  <c r="G18" i="89" s="1"/>
  <c r="V13" i="83"/>
  <c r="F18" i="89" s="1"/>
  <c r="P13" i="83"/>
  <c r="O13" i="83"/>
  <c r="E18" i="89" s="1"/>
  <c r="K13" i="83"/>
  <c r="U12" i="83"/>
  <c r="T12" i="83"/>
  <c r="S12" i="83"/>
  <c r="R12" i="83"/>
  <c r="Q12" i="83"/>
  <c r="N12" i="83"/>
  <c r="M12" i="83"/>
  <c r="L12" i="83"/>
  <c r="J12" i="83"/>
  <c r="I12" i="83"/>
  <c r="H12" i="83"/>
  <c r="G12" i="83"/>
  <c r="F12" i="83"/>
  <c r="E12" i="83"/>
  <c r="D12" i="83"/>
  <c r="C12" i="83"/>
  <c r="N14" i="109"/>
  <c r="M14" i="109"/>
  <c r="L14" i="109"/>
  <c r="K14" i="109"/>
  <c r="J14" i="109"/>
  <c r="I14" i="109"/>
  <c r="H14" i="109"/>
  <c r="G14" i="109"/>
  <c r="F14" i="109"/>
  <c r="E14" i="109"/>
  <c r="D14" i="109"/>
  <c r="C14" i="109"/>
  <c r="B13" i="109"/>
  <c r="B12" i="109"/>
  <c r="B11" i="109"/>
  <c r="B10" i="109"/>
  <c r="B9" i="109"/>
  <c r="B8" i="109"/>
  <c r="B7" i="109"/>
  <c r="V26" i="82"/>
  <c r="O26" i="82"/>
  <c r="Y26" i="82" s="1"/>
  <c r="K26" i="82"/>
  <c r="V24" i="82"/>
  <c r="O24" i="82"/>
  <c r="W24" i="82" s="1"/>
  <c r="K24" i="82"/>
  <c r="V23" i="82"/>
  <c r="O23" i="82"/>
  <c r="X23" i="82" s="1"/>
  <c r="K23" i="82"/>
  <c r="V19" i="82"/>
  <c r="O19" i="82"/>
  <c r="K19" i="82"/>
  <c r="V17" i="82"/>
  <c r="O17" i="82"/>
  <c r="Y17" i="82" s="1"/>
  <c r="K17" i="82"/>
  <c r="V16" i="82"/>
  <c r="O16" i="82"/>
  <c r="X16" i="82" s="1"/>
  <c r="K16" i="82"/>
  <c r="V15" i="82"/>
  <c r="O15" i="82"/>
  <c r="W15" i="82" s="1"/>
  <c r="K15" i="82"/>
  <c r="V14" i="82"/>
  <c r="O14" i="82"/>
  <c r="K14" i="82"/>
  <c r="U12" i="82"/>
  <c r="T12" i="82"/>
  <c r="S12" i="82"/>
  <c r="V12" i="82" s="1"/>
  <c r="F18" i="88" s="1"/>
  <c r="R12" i="82"/>
  <c r="D18" i="88" s="1"/>
  <c r="Q12" i="82"/>
  <c r="N12" i="82"/>
  <c r="M12" i="82"/>
  <c r="L12" i="82"/>
  <c r="J12" i="82"/>
  <c r="I12" i="82"/>
  <c r="H12" i="82"/>
  <c r="G12" i="82"/>
  <c r="F12" i="82"/>
  <c r="E12" i="82"/>
  <c r="D12" i="82"/>
  <c r="C12" i="82"/>
  <c r="E23" i="107"/>
  <c r="N18" i="107"/>
  <c r="M18" i="107"/>
  <c r="L18" i="107"/>
  <c r="K18" i="107"/>
  <c r="J18" i="107"/>
  <c r="I18" i="107"/>
  <c r="H18" i="107"/>
  <c r="G18" i="107"/>
  <c r="F18" i="107"/>
  <c r="E18" i="107"/>
  <c r="D18" i="107"/>
  <c r="C18" i="107"/>
  <c r="B17" i="107"/>
  <c r="B16" i="107"/>
  <c r="B15" i="107"/>
  <c r="B14" i="107"/>
  <c r="B13" i="107"/>
  <c r="B12" i="107"/>
  <c r="B11" i="107"/>
  <c r="B10" i="107"/>
  <c r="B9" i="107"/>
  <c r="B8" i="107"/>
  <c r="B7" i="107"/>
  <c r="V26" i="81"/>
  <c r="O26" i="81"/>
  <c r="Y26" i="81" s="1"/>
  <c r="K26" i="81"/>
  <c r="X25" i="81"/>
  <c r="V25" i="81"/>
  <c r="O25" i="81"/>
  <c r="Y25" i="81" s="1"/>
  <c r="K25" i="81"/>
  <c r="V24" i="81"/>
  <c r="O24" i="81"/>
  <c r="X24" i="81" s="1"/>
  <c r="K24" i="81"/>
  <c r="P24" i="81" s="1"/>
  <c r="V23" i="81"/>
  <c r="O23" i="81"/>
  <c r="Y23" i="81" s="1"/>
  <c r="K23" i="81"/>
  <c r="V22" i="81"/>
  <c r="O22" i="81"/>
  <c r="X22" i="81" s="1"/>
  <c r="K22" i="81"/>
  <c r="V21" i="81"/>
  <c r="O21" i="81"/>
  <c r="X21" i="81" s="1"/>
  <c r="K21" i="81"/>
  <c r="P21" i="81" s="1"/>
  <c r="V20" i="81"/>
  <c r="O20" i="81"/>
  <c r="K20" i="81"/>
  <c r="V19" i="81"/>
  <c r="O19" i="81"/>
  <c r="X19" i="81" s="1"/>
  <c r="K19" i="81"/>
  <c r="Y18" i="81"/>
  <c r="X18" i="81"/>
  <c r="V18" i="81"/>
  <c r="O18" i="81"/>
  <c r="W18" i="81" s="1"/>
  <c r="K18" i="81"/>
  <c r="P18" i="81" s="1"/>
  <c r="V16" i="81"/>
  <c r="O16" i="81"/>
  <c r="Y16" i="81" s="1"/>
  <c r="K16" i="81"/>
  <c r="P16" i="81" s="1"/>
  <c r="V15" i="81"/>
  <c r="O15" i="81"/>
  <c r="W15" i="81" s="1"/>
  <c r="K15" i="81"/>
  <c r="V14" i="81"/>
  <c r="O14" i="81"/>
  <c r="X14" i="81" s="1"/>
  <c r="K14" i="81"/>
  <c r="U12" i="81"/>
  <c r="T12" i="81"/>
  <c r="S12" i="81"/>
  <c r="R12" i="81"/>
  <c r="Q12" i="81"/>
  <c r="N12" i="81"/>
  <c r="M12" i="81"/>
  <c r="L12" i="81"/>
  <c r="J12" i="81"/>
  <c r="I12" i="81"/>
  <c r="H12" i="81"/>
  <c r="G12" i="81"/>
  <c r="F12" i="81"/>
  <c r="E12" i="81"/>
  <c r="D12" i="81"/>
  <c r="C12" i="81"/>
  <c r="AE21" i="98" l="1"/>
  <c r="Y52" i="97"/>
  <c r="X15" i="81"/>
  <c r="AE13" i="97"/>
  <c r="P28" i="85"/>
  <c r="AE19" i="94"/>
  <c r="AD22" i="94"/>
  <c r="AC29" i="95"/>
  <c r="AE29" i="95" s="1"/>
  <c r="AC15" i="96"/>
  <c r="AE15" i="96" s="1"/>
  <c r="AC21" i="96"/>
  <c r="AC24" i="96"/>
  <c r="AC27" i="96"/>
  <c r="AD19" i="97"/>
  <c r="AD22" i="97"/>
  <c r="AD25" i="97"/>
  <c r="AE25" i="97" s="1"/>
  <c r="AC28" i="97"/>
  <c r="AC14" i="98"/>
  <c r="AE14" i="98" s="1"/>
  <c r="P23" i="81"/>
  <c r="AC11" i="94"/>
  <c r="AC14" i="94"/>
  <c r="AC30" i="94" s="1"/>
  <c r="AC20" i="94"/>
  <c r="AE20" i="94" s="1"/>
  <c r="AD15" i="95"/>
  <c r="AD29" i="95"/>
  <c r="Y59" i="95"/>
  <c r="AD12" i="96"/>
  <c r="AD15" i="96"/>
  <c r="AD18" i="96"/>
  <c r="AE18" i="96" s="1"/>
  <c r="AD21" i="96"/>
  <c r="AD24" i="96"/>
  <c r="AD27" i="96"/>
  <c r="AC20" i="97"/>
  <c r="AD22" i="98"/>
  <c r="Y48" i="95"/>
  <c r="AD29" i="94"/>
  <c r="AC10" i="96"/>
  <c r="AC13" i="96"/>
  <c r="AC19" i="96"/>
  <c r="AC25" i="96"/>
  <c r="AD14" i="97"/>
  <c r="AD20" i="97"/>
  <c r="AD26" i="97"/>
  <c r="AC29" i="97"/>
  <c r="Y58" i="97"/>
  <c r="AC12" i="98"/>
  <c r="AE12" i="98" s="1"/>
  <c r="AC23" i="98"/>
  <c r="Y16" i="82"/>
  <c r="V12" i="83"/>
  <c r="AC12" i="94"/>
  <c r="AD10" i="96"/>
  <c r="AD13" i="96"/>
  <c r="AD16" i="96"/>
  <c r="AE16" i="96" s="1"/>
  <c r="AD22" i="96"/>
  <c r="AE22" i="96" s="1"/>
  <c r="AD29" i="97"/>
  <c r="AD23" i="98"/>
  <c r="AE23" i="98" s="1"/>
  <c r="O12" i="84"/>
  <c r="X12" i="84" s="1"/>
  <c r="AD15" i="94"/>
  <c r="AC10" i="95"/>
  <c r="AC19" i="95"/>
  <c r="AC22" i="95"/>
  <c r="AC12" i="97"/>
  <c r="AE12" i="97" s="1"/>
  <c r="AD15" i="98"/>
  <c r="AC18" i="98"/>
  <c r="AE18" i="98" s="1"/>
  <c r="AC24" i="94"/>
  <c r="AE24" i="94" s="1"/>
  <c r="AD13" i="95"/>
  <c r="AE13" i="95" s="1"/>
  <c r="AD19" i="95"/>
  <c r="Y44" i="95"/>
  <c r="AC21" i="97"/>
  <c r="AE21" i="97" s="1"/>
  <c r="AC24" i="97"/>
  <c r="Y42" i="97"/>
  <c r="Y54" i="97"/>
  <c r="AC10" i="98"/>
  <c r="AD18" i="98"/>
  <c r="AD26" i="98"/>
  <c r="AD29" i="98"/>
  <c r="AE29" i="98" s="1"/>
  <c r="AD21" i="94"/>
  <c r="AD24" i="94"/>
  <c r="AD27" i="94"/>
  <c r="AC28" i="95"/>
  <c r="AC11" i="96"/>
  <c r="AE11" i="96" s="1"/>
  <c r="AC17" i="96"/>
  <c r="AC26" i="96"/>
  <c r="AC29" i="96"/>
  <c r="W61" i="96"/>
  <c r="AD18" i="97"/>
  <c r="AD21" i="97"/>
  <c r="AC13" i="98"/>
  <c r="AE13" i="98" s="1"/>
  <c r="X61" i="98"/>
  <c r="AE27" i="95"/>
  <c r="Y56" i="96"/>
  <c r="O12" i="81"/>
  <c r="X12" i="81" s="1"/>
  <c r="W23" i="81"/>
  <c r="AD23" i="94"/>
  <c r="AE23" i="94" s="1"/>
  <c r="AC16" i="96"/>
  <c r="AC22" i="96"/>
  <c r="AC18" i="94"/>
  <c r="AC27" i="94"/>
  <c r="Y54" i="94"/>
  <c r="AD16" i="95"/>
  <c r="AD25" i="95"/>
  <c r="AE25" i="95" s="1"/>
  <c r="AC15" i="97"/>
  <c r="P14" i="82"/>
  <c r="AC16" i="94"/>
  <c r="AE16" i="94" s="1"/>
  <c r="AC25" i="94"/>
  <c r="AE25" i="94" s="1"/>
  <c r="Y44" i="94"/>
  <c r="Y57" i="95"/>
  <c r="AD20" i="96"/>
  <c r="AD26" i="96"/>
  <c r="AE25" i="96"/>
  <c r="AE20" i="96"/>
  <c r="AE20" i="95"/>
  <c r="AE27" i="96"/>
  <c r="AE20" i="97"/>
  <c r="AE15" i="95"/>
  <c r="D30" i="94"/>
  <c r="W61" i="95"/>
  <c r="AD16" i="97"/>
  <c r="AC19" i="97"/>
  <c r="AE11" i="98"/>
  <c r="P19" i="81"/>
  <c r="P25" i="81"/>
  <c r="P31" i="85"/>
  <c r="AE27" i="94"/>
  <c r="Y42" i="94"/>
  <c r="Y53" i="94"/>
  <c r="Y58" i="94"/>
  <c r="AE14" i="95"/>
  <c r="X61" i="95"/>
  <c r="Y47" i="95"/>
  <c r="Y46" i="96"/>
  <c r="AE16" i="97"/>
  <c r="W61" i="97"/>
  <c r="Y46" i="97"/>
  <c r="Y57" i="97"/>
  <c r="W61" i="98"/>
  <c r="X61" i="97"/>
  <c r="Y15" i="81"/>
  <c r="W25" i="81"/>
  <c r="P24" i="82"/>
  <c r="P32" i="85"/>
  <c r="AD25" i="94"/>
  <c r="AD12" i="95"/>
  <c r="AC17" i="95"/>
  <c r="AD22" i="95"/>
  <c r="AE22" i="95" s="1"/>
  <c r="Y53" i="95"/>
  <c r="AC14" i="96"/>
  <c r="AD19" i="96"/>
  <c r="AE19" i="96" s="1"/>
  <c r="AD29" i="96"/>
  <c r="AE29" i="96" s="1"/>
  <c r="X61" i="96"/>
  <c r="Y47" i="96"/>
  <c r="AE27" i="98"/>
  <c r="Y61" i="98"/>
  <c r="AC17" i="94"/>
  <c r="AE17" i="94" s="1"/>
  <c r="D30" i="95"/>
  <c r="M30" i="96"/>
  <c r="AC14" i="97"/>
  <c r="AC22" i="97"/>
  <c r="AE22" i="97" s="1"/>
  <c r="AD27" i="97"/>
  <c r="AE27" i="97" s="1"/>
  <c r="P19" i="82"/>
  <c r="X23" i="81"/>
  <c r="P26" i="81"/>
  <c r="O12" i="82"/>
  <c r="E18" i="88" s="1"/>
  <c r="X24" i="82"/>
  <c r="AC28" i="94"/>
  <c r="N30" i="95"/>
  <c r="Y49" i="95"/>
  <c r="D30" i="96"/>
  <c r="AD17" i="96"/>
  <c r="Y43" i="96"/>
  <c r="Y59" i="96"/>
  <c r="AD17" i="97"/>
  <c r="AE17" i="97" s="1"/>
  <c r="AC23" i="97"/>
  <c r="C30" i="98"/>
  <c r="AD12" i="98"/>
  <c r="AC20" i="98"/>
  <c r="AE20" i="98" s="1"/>
  <c r="AC22" i="98"/>
  <c r="V12" i="81"/>
  <c r="W19" i="82"/>
  <c r="Y24" i="82"/>
  <c r="O12" i="83"/>
  <c r="X12" i="83" s="1"/>
  <c r="O27" i="85"/>
  <c r="X27" i="85" s="1"/>
  <c r="X29" i="85"/>
  <c r="C23" i="92"/>
  <c r="C17" i="92"/>
  <c r="AC15" i="94"/>
  <c r="AD20" i="94"/>
  <c r="AC23" i="94"/>
  <c r="AD28" i="94"/>
  <c r="AC18" i="95"/>
  <c r="AE18" i="95" s="1"/>
  <c r="AC23" i="95"/>
  <c r="AE23" i="95" s="1"/>
  <c r="Y55" i="95"/>
  <c r="Y54" i="96"/>
  <c r="C30" i="97"/>
  <c r="Y49" i="97"/>
  <c r="D30" i="98"/>
  <c r="AC15" i="98"/>
  <c r="AD20" i="98"/>
  <c r="AD17" i="95"/>
  <c r="AD14" i="96"/>
  <c r="AC17" i="98"/>
  <c r="AE17" i="98" s="1"/>
  <c r="P20" i="81"/>
  <c r="K12" i="82"/>
  <c r="Y29" i="85"/>
  <c r="M30" i="94"/>
  <c r="AE13" i="94"/>
  <c r="AE18" i="94"/>
  <c r="C30" i="95"/>
  <c r="D30" i="97"/>
  <c r="K12" i="81"/>
  <c r="B18" i="107"/>
  <c r="Y19" i="82"/>
  <c r="AD10" i="94"/>
  <c r="AD13" i="94"/>
  <c r="AD26" i="94"/>
  <c r="AE26" i="94" s="1"/>
  <c r="AD28" i="95"/>
  <c r="AE28" i="95" s="1"/>
  <c r="AC23" i="96"/>
  <c r="AE23" i="96" s="1"/>
  <c r="M30" i="97"/>
  <c r="AD15" i="97"/>
  <c r="AC18" i="97"/>
  <c r="AD28" i="97"/>
  <c r="N30" i="98"/>
  <c r="AD28" i="98"/>
  <c r="AE28" i="98" s="1"/>
  <c r="AE12" i="94"/>
  <c r="X19" i="82"/>
  <c r="Y21" i="81"/>
  <c r="AC10" i="94"/>
  <c r="AC21" i="94"/>
  <c r="AE21" i="94" s="1"/>
  <c r="AC29" i="94"/>
  <c r="AE29" i="94" s="1"/>
  <c r="W61" i="94"/>
  <c r="Y57" i="94"/>
  <c r="AC11" i="95"/>
  <c r="AE11" i="95" s="1"/>
  <c r="AC21" i="95"/>
  <c r="AC26" i="95"/>
  <c r="C30" i="96"/>
  <c r="AC28" i="96"/>
  <c r="AE28" i="96" s="1"/>
  <c r="AD10" i="97"/>
  <c r="N30" i="97"/>
  <c r="Y50" i="97"/>
  <c r="AD13" i="98"/>
  <c r="P15" i="81"/>
  <c r="P22" i="81"/>
  <c r="B14" i="109"/>
  <c r="V12" i="84"/>
  <c r="C30" i="94"/>
  <c r="X61" i="94"/>
  <c r="Y47" i="94"/>
  <c r="AC16" i="95"/>
  <c r="AD21" i="95"/>
  <c r="AC24" i="95"/>
  <c r="AE24" i="95" s="1"/>
  <c r="AD26" i="95"/>
  <c r="Y46" i="95"/>
  <c r="AD11" i="96"/>
  <c r="AD28" i="96"/>
  <c r="Y45" i="96"/>
  <c r="AC11" i="97"/>
  <c r="AE11" i="97" s="1"/>
  <c r="AD24" i="97"/>
  <c r="AC26" i="97"/>
  <c r="AE26" i="97" s="1"/>
  <c r="Y51" i="97"/>
  <c r="AC26" i="98"/>
  <c r="I19" i="77"/>
  <c r="AE26" i="98"/>
  <c r="AD10" i="98"/>
  <c r="M30" i="98"/>
  <c r="Y41" i="97"/>
  <c r="AE23" i="97"/>
  <c r="AE19" i="97"/>
  <c r="AE29" i="97"/>
  <c r="D24" i="92"/>
  <c r="AC10" i="97"/>
  <c r="D17" i="92"/>
  <c r="C29" i="92"/>
  <c r="Y41" i="96"/>
  <c r="AE10" i="96"/>
  <c r="AE24" i="96"/>
  <c r="N21" i="92"/>
  <c r="D18" i="92"/>
  <c r="D12" i="92"/>
  <c r="C12" i="92"/>
  <c r="AC12" i="96"/>
  <c r="AE12" i="96" s="1"/>
  <c r="N30" i="96"/>
  <c r="D16" i="92"/>
  <c r="C16" i="92"/>
  <c r="X55" i="92"/>
  <c r="Y41" i="95"/>
  <c r="W54" i="92"/>
  <c r="X54" i="92"/>
  <c r="W53" i="92"/>
  <c r="J64" i="92"/>
  <c r="V64" i="92"/>
  <c r="AE17" i="95"/>
  <c r="AE16" i="95"/>
  <c r="C24" i="92"/>
  <c r="D19" i="92"/>
  <c r="N14" i="92"/>
  <c r="M14" i="92"/>
  <c r="N23" i="92"/>
  <c r="AD10" i="95"/>
  <c r="M27" i="92"/>
  <c r="N10" i="92"/>
  <c r="M22" i="92"/>
  <c r="AC12" i="95"/>
  <c r="AE12" i="95" s="1"/>
  <c r="J30" i="92"/>
  <c r="V30" i="92"/>
  <c r="M29" i="92"/>
  <c r="W63" i="92"/>
  <c r="W60" i="92"/>
  <c r="W57" i="92"/>
  <c r="R64" i="92"/>
  <c r="X48" i="92"/>
  <c r="N64" i="92"/>
  <c r="X56" i="92"/>
  <c r="M64" i="92"/>
  <c r="W56" i="92"/>
  <c r="X51" i="92"/>
  <c r="L64" i="92"/>
  <c r="X61" i="92"/>
  <c r="X58" i="92"/>
  <c r="W51" i="92"/>
  <c r="S64" i="92"/>
  <c r="G64" i="92"/>
  <c r="W48" i="92"/>
  <c r="Y48" i="92" s="1"/>
  <c r="O64" i="92"/>
  <c r="W45" i="92"/>
  <c r="Y41" i="94"/>
  <c r="W61" i="92"/>
  <c r="W58" i="92"/>
  <c r="X57" i="92"/>
  <c r="W44" i="92"/>
  <c r="X52" i="92"/>
  <c r="T64" i="92"/>
  <c r="H64" i="92"/>
  <c r="X49" i="92"/>
  <c r="P64" i="92"/>
  <c r="X46" i="92"/>
  <c r="X44" i="92"/>
  <c r="X62" i="92"/>
  <c r="X59" i="92"/>
  <c r="W52" i="92"/>
  <c r="W49" i="92"/>
  <c r="W46" i="92"/>
  <c r="K64" i="92"/>
  <c r="W62" i="92"/>
  <c r="W59" i="92"/>
  <c r="X45" i="92"/>
  <c r="U64" i="92"/>
  <c r="I64" i="92"/>
  <c r="Q64" i="92"/>
  <c r="E64" i="92"/>
  <c r="X53" i="92"/>
  <c r="X50" i="92"/>
  <c r="X47" i="92"/>
  <c r="X63" i="92"/>
  <c r="X60" i="92"/>
  <c r="W55" i="92"/>
  <c r="Y55" i="92" s="1"/>
  <c r="W50" i="92"/>
  <c r="AE11" i="94"/>
  <c r="AE22" i="94"/>
  <c r="AD30" i="94"/>
  <c r="C27" i="92"/>
  <c r="D20" i="92"/>
  <c r="M17" i="92"/>
  <c r="AC17" i="92" s="1"/>
  <c r="D28" i="92"/>
  <c r="N26" i="92"/>
  <c r="C20" i="92"/>
  <c r="N18" i="92"/>
  <c r="N17" i="92"/>
  <c r="C13" i="92"/>
  <c r="Q30" i="92"/>
  <c r="I30" i="92"/>
  <c r="C28" i="92"/>
  <c r="M26" i="92"/>
  <c r="N19" i="92"/>
  <c r="M18" i="92"/>
  <c r="N27" i="92"/>
  <c r="C21" i="92"/>
  <c r="M19" i="92"/>
  <c r="C14" i="92"/>
  <c r="M12" i="92"/>
  <c r="AA30" i="92"/>
  <c r="M11" i="92"/>
  <c r="Y30" i="92"/>
  <c r="L30" i="92"/>
  <c r="N16" i="92"/>
  <c r="H30" i="92"/>
  <c r="M25" i="92"/>
  <c r="D29" i="92"/>
  <c r="D21" i="92"/>
  <c r="F30" i="92"/>
  <c r="AB30" i="92"/>
  <c r="P30" i="92"/>
  <c r="Z30" i="92"/>
  <c r="M28" i="92"/>
  <c r="D22" i="92"/>
  <c r="N20" i="92"/>
  <c r="D15" i="92"/>
  <c r="R30" i="92"/>
  <c r="N13" i="92"/>
  <c r="X30" i="92"/>
  <c r="K30" i="92"/>
  <c r="N28" i="92"/>
  <c r="AD28" i="92" s="1"/>
  <c r="D25" i="92"/>
  <c r="D23" i="92"/>
  <c r="C22" i="92"/>
  <c r="M21" i="92"/>
  <c r="M20" i="92"/>
  <c r="C15" i="92"/>
  <c r="M13" i="92"/>
  <c r="W30" i="92"/>
  <c r="N30" i="94"/>
  <c r="N29" i="92"/>
  <c r="C25" i="92"/>
  <c r="C18" i="92"/>
  <c r="N15" i="92"/>
  <c r="D26" i="92"/>
  <c r="N24" i="92"/>
  <c r="N22" i="92"/>
  <c r="M16" i="92"/>
  <c r="U30" i="92"/>
  <c r="C11" i="92"/>
  <c r="D10" i="92"/>
  <c r="C26" i="92"/>
  <c r="M24" i="92"/>
  <c r="AC24" i="92" s="1"/>
  <c r="M23" i="92"/>
  <c r="D13" i="92"/>
  <c r="N11" i="92"/>
  <c r="D11" i="92"/>
  <c r="C10" i="92"/>
  <c r="D27" i="92"/>
  <c r="N25" i="92"/>
  <c r="C19" i="92"/>
  <c r="M15" i="92"/>
  <c r="S30" i="92"/>
  <c r="E30" i="92"/>
  <c r="T30" i="92"/>
  <c r="D14" i="92"/>
  <c r="AD14" i="92" s="1"/>
  <c r="N12" i="92"/>
  <c r="G30" i="92"/>
  <c r="M10" i="92"/>
  <c r="O30" i="92"/>
  <c r="F64" i="92"/>
  <c r="C64" i="92"/>
  <c r="D64" i="92"/>
  <c r="W47" i="92"/>
  <c r="N12" i="85"/>
  <c r="O12" i="85" s="1"/>
  <c r="W28" i="85"/>
  <c r="P30" i="85"/>
  <c r="W32" i="85"/>
  <c r="X28" i="85"/>
  <c r="X32" i="85"/>
  <c r="Y28" i="85"/>
  <c r="W30" i="85"/>
  <c r="Y32" i="85"/>
  <c r="T12" i="85"/>
  <c r="X30" i="85"/>
  <c r="X34" i="85"/>
  <c r="V27" i="85"/>
  <c r="Y34" i="85"/>
  <c r="K27" i="85"/>
  <c r="K12" i="85" s="1"/>
  <c r="P29" i="85"/>
  <c r="P33" i="85"/>
  <c r="P34" i="85"/>
  <c r="R12" i="85"/>
  <c r="P13" i="84"/>
  <c r="P12" i="84" s="1"/>
  <c r="W13" i="84"/>
  <c r="X13" i="84"/>
  <c r="P16" i="83"/>
  <c r="P17" i="83"/>
  <c r="Y12" i="82"/>
  <c r="X12" i="82"/>
  <c r="W12" i="82"/>
  <c r="G18" i="88" s="1"/>
  <c r="P17" i="82"/>
  <c r="X15" i="82"/>
  <c r="Y15" i="82"/>
  <c r="W17" i="82"/>
  <c r="P23" i="82"/>
  <c r="X17" i="82"/>
  <c r="P26" i="82"/>
  <c r="W14" i="82"/>
  <c r="X14" i="82"/>
  <c r="Y23" i="82"/>
  <c r="Y14" i="82"/>
  <c r="W16" i="82"/>
  <c r="X26" i="82"/>
  <c r="P15" i="82"/>
  <c r="W23" i="82"/>
  <c r="P16" i="82"/>
  <c r="W26" i="82"/>
  <c r="W12" i="81"/>
  <c r="W22" i="81"/>
  <c r="Y14" i="81"/>
  <c r="X16" i="81"/>
  <c r="Y22" i="81"/>
  <c r="Y24" i="81"/>
  <c r="P14" i="81"/>
  <c r="W20" i="81"/>
  <c r="W14" i="81"/>
  <c r="X20" i="81"/>
  <c r="Y20" i="81"/>
  <c r="W24" i="81"/>
  <c r="W26" i="81"/>
  <c r="Y19" i="81"/>
  <c r="W21" i="81"/>
  <c r="X26" i="81"/>
  <c r="W16" i="81"/>
  <c r="W19" i="81"/>
  <c r="AE14" i="94" l="1"/>
  <c r="AE10" i="94"/>
  <c r="AE30" i="94" s="1"/>
  <c r="AE14" i="96"/>
  <c r="P12" i="82"/>
  <c r="AE17" i="96"/>
  <c r="AE14" i="97"/>
  <c r="AC30" i="95"/>
  <c r="AE26" i="95"/>
  <c r="AE22" i="98"/>
  <c r="W12" i="84"/>
  <c r="AE13" i="96"/>
  <c r="AE30" i="96" s="1"/>
  <c r="P27" i="85"/>
  <c r="P12" i="85" s="1"/>
  <c r="AC23" i="92"/>
  <c r="AD30" i="97"/>
  <c r="AE21" i="95"/>
  <c r="W27" i="85"/>
  <c r="AC29" i="92"/>
  <c r="AE18" i="97"/>
  <c r="AD30" i="96"/>
  <c r="AE28" i="97"/>
  <c r="Y27" i="85"/>
  <c r="Y61" i="97"/>
  <c r="AE15" i="97"/>
  <c r="AE15" i="98"/>
  <c r="AE15" i="94"/>
  <c r="AE19" i="95"/>
  <c r="AD30" i="95"/>
  <c r="X12" i="85"/>
  <c r="Y12" i="81"/>
  <c r="AC15" i="92"/>
  <c r="AE26" i="96"/>
  <c r="AE21" i="96"/>
  <c r="Y12" i="84"/>
  <c r="AD24" i="92"/>
  <c r="Y61" i="95"/>
  <c r="AD30" i="98"/>
  <c r="P12" i="83"/>
  <c r="AE28" i="94"/>
  <c r="W12" i="83"/>
  <c r="AC30" i="98"/>
  <c r="Y12" i="83"/>
  <c r="AE24" i="97"/>
  <c r="Y61" i="96"/>
  <c r="Y61" i="94"/>
  <c r="P12" i="81"/>
  <c r="Y54" i="92"/>
  <c r="AE10" i="98"/>
  <c r="AE30" i="98" s="1"/>
  <c r="AD15" i="92"/>
  <c r="AE15" i="92" s="1"/>
  <c r="AC14" i="92"/>
  <c r="AE14" i="92" s="1"/>
  <c r="AD29" i="92"/>
  <c r="AC22" i="92"/>
  <c r="Y62" i="92"/>
  <c r="Y45" i="92"/>
  <c r="AC21" i="92"/>
  <c r="AC16" i="92"/>
  <c r="AC30" i="97"/>
  <c r="AE10" i="97"/>
  <c r="AD23" i="92"/>
  <c r="AE23" i="92" s="1"/>
  <c r="AD17" i="92"/>
  <c r="AE17" i="92" s="1"/>
  <c r="Y46" i="92"/>
  <c r="Y49" i="92"/>
  <c r="Y50" i="92"/>
  <c r="Y52" i="92"/>
  <c r="Y58" i="92"/>
  <c r="Y51" i="92"/>
  <c r="W64" i="92"/>
  <c r="Y53" i="92"/>
  <c r="Y56" i="92"/>
  <c r="AD22" i="92"/>
  <c r="AD21" i="92"/>
  <c r="AD10" i="92"/>
  <c r="AE24" i="92"/>
  <c r="AD12" i="92"/>
  <c r="AC12" i="92"/>
  <c r="AD18" i="92"/>
  <c r="AE29" i="92"/>
  <c r="AD19" i="92"/>
  <c r="AC13" i="92"/>
  <c r="AD16" i="92"/>
  <c r="AE16" i="92" s="1"/>
  <c r="AC30" i="96"/>
  <c r="Y44" i="92"/>
  <c r="Y59" i="92"/>
  <c r="Y61" i="92"/>
  <c r="Y60" i="92"/>
  <c r="Y63" i="92"/>
  <c r="AC18" i="92"/>
  <c r="AE18" i="92" s="1"/>
  <c r="AC26" i="92"/>
  <c r="AD13" i="92"/>
  <c r="AC25" i="92"/>
  <c r="AC19" i="92"/>
  <c r="AC27" i="92"/>
  <c r="AD25" i="92"/>
  <c r="AD20" i="92"/>
  <c r="AD27" i="92"/>
  <c r="AC20" i="92"/>
  <c r="C30" i="92"/>
  <c r="AE10" i="95"/>
  <c r="Y47" i="92"/>
  <c r="X64" i="92"/>
  <c r="Y57" i="92"/>
  <c r="N30" i="92"/>
  <c r="AC28" i="92"/>
  <c r="AE28" i="92" s="1"/>
  <c r="D30" i="92"/>
  <c r="AC11" i="92"/>
  <c r="AD11" i="92"/>
  <c r="AD26" i="92"/>
  <c r="AC10" i="92"/>
  <c r="M30" i="92"/>
  <c r="Y12" i="85"/>
  <c r="W12" i="85"/>
  <c r="V12" i="85"/>
  <c r="AE30" i="95" l="1"/>
  <c r="AE19" i="92"/>
  <c r="AE21" i="92"/>
  <c r="AE22" i="92"/>
  <c r="AE30" i="97"/>
  <c r="AE26" i="92"/>
  <c r="AE12" i="92"/>
  <c r="AE13" i="92"/>
  <c r="Y64" i="92"/>
  <c r="AD30" i="92"/>
  <c r="AE20" i="92"/>
  <c r="AE27" i="92"/>
  <c r="AE25" i="92"/>
  <c r="AE11" i="92"/>
  <c r="AE10" i="92"/>
  <c r="AC30" i="92"/>
  <c r="AE30" i="92" l="1"/>
  <c r="H19" i="77"/>
  <c r="F7" i="74"/>
  <c r="J7" i="74" s="1"/>
  <c r="G7" i="74"/>
  <c r="K7" i="74" s="1"/>
  <c r="H7" i="74"/>
  <c r="L7" i="74" s="1"/>
  <c r="J8" i="74"/>
  <c r="K8" i="74"/>
  <c r="J9" i="74"/>
  <c r="K9" i="74"/>
  <c r="J11" i="74"/>
  <c r="K11" i="74"/>
  <c r="J12" i="74"/>
  <c r="K12" i="74"/>
  <c r="B13" i="74"/>
  <c r="C13" i="74"/>
  <c r="F13" i="74"/>
  <c r="G13" i="74"/>
  <c r="K30" i="73"/>
  <c r="K29" i="73"/>
  <c r="K27" i="73"/>
  <c r="K26" i="73"/>
  <c r="K18" i="73"/>
  <c r="K17" i="73"/>
  <c r="K15" i="73"/>
  <c r="K14" i="73"/>
  <c r="J12" i="73"/>
  <c r="I12" i="73"/>
  <c r="H12" i="73"/>
  <c r="G12" i="73"/>
  <c r="D12" i="73"/>
  <c r="C12" i="73"/>
  <c r="J11" i="73"/>
  <c r="I11" i="73"/>
  <c r="H11" i="73"/>
  <c r="G11" i="73"/>
  <c r="D11" i="73"/>
  <c r="C11" i="73"/>
  <c r="G10" i="73"/>
  <c r="D10" i="73"/>
  <c r="C10" i="73"/>
  <c r="J9" i="73"/>
  <c r="I9" i="73"/>
  <c r="H9" i="73"/>
  <c r="G9" i="73"/>
  <c r="D9" i="73"/>
  <c r="C9" i="73"/>
  <c r="J8" i="73"/>
  <c r="I8" i="73"/>
  <c r="H8" i="73"/>
  <c r="G8" i="73"/>
  <c r="D8" i="73"/>
  <c r="C8" i="73"/>
  <c r="N19" i="111"/>
  <c r="N20" i="111"/>
  <c r="N21" i="111"/>
  <c r="N22" i="111"/>
  <c r="N23" i="111"/>
  <c r="N25" i="111"/>
  <c r="N26" i="111"/>
  <c r="V47" i="71"/>
  <c r="U47" i="71"/>
  <c r="T47" i="71"/>
  <c r="S47" i="71"/>
  <c r="R47" i="71"/>
  <c r="Q47" i="71"/>
  <c r="P47" i="71"/>
  <c r="O47" i="71"/>
  <c r="N47" i="71"/>
  <c r="M47" i="71"/>
  <c r="L47" i="71"/>
  <c r="K47" i="71"/>
  <c r="J47" i="71"/>
  <c r="I47" i="71"/>
  <c r="H47" i="71"/>
  <c r="G47" i="71"/>
  <c r="F47" i="71"/>
  <c r="E47" i="71"/>
  <c r="D47" i="71"/>
  <c r="C47" i="71"/>
  <c r="B47" i="71"/>
  <c r="V46" i="71"/>
  <c r="U46" i="71"/>
  <c r="T46" i="71"/>
  <c r="S46" i="71"/>
  <c r="R46" i="71"/>
  <c r="Q46" i="71"/>
  <c r="P46" i="71"/>
  <c r="O46" i="71"/>
  <c r="N46" i="71"/>
  <c r="M46" i="71"/>
  <c r="L46" i="71"/>
  <c r="K46" i="71"/>
  <c r="J46" i="71"/>
  <c r="I46" i="71"/>
  <c r="H46" i="71"/>
  <c r="G46" i="71"/>
  <c r="F46" i="71"/>
  <c r="E46" i="71"/>
  <c r="D46" i="71"/>
  <c r="C46" i="71"/>
  <c r="B46" i="71"/>
  <c r="V45" i="71"/>
  <c r="U45" i="71"/>
  <c r="T45" i="71"/>
  <c r="S45" i="71"/>
  <c r="R45" i="71"/>
  <c r="Q45" i="71"/>
  <c r="P45" i="71"/>
  <c r="O45" i="71"/>
  <c r="N45" i="71"/>
  <c r="M45" i="71"/>
  <c r="L45" i="71"/>
  <c r="K45" i="71"/>
  <c r="J45" i="71"/>
  <c r="I45" i="71"/>
  <c r="H45" i="71"/>
  <c r="G45" i="71"/>
  <c r="F45" i="71"/>
  <c r="E45" i="71"/>
  <c r="D45" i="71"/>
  <c r="C45" i="71"/>
  <c r="B45" i="71"/>
  <c r="V44" i="71"/>
  <c r="U44" i="71"/>
  <c r="T44" i="71"/>
  <c r="S44" i="71"/>
  <c r="R44" i="71"/>
  <c r="Q44" i="71"/>
  <c r="P44" i="71"/>
  <c r="O44" i="71"/>
  <c r="N44" i="71"/>
  <c r="M44" i="71"/>
  <c r="L44" i="71"/>
  <c r="K44" i="71"/>
  <c r="J44" i="71"/>
  <c r="I44" i="71"/>
  <c r="H44" i="71"/>
  <c r="G44" i="71"/>
  <c r="F44" i="71"/>
  <c r="E44" i="71"/>
  <c r="D44" i="71"/>
  <c r="C44" i="71"/>
  <c r="B44" i="71"/>
  <c r="V43" i="71"/>
  <c r="U43" i="71"/>
  <c r="T43" i="71"/>
  <c r="S43" i="71"/>
  <c r="R43" i="71"/>
  <c r="Q43" i="71"/>
  <c r="P43" i="71"/>
  <c r="O43" i="71"/>
  <c r="N43" i="71"/>
  <c r="M43" i="71"/>
  <c r="L43" i="71"/>
  <c r="K43" i="71"/>
  <c r="J43" i="71"/>
  <c r="I43" i="71"/>
  <c r="H43" i="71"/>
  <c r="G43" i="71"/>
  <c r="F43" i="71"/>
  <c r="E43" i="71"/>
  <c r="D43" i="71"/>
  <c r="C43" i="71"/>
  <c r="B43" i="71"/>
  <c r="V42" i="71"/>
  <c r="U42" i="71"/>
  <c r="T42" i="71"/>
  <c r="S42" i="71"/>
  <c r="R42" i="71"/>
  <c r="Q42" i="71"/>
  <c r="P42" i="71"/>
  <c r="O42" i="71"/>
  <c r="N42" i="71"/>
  <c r="M42" i="71"/>
  <c r="L42" i="71"/>
  <c r="K42" i="71"/>
  <c r="J42" i="71"/>
  <c r="I42" i="71"/>
  <c r="H42" i="71"/>
  <c r="G42" i="71"/>
  <c r="F42" i="71"/>
  <c r="E42" i="71"/>
  <c r="D42" i="71"/>
  <c r="C42" i="71"/>
  <c r="B42" i="71"/>
  <c r="V41" i="71"/>
  <c r="U41" i="71"/>
  <c r="T41" i="71"/>
  <c r="S41" i="71"/>
  <c r="R41" i="71"/>
  <c r="Q41" i="71"/>
  <c r="P41" i="71"/>
  <c r="O41" i="71"/>
  <c r="N41" i="71"/>
  <c r="M41" i="71"/>
  <c r="L41" i="71"/>
  <c r="K41" i="71"/>
  <c r="J41" i="71"/>
  <c r="I41" i="71"/>
  <c r="H41" i="71"/>
  <c r="G41" i="71"/>
  <c r="F41" i="71"/>
  <c r="E41" i="71"/>
  <c r="D41" i="71"/>
  <c r="C41" i="71"/>
  <c r="B41" i="71"/>
  <c r="V40" i="71"/>
  <c r="U40" i="71"/>
  <c r="T40" i="71"/>
  <c r="S40" i="71"/>
  <c r="R40" i="71"/>
  <c r="Q40" i="71"/>
  <c r="P40" i="71"/>
  <c r="O40" i="71"/>
  <c r="N40" i="71"/>
  <c r="M40" i="71"/>
  <c r="L40" i="71"/>
  <c r="K40" i="71"/>
  <c r="J40" i="71"/>
  <c r="I40" i="71"/>
  <c r="H40" i="71"/>
  <c r="G40" i="71"/>
  <c r="F40" i="71"/>
  <c r="E40" i="71"/>
  <c r="D40" i="71"/>
  <c r="C40" i="71"/>
  <c r="B40" i="71"/>
  <c r="V39" i="71"/>
  <c r="U39" i="71"/>
  <c r="T39" i="71"/>
  <c r="S39" i="71"/>
  <c r="R39" i="71"/>
  <c r="Q39" i="71"/>
  <c r="P39" i="71"/>
  <c r="O39" i="71"/>
  <c r="N39" i="71"/>
  <c r="M39" i="71"/>
  <c r="L39" i="71"/>
  <c r="K39" i="71"/>
  <c r="J39" i="71"/>
  <c r="I39" i="71"/>
  <c r="H39" i="71"/>
  <c r="G39" i="71"/>
  <c r="F39" i="71"/>
  <c r="E39" i="71"/>
  <c r="D39" i="71"/>
  <c r="C39" i="71"/>
  <c r="B39" i="71"/>
  <c r="V38" i="71"/>
  <c r="U38" i="71"/>
  <c r="T38" i="71"/>
  <c r="S38" i="71"/>
  <c r="R38" i="71"/>
  <c r="Q38" i="71"/>
  <c r="P38" i="71"/>
  <c r="O38" i="71"/>
  <c r="N38" i="71"/>
  <c r="M38" i="71"/>
  <c r="L38" i="71"/>
  <c r="K38" i="71"/>
  <c r="J38" i="71"/>
  <c r="I38" i="71"/>
  <c r="H38" i="71"/>
  <c r="G38" i="71"/>
  <c r="F38" i="71"/>
  <c r="E38" i="71"/>
  <c r="D38" i="71"/>
  <c r="C38" i="71"/>
  <c r="B38" i="71"/>
  <c r="V37" i="71"/>
  <c r="U37" i="71"/>
  <c r="T37" i="71"/>
  <c r="S37" i="71"/>
  <c r="R37" i="71"/>
  <c r="Q37" i="71"/>
  <c r="P37" i="71"/>
  <c r="O37" i="71"/>
  <c r="N37" i="71"/>
  <c r="M37" i="71"/>
  <c r="L37" i="71"/>
  <c r="K37" i="71"/>
  <c r="J37" i="71"/>
  <c r="I37" i="71"/>
  <c r="H37" i="71"/>
  <c r="G37" i="71"/>
  <c r="F37" i="71"/>
  <c r="E37" i="71"/>
  <c r="D37" i="71"/>
  <c r="C37" i="71"/>
  <c r="B37" i="71"/>
  <c r="V36" i="71"/>
  <c r="U36" i="71"/>
  <c r="T36" i="71"/>
  <c r="S36" i="71"/>
  <c r="R36" i="71"/>
  <c r="Q36" i="71"/>
  <c r="P36" i="71"/>
  <c r="O36" i="71"/>
  <c r="N36" i="71"/>
  <c r="M36" i="71"/>
  <c r="L36" i="71"/>
  <c r="K36" i="71"/>
  <c r="J36" i="71"/>
  <c r="I36" i="71"/>
  <c r="H36" i="71"/>
  <c r="G36" i="71"/>
  <c r="F36" i="71"/>
  <c r="E36" i="71"/>
  <c r="D36" i="71"/>
  <c r="C36" i="71"/>
  <c r="B36" i="71"/>
  <c r="V35" i="71"/>
  <c r="U35" i="71"/>
  <c r="T35" i="71"/>
  <c r="S35" i="71"/>
  <c r="R35" i="71"/>
  <c r="Q35" i="71"/>
  <c r="P35" i="71"/>
  <c r="O35" i="71"/>
  <c r="N35" i="71"/>
  <c r="M35" i="71"/>
  <c r="L35" i="71"/>
  <c r="K35" i="71"/>
  <c r="J35" i="71"/>
  <c r="I35" i="71"/>
  <c r="H35" i="71"/>
  <c r="G35" i="71"/>
  <c r="F35" i="71"/>
  <c r="E35" i="71"/>
  <c r="D35" i="71"/>
  <c r="C35" i="71"/>
  <c r="B35" i="71"/>
  <c r="V34" i="71"/>
  <c r="U34" i="71"/>
  <c r="T34" i="71"/>
  <c r="S34" i="71"/>
  <c r="R34" i="71"/>
  <c r="Q34" i="71"/>
  <c r="P34" i="71"/>
  <c r="O34" i="71"/>
  <c r="N34" i="71"/>
  <c r="M34" i="71"/>
  <c r="L34" i="71"/>
  <c r="K34" i="71"/>
  <c r="J34" i="71"/>
  <c r="I34" i="71"/>
  <c r="H34" i="71"/>
  <c r="G34" i="71"/>
  <c r="F34" i="71"/>
  <c r="E34" i="71"/>
  <c r="D34" i="71"/>
  <c r="C34" i="71"/>
  <c r="B34" i="71"/>
  <c r="V33" i="71"/>
  <c r="U33" i="71"/>
  <c r="T33" i="71"/>
  <c r="S33" i="71"/>
  <c r="R33" i="71"/>
  <c r="Q33" i="71"/>
  <c r="P33" i="71"/>
  <c r="O33" i="71"/>
  <c r="N33" i="71"/>
  <c r="M33" i="71"/>
  <c r="L33" i="71"/>
  <c r="K33" i="71"/>
  <c r="J33" i="71"/>
  <c r="I33" i="71"/>
  <c r="H33" i="71"/>
  <c r="G33" i="71"/>
  <c r="F33" i="71"/>
  <c r="E33" i="71"/>
  <c r="D33" i="71"/>
  <c r="C33" i="71"/>
  <c r="B33" i="71"/>
  <c r="V32" i="71"/>
  <c r="U32" i="71"/>
  <c r="T32" i="71"/>
  <c r="S32" i="71"/>
  <c r="R32" i="71"/>
  <c r="Q32" i="71"/>
  <c r="P32" i="71"/>
  <c r="O32" i="71"/>
  <c r="N32" i="71"/>
  <c r="M32" i="71"/>
  <c r="L32" i="71"/>
  <c r="K32" i="71"/>
  <c r="J32" i="71"/>
  <c r="I32" i="71"/>
  <c r="H32" i="71"/>
  <c r="G32" i="71"/>
  <c r="F32" i="71"/>
  <c r="E32" i="71"/>
  <c r="D32" i="71"/>
  <c r="C32" i="71"/>
  <c r="B32" i="71"/>
  <c r="V31" i="71"/>
  <c r="U31" i="71"/>
  <c r="T31" i="71"/>
  <c r="S31" i="71"/>
  <c r="R31" i="71"/>
  <c r="Q31" i="71"/>
  <c r="P31" i="71"/>
  <c r="O31" i="71"/>
  <c r="N31" i="71"/>
  <c r="M31" i="71"/>
  <c r="L31" i="71"/>
  <c r="K31" i="71"/>
  <c r="J31" i="71"/>
  <c r="I31" i="71"/>
  <c r="H31" i="71"/>
  <c r="G31" i="71"/>
  <c r="F31" i="71"/>
  <c r="E31" i="71"/>
  <c r="D31" i="71"/>
  <c r="C31" i="71"/>
  <c r="B31" i="71"/>
  <c r="V30" i="71"/>
  <c r="U30" i="71"/>
  <c r="T30" i="71"/>
  <c r="S30" i="71"/>
  <c r="R30" i="71"/>
  <c r="Q30" i="71"/>
  <c r="P30" i="71"/>
  <c r="O30" i="71"/>
  <c r="N30" i="71"/>
  <c r="M30" i="71"/>
  <c r="L30" i="71"/>
  <c r="K30" i="71"/>
  <c r="J30" i="71"/>
  <c r="I30" i="71"/>
  <c r="H30" i="71"/>
  <c r="G30" i="71"/>
  <c r="F30" i="71"/>
  <c r="E30" i="71"/>
  <c r="D30" i="71"/>
  <c r="C30" i="71"/>
  <c r="B30" i="71"/>
  <c r="V29" i="71"/>
  <c r="U29" i="71"/>
  <c r="T29" i="71"/>
  <c r="S29" i="71"/>
  <c r="R29" i="71"/>
  <c r="Q29" i="71"/>
  <c r="P29" i="71"/>
  <c r="O29" i="71"/>
  <c r="N29" i="71"/>
  <c r="M29" i="71"/>
  <c r="L29" i="71"/>
  <c r="K29" i="71"/>
  <c r="J29" i="71"/>
  <c r="I29" i="71"/>
  <c r="H29" i="71"/>
  <c r="G29" i="71"/>
  <c r="F29" i="71"/>
  <c r="E29" i="71"/>
  <c r="D29" i="71"/>
  <c r="C29" i="71"/>
  <c r="B29" i="71"/>
  <c r="V28" i="71"/>
  <c r="U28" i="71"/>
  <c r="T28" i="71"/>
  <c r="S28" i="71"/>
  <c r="R28" i="71"/>
  <c r="Q28" i="71"/>
  <c r="P28" i="71"/>
  <c r="O28" i="71"/>
  <c r="N28" i="71"/>
  <c r="M28" i="71"/>
  <c r="L28" i="71"/>
  <c r="K28" i="71"/>
  <c r="J28" i="71"/>
  <c r="I28" i="71"/>
  <c r="H28" i="71"/>
  <c r="G28" i="71"/>
  <c r="F28" i="71"/>
  <c r="E28" i="71"/>
  <c r="D28" i="71"/>
  <c r="C28" i="71"/>
  <c r="B28" i="71"/>
  <c r="V27" i="71"/>
  <c r="U27" i="71"/>
  <c r="T27" i="71"/>
  <c r="S27" i="71"/>
  <c r="R27" i="71"/>
  <c r="Q27" i="71"/>
  <c r="P27" i="71"/>
  <c r="O27" i="71"/>
  <c r="N27" i="71"/>
  <c r="M27" i="71"/>
  <c r="L27" i="71"/>
  <c r="K27" i="71"/>
  <c r="J27" i="71"/>
  <c r="I27" i="71"/>
  <c r="H27" i="71"/>
  <c r="G27" i="71"/>
  <c r="F27" i="71"/>
  <c r="E27" i="71"/>
  <c r="D27" i="71"/>
  <c r="C27" i="71"/>
  <c r="B27" i="71"/>
  <c r="V26" i="71"/>
  <c r="U26" i="71"/>
  <c r="T26" i="71"/>
  <c r="S26" i="71"/>
  <c r="R26" i="71"/>
  <c r="Q26" i="71"/>
  <c r="P26" i="71"/>
  <c r="O26" i="71"/>
  <c r="N26" i="71"/>
  <c r="M26" i="71"/>
  <c r="L26" i="71"/>
  <c r="K26" i="71"/>
  <c r="J26" i="71"/>
  <c r="I26" i="71"/>
  <c r="H26" i="71"/>
  <c r="G26" i="71"/>
  <c r="F26" i="71"/>
  <c r="E26" i="71"/>
  <c r="D26" i="71"/>
  <c r="C26" i="71"/>
  <c r="B26" i="71"/>
  <c r="V25" i="71"/>
  <c r="U25" i="71"/>
  <c r="T25" i="71"/>
  <c r="S25" i="71"/>
  <c r="R25" i="71"/>
  <c r="Q25" i="71"/>
  <c r="P25" i="71"/>
  <c r="O25" i="71"/>
  <c r="N25" i="71"/>
  <c r="M25" i="71"/>
  <c r="L25" i="71"/>
  <c r="K25" i="71"/>
  <c r="J25" i="71"/>
  <c r="I25" i="71"/>
  <c r="H25" i="71"/>
  <c r="G25" i="71"/>
  <c r="F25" i="71"/>
  <c r="E25" i="71"/>
  <c r="D25" i="71"/>
  <c r="C25" i="71"/>
  <c r="B25" i="71"/>
  <c r="V24" i="71"/>
  <c r="U24" i="71"/>
  <c r="T24" i="71"/>
  <c r="S24" i="71"/>
  <c r="R24" i="71"/>
  <c r="Q24" i="71"/>
  <c r="P24" i="71"/>
  <c r="O24" i="71"/>
  <c r="N24" i="71"/>
  <c r="M24" i="71"/>
  <c r="L24" i="71"/>
  <c r="K24" i="71"/>
  <c r="J24" i="71"/>
  <c r="I24" i="71"/>
  <c r="H24" i="71"/>
  <c r="G24" i="71"/>
  <c r="F24" i="71"/>
  <c r="E24" i="71"/>
  <c r="D24" i="71"/>
  <c r="C24" i="71"/>
  <c r="B24" i="71"/>
  <c r="V23" i="71"/>
  <c r="U23" i="71"/>
  <c r="T23" i="71"/>
  <c r="S23" i="71"/>
  <c r="R23" i="71"/>
  <c r="Q23" i="71"/>
  <c r="P23" i="71"/>
  <c r="O23" i="71"/>
  <c r="N23" i="71"/>
  <c r="M23" i="71"/>
  <c r="L23" i="71"/>
  <c r="K23" i="71"/>
  <c r="J23" i="71"/>
  <c r="I23" i="71"/>
  <c r="H23" i="71"/>
  <c r="G23" i="71"/>
  <c r="F23" i="71"/>
  <c r="E23" i="71"/>
  <c r="D23" i="71"/>
  <c r="C23" i="71"/>
  <c r="B23" i="71"/>
  <c r="V22" i="71"/>
  <c r="U22" i="71"/>
  <c r="T22" i="71"/>
  <c r="S22" i="71"/>
  <c r="R22" i="71"/>
  <c r="Q22" i="71"/>
  <c r="P22" i="71"/>
  <c r="O22" i="71"/>
  <c r="N22" i="71"/>
  <c r="M22" i="71"/>
  <c r="L22" i="71"/>
  <c r="K22" i="71"/>
  <c r="J22" i="71"/>
  <c r="I22" i="71"/>
  <c r="H22" i="71"/>
  <c r="G22" i="71"/>
  <c r="F22" i="71"/>
  <c r="E22" i="71"/>
  <c r="D22" i="71"/>
  <c r="C22" i="71"/>
  <c r="B22" i="71"/>
  <c r="V21" i="71"/>
  <c r="U21" i="71"/>
  <c r="T21" i="71"/>
  <c r="S21" i="71"/>
  <c r="R21" i="71"/>
  <c r="Q21" i="71"/>
  <c r="P21" i="71"/>
  <c r="O21" i="71"/>
  <c r="N21" i="71"/>
  <c r="M21" i="71"/>
  <c r="L21" i="71"/>
  <c r="K21" i="71"/>
  <c r="J21" i="71"/>
  <c r="I21" i="71"/>
  <c r="H21" i="71"/>
  <c r="G21" i="71"/>
  <c r="F21" i="71"/>
  <c r="E21" i="71"/>
  <c r="D21" i="71"/>
  <c r="C21" i="71"/>
  <c r="B21" i="71"/>
  <c r="V20" i="71"/>
  <c r="U20" i="71"/>
  <c r="T20" i="71"/>
  <c r="S20" i="71"/>
  <c r="R20" i="71"/>
  <c r="Q20" i="71"/>
  <c r="P20" i="71"/>
  <c r="O20" i="71"/>
  <c r="N20" i="71"/>
  <c r="M20" i="71"/>
  <c r="L20" i="71"/>
  <c r="K20" i="71"/>
  <c r="J20" i="71"/>
  <c r="I20" i="71"/>
  <c r="H20" i="71"/>
  <c r="G20" i="71"/>
  <c r="F20" i="71"/>
  <c r="E20" i="71"/>
  <c r="D20" i="71"/>
  <c r="C20" i="71"/>
  <c r="B20" i="71"/>
  <c r="V19" i="71"/>
  <c r="U19" i="71"/>
  <c r="T19" i="71"/>
  <c r="S19" i="71"/>
  <c r="R19" i="71"/>
  <c r="Q19" i="71"/>
  <c r="P19" i="71"/>
  <c r="O19" i="71"/>
  <c r="N19" i="71"/>
  <c r="M19" i="71"/>
  <c r="L19" i="71"/>
  <c r="K19" i="71"/>
  <c r="J19" i="71"/>
  <c r="I19" i="71"/>
  <c r="H19" i="71"/>
  <c r="G19" i="71"/>
  <c r="F19" i="71"/>
  <c r="E19" i="71"/>
  <c r="D19" i="71"/>
  <c r="C19" i="71"/>
  <c r="B19" i="71"/>
  <c r="V18" i="71"/>
  <c r="U18" i="71"/>
  <c r="T18" i="71"/>
  <c r="S18" i="71"/>
  <c r="R18" i="71"/>
  <c r="Q18" i="71"/>
  <c r="P18" i="71"/>
  <c r="O18" i="71"/>
  <c r="N18" i="71"/>
  <c r="M18" i="71"/>
  <c r="L18" i="71"/>
  <c r="K18" i="71"/>
  <c r="J18" i="71"/>
  <c r="I18" i="71"/>
  <c r="H18" i="71"/>
  <c r="G18" i="71"/>
  <c r="F18" i="71"/>
  <c r="E18" i="71"/>
  <c r="D18" i="71"/>
  <c r="C18" i="71"/>
  <c r="B18" i="71"/>
  <c r="V17" i="71"/>
  <c r="U17" i="71"/>
  <c r="T17" i="71"/>
  <c r="S17" i="71"/>
  <c r="R17" i="71"/>
  <c r="Q17" i="71"/>
  <c r="P17" i="71"/>
  <c r="O17" i="71"/>
  <c r="N17" i="71"/>
  <c r="M17" i="71"/>
  <c r="L17" i="71"/>
  <c r="K17" i="71"/>
  <c r="J17" i="71"/>
  <c r="I17" i="71"/>
  <c r="H17" i="71"/>
  <c r="G17" i="71"/>
  <c r="F17" i="71"/>
  <c r="E17" i="71"/>
  <c r="D17" i="71"/>
  <c r="C17" i="71"/>
  <c r="B17" i="71"/>
  <c r="V16" i="71"/>
  <c r="U16" i="71"/>
  <c r="T16" i="71"/>
  <c r="S16" i="71"/>
  <c r="R16" i="71"/>
  <c r="Q16" i="71"/>
  <c r="P16" i="71"/>
  <c r="O16" i="71"/>
  <c r="N16" i="71"/>
  <c r="M16" i="71"/>
  <c r="L16" i="71"/>
  <c r="K16" i="71"/>
  <c r="J16" i="71"/>
  <c r="I16" i="71"/>
  <c r="H16" i="71"/>
  <c r="G16" i="71"/>
  <c r="F16" i="71"/>
  <c r="E16" i="71"/>
  <c r="D16" i="71"/>
  <c r="C16" i="71"/>
  <c r="B16" i="71"/>
  <c r="V15" i="71"/>
  <c r="U15" i="71"/>
  <c r="T15" i="71"/>
  <c r="S15" i="71"/>
  <c r="R15" i="71"/>
  <c r="Q15" i="71"/>
  <c r="P15" i="71"/>
  <c r="O15" i="71"/>
  <c r="N15" i="71"/>
  <c r="M15" i="71"/>
  <c r="L15" i="71"/>
  <c r="K15" i="71"/>
  <c r="J15" i="71"/>
  <c r="I15" i="71"/>
  <c r="H15" i="71"/>
  <c r="G15" i="71"/>
  <c r="F15" i="71"/>
  <c r="E15" i="71"/>
  <c r="D15" i="71"/>
  <c r="C15" i="71"/>
  <c r="B15" i="71"/>
  <c r="V14" i="71"/>
  <c r="U14" i="71"/>
  <c r="T14" i="71"/>
  <c r="S14" i="71"/>
  <c r="R14" i="71"/>
  <c r="Q14" i="71"/>
  <c r="P14" i="71"/>
  <c r="O14" i="71"/>
  <c r="N14" i="71"/>
  <c r="M14" i="71"/>
  <c r="L14" i="71"/>
  <c r="K14" i="71"/>
  <c r="J14" i="71"/>
  <c r="I14" i="71"/>
  <c r="H14" i="71"/>
  <c r="G14" i="71"/>
  <c r="F14" i="71"/>
  <c r="E14" i="71"/>
  <c r="D14" i="71"/>
  <c r="C14" i="71"/>
  <c r="B14" i="71"/>
  <c r="V13" i="71"/>
  <c r="U13" i="71"/>
  <c r="T13" i="71"/>
  <c r="S13" i="71"/>
  <c r="R13" i="71"/>
  <c r="Q13" i="71"/>
  <c r="P13" i="71"/>
  <c r="O13" i="71"/>
  <c r="N13" i="71"/>
  <c r="M13" i="71"/>
  <c r="L13" i="71"/>
  <c r="K13" i="71"/>
  <c r="J13" i="71"/>
  <c r="I13" i="71"/>
  <c r="H13" i="71"/>
  <c r="G13" i="71"/>
  <c r="F13" i="71"/>
  <c r="E13" i="71"/>
  <c r="D13" i="71"/>
  <c r="C13" i="71"/>
  <c r="B13" i="71"/>
  <c r="V12" i="71"/>
  <c r="U12" i="71"/>
  <c r="T12" i="71"/>
  <c r="S12" i="71"/>
  <c r="R12" i="71"/>
  <c r="Q12" i="71"/>
  <c r="P12" i="71"/>
  <c r="O12" i="71"/>
  <c r="N12" i="71"/>
  <c r="M12" i="71"/>
  <c r="L12" i="71"/>
  <c r="K12" i="71"/>
  <c r="J12" i="71"/>
  <c r="I12" i="71"/>
  <c r="H12" i="71"/>
  <c r="G12" i="71"/>
  <c r="F12" i="71"/>
  <c r="E12" i="71"/>
  <c r="D12" i="71"/>
  <c r="C12" i="71"/>
  <c r="B12" i="71"/>
  <c r="V11" i="71"/>
  <c r="U11" i="71"/>
  <c r="T11" i="71"/>
  <c r="S11" i="71"/>
  <c r="R11" i="71"/>
  <c r="Q11" i="71"/>
  <c r="P11" i="71"/>
  <c r="O11" i="71"/>
  <c r="N11" i="71"/>
  <c r="M11" i="71"/>
  <c r="L11" i="71"/>
  <c r="K11" i="71"/>
  <c r="J11" i="71"/>
  <c r="I11" i="71"/>
  <c r="H11" i="71"/>
  <c r="G11" i="71"/>
  <c r="F11" i="71"/>
  <c r="E11" i="71"/>
  <c r="D11" i="71"/>
  <c r="C11" i="71"/>
  <c r="B11" i="71"/>
  <c r="V10" i="71"/>
  <c r="U10" i="71"/>
  <c r="T10" i="71"/>
  <c r="S10" i="71"/>
  <c r="R10" i="71"/>
  <c r="Q10" i="71"/>
  <c r="P10" i="71"/>
  <c r="O10" i="71"/>
  <c r="N10" i="71"/>
  <c r="M10" i="71"/>
  <c r="L10" i="71"/>
  <c r="K10" i="71"/>
  <c r="J10" i="71"/>
  <c r="I10" i="71"/>
  <c r="H10" i="71"/>
  <c r="G10" i="71"/>
  <c r="F10" i="71"/>
  <c r="E10" i="71"/>
  <c r="D10" i="71"/>
  <c r="C10" i="71"/>
  <c r="B10" i="71"/>
  <c r="V9" i="71"/>
  <c r="U9" i="71"/>
  <c r="T9" i="71"/>
  <c r="S9" i="71"/>
  <c r="R9" i="71"/>
  <c r="Q9" i="71"/>
  <c r="P9" i="71"/>
  <c r="O9" i="71"/>
  <c r="N9" i="71"/>
  <c r="M9" i="71"/>
  <c r="L9" i="71"/>
  <c r="K9" i="71"/>
  <c r="J9" i="71"/>
  <c r="I9" i="71"/>
  <c r="H9" i="71"/>
  <c r="G9" i="71"/>
  <c r="F9" i="71"/>
  <c r="E9" i="71"/>
  <c r="D9" i="71"/>
  <c r="C9" i="71"/>
  <c r="B9" i="71"/>
  <c r="V8" i="71"/>
  <c r="U8" i="71"/>
  <c r="T8" i="71"/>
  <c r="S8" i="71"/>
  <c r="R8" i="71"/>
  <c r="Q8" i="71"/>
  <c r="P8" i="71"/>
  <c r="O8" i="71"/>
  <c r="N8" i="71"/>
  <c r="M8" i="71"/>
  <c r="L8" i="71"/>
  <c r="K8" i="71"/>
  <c r="J8" i="71"/>
  <c r="I8" i="71"/>
  <c r="H8" i="71"/>
  <c r="G8" i="71"/>
  <c r="F8" i="71"/>
  <c r="E8" i="71"/>
  <c r="D8" i="71"/>
  <c r="C8" i="71"/>
  <c r="B8" i="71"/>
  <c r="AD34" i="70"/>
  <c r="AC34" i="70"/>
  <c r="AB34" i="70"/>
  <c r="AA34" i="70"/>
  <c r="Z34" i="70"/>
  <c r="Y34" i="70"/>
  <c r="X34" i="70"/>
  <c r="W34" i="70"/>
  <c r="V34" i="70"/>
  <c r="U34" i="70"/>
  <c r="T34" i="70"/>
  <c r="S34" i="70"/>
  <c r="R34" i="70"/>
  <c r="Q34" i="70"/>
  <c r="P34" i="70"/>
  <c r="O34" i="70"/>
  <c r="N34" i="70"/>
  <c r="M34" i="70"/>
  <c r="L34" i="70"/>
  <c r="K34" i="70"/>
  <c r="J34" i="70"/>
  <c r="I34" i="70"/>
  <c r="H34" i="70"/>
  <c r="G34" i="70"/>
  <c r="F34" i="70"/>
  <c r="E34" i="70"/>
  <c r="D34" i="70"/>
  <c r="C34" i="70"/>
  <c r="AD33" i="70"/>
  <c r="AC33" i="70"/>
  <c r="AB33" i="70"/>
  <c r="AA33" i="70"/>
  <c r="Z33" i="70"/>
  <c r="Y33" i="70"/>
  <c r="X33" i="70"/>
  <c r="W33" i="70"/>
  <c r="V33" i="70"/>
  <c r="U33" i="70"/>
  <c r="T33" i="70"/>
  <c r="S33" i="70"/>
  <c r="R33" i="70"/>
  <c r="Q33" i="70"/>
  <c r="P33" i="70"/>
  <c r="O33" i="70"/>
  <c r="N33" i="70"/>
  <c r="M33" i="70"/>
  <c r="L33" i="70"/>
  <c r="K33" i="70"/>
  <c r="J33" i="70"/>
  <c r="I33" i="70"/>
  <c r="H33" i="70"/>
  <c r="G33" i="70"/>
  <c r="F33" i="70"/>
  <c r="E33" i="70"/>
  <c r="D33" i="70"/>
  <c r="C33"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E32" i="70"/>
  <c r="D32" i="70"/>
  <c r="C32" i="70"/>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E31" i="70"/>
  <c r="D31" i="70"/>
  <c r="C31" i="70"/>
  <c r="AD30" i="70"/>
  <c r="AC30" i="70"/>
  <c r="AB30" i="70"/>
  <c r="AA30" i="70"/>
  <c r="Z30" i="70"/>
  <c r="Y30" i="70"/>
  <c r="X30" i="70"/>
  <c r="W30" i="70"/>
  <c r="V30" i="70"/>
  <c r="U30" i="70"/>
  <c r="T30" i="70"/>
  <c r="S30" i="70"/>
  <c r="R30" i="70"/>
  <c r="Q30" i="70"/>
  <c r="P30" i="70"/>
  <c r="O30" i="70"/>
  <c r="N30" i="70"/>
  <c r="M30" i="70"/>
  <c r="L30" i="70"/>
  <c r="K30" i="70"/>
  <c r="J30" i="70"/>
  <c r="I30" i="70"/>
  <c r="H30" i="70"/>
  <c r="G30" i="70"/>
  <c r="F30" i="70"/>
  <c r="E30" i="70"/>
  <c r="D30" i="70"/>
  <c r="C30" i="70"/>
  <c r="AD29" i="70"/>
  <c r="AC29" i="70"/>
  <c r="AB29" i="70"/>
  <c r="AA29" i="70"/>
  <c r="Z29" i="70"/>
  <c r="Y29" i="70"/>
  <c r="X29" i="70"/>
  <c r="W29" i="70"/>
  <c r="V29" i="70"/>
  <c r="U29" i="70"/>
  <c r="T29" i="70"/>
  <c r="S29" i="70"/>
  <c r="R29" i="70"/>
  <c r="Q29" i="70"/>
  <c r="P29" i="70"/>
  <c r="O29" i="70"/>
  <c r="N29" i="70"/>
  <c r="M29" i="70"/>
  <c r="L29" i="70"/>
  <c r="K29" i="70"/>
  <c r="J29" i="70"/>
  <c r="I29" i="70"/>
  <c r="H29" i="70"/>
  <c r="G29" i="70"/>
  <c r="F29" i="70"/>
  <c r="E29" i="70"/>
  <c r="D29" i="70"/>
  <c r="C29" i="70"/>
  <c r="AD28" i="70"/>
  <c r="AC28" i="70"/>
  <c r="AB28" i="70"/>
  <c r="AA28" i="70"/>
  <c r="Z28" i="70"/>
  <c r="Y28" i="70"/>
  <c r="X28" i="70"/>
  <c r="W28" i="70"/>
  <c r="V28" i="70"/>
  <c r="U28" i="70"/>
  <c r="T28" i="70"/>
  <c r="S28" i="70"/>
  <c r="R28" i="70"/>
  <c r="Q28" i="70"/>
  <c r="P28" i="70"/>
  <c r="O28" i="70"/>
  <c r="N28" i="70"/>
  <c r="M28" i="70"/>
  <c r="L28" i="70"/>
  <c r="K28" i="70"/>
  <c r="J28" i="70"/>
  <c r="I28" i="70"/>
  <c r="H28" i="70"/>
  <c r="G28" i="70"/>
  <c r="F28" i="70"/>
  <c r="E28" i="70"/>
  <c r="D28" i="70"/>
  <c r="C28" i="70"/>
  <c r="AD27" i="70"/>
  <c r="AC27" i="70"/>
  <c r="AB27" i="70"/>
  <c r="AA27" i="70"/>
  <c r="Z27" i="70"/>
  <c r="Y27" i="70"/>
  <c r="X27" i="70"/>
  <c r="W27" i="70"/>
  <c r="V27" i="70"/>
  <c r="U27" i="70"/>
  <c r="T27" i="70"/>
  <c r="S27" i="70"/>
  <c r="R27" i="70"/>
  <c r="Q27" i="70"/>
  <c r="P27" i="70"/>
  <c r="O27" i="70"/>
  <c r="N27" i="70"/>
  <c r="M27" i="70"/>
  <c r="L27" i="70"/>
  <c r="K27" i="70"/>
  <c r="J27" i="70"/>
  <c r="I27" i="70"/>
  <c r="H27" i="70"/>
  <c r="G27" i="70"/>
  <c r="F27" i="70"/>
  <c r="E27" i="70"/>
  <c r="D27" i="70"/>
  <c r="C27" i="70"/>
  <c r="AD26" i="70"/>
  <c r="AC26" i="70"/>
  <c r="AB26" i="70"/>
  <c r="AA26" i="70"/>
  <c r="Z26" i="70"/>
  <c r="Y26" i="70"/>
  <c r="X26" i="70"/>
  <c r="W26" i="70"/>
  <c r="V26" i="70"/>
  <c r="U26" i="70"/>
  <c r="T26" i="70"/>
  <c r="S26" i="70"/>
  <c r="R26" i="70"/>
  <c r="Q26" i="70"/>
  <c r="P26" i="70"/>
  <c r="O26" i="70"/>
  <c r="N26" i="70"/>
  <c r="M26" i="70"/>
  <c r="L26" i="70"/>
  <c r="K26" i="70"/>
  <c r="J26" i="70"/>
  <c r="I26" i="70"/>
  <c r="H26" i="70"/>
  <c r="G26" i="70"/>
  <c r="F26" i="70"/>
  <c r="E26" i="70"/>
  <c r="D26" i="70"/>
  <c r="C26" i="70"/>
  <c r="AD24" i="70"/>
  <c r="AC24" i="70"/>
  <c r="AB24" i="70"/>
  <c r="AA24" i="70"/>
  <c r="Z24" i="70"/>
  <c r="Y24" i="70"/>
  <c r="X24" i="70"/>
  <c r="W24" i="70"/>
  <c r="V24" i="70"/>
  <c r="U24" i="70"/>
  <c r="T24" i="70"/>
  <c r="S24" i="70"/>
  <c r="R24" i="70"/>
  <c r="Q24" i="70"/>
  <c r="P24" i="70"/>
  <c r="O24" i="70"/>
  <c r="N24" i="70"/>
  <c r="M24" i="70"/>
  <c r="L24" i="70"/>
  <c r="K24" i="70"/>
  <c r="J24" i="70"/>
  <c r="I24" i="70"/>
  <c r="H24" i="70"/>
  <c r="G24" i="70"/>
  <c r="F24" i="70"/>
  <c r="E24" i="70"/>
  <c r="D24" i="70"/>
  <c r="C24" i="70"/>
  <c r="AD23" i="70"/>
  <c r="AC23" i="70"/>
  <c r="AB23" i="70"/>
  <c r="AA23" i="70"/>
  <c r="Z23" i="70"/>
  <c r="Y23" i="70"/>
  <c r="X23" i="70"/>
  <c r="W23" i="70"/>
  <c r="V23" i="70"/>
  <c r="U23" i="70"/>
  <c r="T23" i="70"/>
  <c r="S23" i="70"/>
  <c r="R23" i="70"/>
  <c r="Q23" i="70"/>
  <c r="P23" i="70"/>
  <c r="O23" i="70"/>
  <c r="N23" i="70"/>
  <c r="M23" i="70"/>
  <c r="L23" i="70"/>
  <c r="K23" i="70"/>
  <c r="J23" i="70"/>
  <c r="I23" i="70"/>
  <c r="H23" i="70"/>
  <c r="G23" i="70"/>
  <c r="F23" i="70"/>
  <c r="E23" i="70"/>
  <c r="D23" i="70"/>
  <c r="C23" i="70"/>
  <c r="AD22" i="70"/>
  <c r="AC22" i="70"/>
  <c r="AB22" i="70"/>
  <c r="AA22" i="70"/>
  <c r="Z22" i="70"/>
  <c r="Y22" i="70"/>
  <c r="X22" i="70"/>
  <c r="W22" i="70"/>
  <c r="V22" i="70"/>
  <c r="U22" i="70"/>
  <c r="T22" i="70"/>
  <c r="S22" i="70"/>
  <c r="R22" i="70"/>
  <c r="Q22" i="70"/>
  <c r="P22" i="70"/>
  <c r="O22" i="70"/>
  <c r="N22" i="70"/>
  <c r="M22" i="70"/>
  <c r="L22" i="70"/>
  <c r="K22" i="70"/>
  <c r="J22" i="70"/>
  <c r="I22" i="70"/>
  <c r="H22" i="70"/>
  <c r="G22" i="70"/>
  <c r="F22" i="70"/>
  <c r="E22" i="70"/>
  <c r="D22" i="70"/>
  <c r="C22" i="70"/>
  <c r="AD21" i="70"/>
  <c r="AC21" i="70"/>
  <c r="AB21" i="70"/>
  <c r="AA21" i="70"/>
  <c r="Z21" i="70"/>
  <c r="Y21" i="70"/>
  <c r="X21" i="70"/>
  <c r="W21" i="70"/>
  <c r="V21" i="70"/>
  <c r="U21" i="70"/>
  <c r="T21" i="70"/>
  <c r="S21" i="70"/>
  <c r="R21" i="70"/>
  <c r="Q21" i="70"/>
  <c r="P21" i="70"/>
  <c r="O21" i="70"/>
  <c r="N21" i="70"/>
  <c r="M21" i="70"/>
  <c r="L21" i="70"/>
  <c r="K21" i="70"/>
  <c r="J21" i="70"/>
  <c r="I21" i="70"/>
  <c r="H21" i="70"/>
  <c r="G21" i="70"/>
  <c r="F21" i="70"/>
  <c r="E21" i="70"/>
  <c r="D21" i="70"/>
  <c r="C21" i="70"/>
  <c r="AD20" i="70"/>
  <c r="AC20" i="70"/>
  <c r="AB20" i="70"/>
  <c r="AA20" i="70"/>
  <c r="Z20" i="70"/>
  <c r="Y20" i="70"/>
  <c r="X20" i="70"/>
  <c r="W20" i="70"/>
  <c r="V20" i="70"/>
  <c r="U20" i="70"/>
  <c r="T20" i="70"/>
  <c r="S20" i="70"/>
  <c r="R20" i="70"/>
  <c r="Q20" i="70"/>
  <c r="P20" i="70"/>
  <c r="O20" i="70"/>
  <c r="N20" i="70"/>
  <c r="M20" i="70"/>
  <c r="L20" i="70"/>
  <c r="K20" i="70"/>
  <c r="J20" i="70"/>
  <c r="I20" i="70"/>
  <c r="H20" i="70"/>
  <c r="G20" i="70"/>
  <c r="F20" i="70"/>
  <c r="E20" i="70"/>
  <c r="D20" i="70"/>
  <c r="C20" i="70"/>
  <c r="AD19" i="70"/>
  <c r="AC19" i="70"/>
  <c r="AB19" i="70"/>
  <c r="AA19" i="70"/>
  <c r="Z19" i="70"/>
  <c r="Y19" i="70"/>
  <c r="X19" i="70"/>
  <c r="W19" i="70"/>
  <c r="V19" i="70"/>
  <c r="U19" i="70"/>
  <c r="T19" i="70"/>
  <c r="S19" i="70"/>
  <c r="R19" i="70"/>
  <c r="Q19" i="70"/>
  <c r="P19" i="70"/>
  <c r="O19" i="70"/>
  <c r="N19" i="70"/>
  <c r="M19" i="70"/>
  <c r="L19" i="70"/>
  <c r="K19" i="70"/>
  <c r="J19" i="70"/>
  <c r="I19" i="70"/>
  <c r="H19" i="70"/>
  <c r="G19" i="70"/>
  <c r="F19" i="70"/>
  <c r="E19" i="70"/>
  <c r="D19" i="70"/>
  <c r="C19" i="70"/>
  <c r="AD18" i="70"/>
  <c r="AC18" i="70"/>
  <c r="AB18" i="70"/>
  <c r="AA18" i="70"/>
  <c r="Z18" i="70"/>
  <c r="Y18" i="70"/>
  <c r="X18" i="70"/>
  <c r="W18" i="70"/>
  <c r="V18" i="70"/>
  <c r="U18" i="70"/>
  <c r="T18" i="70"/>
  <c r="S18" i="70"/>
  <c r="R18" i="70"/>
  <c r="Q18" i="70"/>
  <c r="P18" i="70"/>
  <c r="O18" i="70"/>
  <c r="N18" i="70"/>
  <c r="M18" i="70"/>
  <c r="L18" i="70"/>
  <c r="K18" i="70"/>
  <c r="J18" i="70"/>
  <c r="I18" i="70"/>
  <c r="H18" i="70"/>
  <c r="G18" i="70"/>
  <c r="F18" i="70"/>
  <c r="E18" i="70"/>
  <c r="D18" i="70"/>
  <c r="C18" i="70"/>
  <c r="AD17" i="70"/>
  <c r="AC17" i="70"/>
  <c r="AB17" i="70"/>
  <c r="AA17" i="70"/>
  <c r="Z17" i="70"/>
  <c r="Y17" i="70"/>
  <c r="X17" i="70"/>
  <c r="W17" i="70"/>
  <c r="V17" i="70"/>
  <c r="U17" i="70"/>
  <c r="T17" i="70"/>
  <c r="S17" i="70"/>
  <c r="R17" i="70"/>
  <c r="Q17" i="70"/>
  <c r="P17" i="70"/>
  <c r="O17" i="70"/>
  <c r="N17" i="70"/>
  <c r="M17" i="70"/>
  <c r="L17" i="70"/>
  <c r="K17" i="70"/>
  <c r="J17" i="70"/>
  <c r="I17" i="70"/>
  <c r="H17" i="70"/>
  <c r="G17" i="70"/>
  <c r="F17" i="70"/>
  <c r="E17" i="70"/>
  <c r="D17" i="70"/>
  <c r="C17" i="70"/>
  <c r="AD16" i="70"/>
  <c r="AC16" i="70"/>
  <c r="AB16" i="70"/>
  <c r="AA16" i="70"/>
  <c r="Z16" i="70"/>
  <c r="Y16" i="70"/>
  <c r="X16" i="70"/>
  <c r="W16" i="70"/>
  <c r="V16" i="70"/>
  <c r="U16" i="70"/>
  <c r="T16" i="70"/>
  <c r="S16" i="70"/>
  <c r="R16" i="70"/>
  <c r="Q16" i="70"/>
  <c r="P16" i="70"/>
  <c r="O16" i="70"/>
  <c r="N16" i="70"/>
  <c r="M16" i="70"/>
  <c r="L16" i="70"/>
  <c r="K16" i="70"/>
  <c r="J16" i="70"/>
  <c r="I16" i="70"/>
  <c r="H16" i="70"/>
  <c r="G16" i="70"/>
  <c r="F16" i="70"/>
  <c r="E16" i="70"/>
  <c r="D16" i="70"/>
  <c r="C16" i="70"/>
  <c r="AD10" i="70"/>
  <c r="AC10" i="70"/>
  <c r="AB10" i="70"/>
  <c r="AA10" i="70"/>
  <c r="Z10" i="70"/>
  <c r="Y10" i="70"/>
  <c r="X10" i="70"/>
  <c r="W10" i="70"/>
  <c r="V10" i="70"/>
  <c r="U10" i="70"/>
  <c r="T10" i="70"/>
  <c r="S10" i="70"/>
  <c r="R10" i="70"/>
  <c r="Q10" i="70"/>
  <c r="P10" i="70"/>
  <c r="O10" i="70"/>
  <c r="N10" i="70"/>
  <c r="M10" i="70"/>
  <c r="L10" i="70"/>
  <c r="K10" i="70"/>
  <c r="J10" i="70"/>
  <c r="I10" i="70"/>
  <c r="H10" i="70"/>
  <c r="G10" i="70"/>
  <c r="F10" i="70"/>
  <c r="E10" i="70"/>
  <c r="D10" i="70"/>
  <c r="C10" i="70"/>
  <c r="D15" i="70"/>
  <c r="AD14" i="70"/>
  <c r="AC14" i="70"/>
  <c r="AB14" i="70"/>
  <c r="AA14" i="70"/>
  <c r="Z14" i="70"/>
  <c r="Y14" i="70"/>
  <c r="X14" i="70"/>
  <c r="W14" i="70"/>
  <c r="V14" i="70"/>
  <c r="U14" i="70"/>
  <c r="T14" i="70"/>
  <c r="S14" i="70"/>
  <c r="R14" i="70"/>
  <c r="Q14" i="70"/>
  <c r="P14" i="70"/>
  <c r="O14" i="70"/>
  <c r="N14" i="70"/>
  <c r="M14" i="70"/>
  <c r="L14" i="70"/>
  <c r="K14" i="70"/>
  <c r="J14" i="70"/>
  <c r="I14" i="70"/>
  <c r="H14" i="70"/>
  <c r="G14" i="70"/>
  <c r="F14" i="70"/>
  <c r="E14" i="70"/>
  <c r="D14" i="70"/>
  <c r="C14" i="70"/>
  <c r="AD13" i="70"/>
  <c r="AC13" i="70"/>
  <c r="AB13" i="70"/>
  <c r="AA13" i="70"/>
  <c r="Z13" i="70"/>
  <c r="Y13" i="70"/>
  <c r="X13" i="70"/>
  <c r="W13" i="70"/>
  <c r="V13" i="70"/>
  <c r="U13" i="70"/>
  <c r="T13" i="70"/>
  <c r="S13" i="70"/>
  <c r="R13" i="70"/>
  <c r="Q13" i="70"/>
  <c r="P13" i="70"/>
  <c r="O13" i="70"/>
  <c r="N13" i="70"/>
  <c r="M13" i="70"/>
  <c r="L13" i="70"/>
  <c r="K13" i="70"/>
  <c r="J13" i="70"/>
  <c r="I13" i="70"/>
  <c r="H13" i="70"/>
  <c r="G13" i="70"/>
  <c r="F13" i="70"/>
  <c r="E13" i="70"/>
  <c r="D13" i="70"/>
  <c r="C13" i="70"/>
  <c r="AD12" i="70"/>
  <c r="AC12" i="70"/>
  <c r="AB12" i="70"/>
  <c r="AA12" i="70"/>
  <c r="Z12" i="70"/>
  <c r="Y12" i="70"/>
  <c r="X12" i="70"/>
  <c r="W12" i="70"/>
  <c r="V12" i="70"/>
  <c r="U12" i="70"/>
  <c r="T12" i="70"/>
  <c r="S12" i="70"/>
  <c r="R12" i="70"/>
  <c r="Q12" i="70"/>
  <c r="P12" i="70"/>
  <c r="O12" i="70"/>
  <c r="N12" i="70"/>
  <c r="M12" i="70"/>
  <c r="L12" i="70"/>
  <c r="K12" i="70"/>
  <c r="J12" i="70"/>
  <c r="I12" i="70"/>
  <c r="H12" i="70"/>
  <c r="G12" i="70"/>
  <c r="F12" i="70"/>
  <c r="E12" i="70"/>
  <c r="D12" i="70"/>
  <c r="C12" i="70"/>
  <c r="AD11"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G39" i="68"/>
  <c r="G32" i="68"/>
  <c r="G33" i="68"/>
  <c r="G27" i="68"/>
  <c r="G34" i="68"/>
  <c r="G17" i="68"/>
  <c r="G28" i="68"/>
  <c r="G31" i="68"/>
  <c r="G25" i="68"/>
  <c r="G29" i="68"/>
  <c r="G30" i="68"/>
  <c r="F8" i="102"/>
  <c r="F10" i="102"/>
  <c r="F9" i="102"/>
  <c r="F7" i="102"/>
  <c r="F6" i="102"/>
  <c r="I28" i="66"/>
  <c r="G28" i="66"/>
  <c r="F28" i="66"/>
  <c r="E28" i="66"/>
  <c r="D28" i="66"/>
  <c r="C28" i="66"/>
  <c r="B28" i="66"/>
  <c r="I27" i="66"/>
  <c r="G27" i="66"/>
  <c r="F27" i="66"/>
  <c r="E27" i="66"/>
  <c r="D27" i="66"/>
  <c r="C27" i="66"/>
  <c r="B27" i="66"/>
  <c r="I26" i="66"/>
  <c r="G26" i="66"/>
  <c r="F26" i="66"/>
  <c r="E26" i="66"/>
  <c r="D26" i="66"/>
  <c r="C26" i="66"/>
  <c r="B26" i="66"/>
  <c r="I25" i="66"/>
  <c r="G25" i="66"/>
  <c r="F25" i="66"/>
  <c r="E25" i="66"/>
  <c r="D25" i="66"/>
  <c r="C25" i="66"/>
  <c r="B25" i="66"/>
  <c r="I24" i="66"/>
  <c r="G24" i="66"/>
  <c r="F24" i="66"/>
  <c r="E24" i="66"/>
  <c r="D24" i="66"/>
  <c r="C24" i="66"/>
  <c r="B24" i="66"/>
  <c r="I23" i="66"/>
  <c r="G23" i="66"/>
  <c r="F23" i="66"/>
  <c r="E23" i="66"/>
  <c r="D23" i="66"/>
  <c r="C23" i="66"/>
  <c r="B23" i="66"/>
  <c r="I22" i="66"/>
  <c r="G22" i="66"/>
  <c r="F22" i="66"/>
  <c r="E22" i="66"/>
  <c r="D22" i="66"/>
  <c r="C22" i="66"/>
  <c r="B22" i="66"/>
  <c r="I21" i="66"/>
  <c r="G21" i="66"/>
  <c r="F21" i="66"/>
  <c r="E21" i="66"/>
  <c r="D21" i="66"/>
  <c r="C21" i="66"/>
  <c r="B21" i="66"/>
  <c r="I20" i="66"/>
  <c r="G20" i="66"/>
  <c r="F20" i="66"/>
  <c r="E20" i="66"/>
  <c r="D20" i="66"/>
  <c r="C20" i="66"/>
  <c r="B20" i="66"/>
  <c r="I19" i="66"/>
  <c r="G19" i="66"/>
  <c r="F19" i="66"/>
  <c r="E19" i="66"/>
  <c r="D19" i="66"/>
  <c r="C19" i="66"/>
  <c r="B19" i="66"/>
  <c r="I18" i="66"/>
  <c r="G18" i="66"/>
  <c r="F18" i="66"/>
  <c r="E18" i="66"/>
  <c r="D18" i="66"/>
  <c r="C18" i="66"/>
  <c r="B18" i="66"/>
  <c r="I17" i="66"/>
  <c r="G17" i="66"/>
  <c r="F17" i="66"/>
  <c r="E17" i="66"/>
  <c r="D17" i="66"/>
  <c r="C17" i="66"/>
  <c r="B17" i="66"/>
  <c r="I16" i="66"/>
  <c r="G16" i="66"/>
  <c r="F16" i="66"/>
  <c r="E16" i="66"/>
  <c r="D16" i="66"/>
  <c r="C16" i="66"/>
  <c r="B16" i="66"/>
  <c r="I15" i="66"/>
  <c r="G15" i="66"/>
  <c r="F15" i="66"/>
  <c r="E15" i="66"/>
  <c r="D15" i="66"/>
  <c r="C15" i="66"/>
  <c r="B15" i="66"/>
  <c r="I14" i="66"/>
  <c r="G14" i="66"/>
  <c r="F14" i="66"/>
  <c r="E14" i="66"/>
  <c r="D14" i="66"/>
  <c r="C14" i="66"/>
  <c r="B14" i="66"/>
  <c r="I13" i="66"/>
  <c r="G13" i="66"/>
  <c r="F13" i="66"/>
  <c r="E13" i="66"/>
  <c r="D13" i="66"/>
  <c r="C13" i="66"/>
  <c r="B13" i="66"/>
  <c r="I12" i="66"/>
  <c r="G12" i="66"/>
  <c r="F12" i="66"/>
  <c r="E12" i="66"/>
  <c r="D12" i="66"/>
  <c r="C12" i="66"/>
  <c r="B12" i="66"/>
  <c r="I11" i="66"/>
  <c r="G11" i="66"/>
  <c r="F11" i="66"/>
  <c r="E11" i="66"/>
  <c r="D11" i="66"/>
  <c r="C11" i="66"/>
  <c r="B11" i="66"/>
  <c r="I10" i="66"/>
  <c r="G10" i="66"/>
  <c r="F10" i="66"/>
  <c r="E10" i="66"/>
  <c r="D10" i="66"/>
  <c r="C10" i="66"/>
  <c r="B10" i="66"/>
  <c r="I9" i="66"/>
  <c r="G9" i="66"/>
  <c r="F9" i="66"/>
  <c r="E9" i="66"/>
  <c r="D9" i="66"/>
  <c r="C9" i="66"/>
  <c r="B9" i="66"/>
  <c r="I8" i="66"/>
  <c r="G8" i="66"/>
  <c r="F8" i="66"/>
  <c r="E8" i="66"/>
  <c r="D8" i="66"/>
  <c r="C8" i="66"/>
  <c r="B8" i="66"/>
  <c r="I7" i="66"/>
  <c r="G7" i="66"/>
  <c r="F7" i="66"/>
  <c r="E7" i="66"/>
  <c r="D7" i="66"/>
  <c r="C7" i="66"/>
  <c r="B7" i="66"/>
  <c r="I6" i="66"/>
  <c r="G6" i="66"/>
  <c r="F6" i="66"/>
  <c r="E6" i="66"/>
  <c r="D6" i="66"/>
  <c r="C6" i="66"/>
  <c r="B6" i="66"/>
  <c r="I5" i="66"/>
  <c r="G5" i="66"/>
  <c r="F5" i="66"/>
  <c r="E5" i="66"/>
  <c r="D5" i="66"/>
  <c r="C5" i="66"/>
  <c r="B5" i="66"/>
  <c r="F64" i="110"/>
  <c r="E64" i="110"/>
  <c r="D64" i="110"/>
  <c r="F63" i="110"/>
  <c r="E63" i="110"/>
  <c r="D63" i="110"/>
  <c r="F62" i="110"/>
  <c r="E62" i="110"/>
  <c r="D62" i="110"/>
  <c r="F61" i="110"/>
  <c r="E61" i="110"/>
  <c r="D61" i="110"/>
  <c r="F60" i="110"/>
  <c r="E60" i="110"/>
  <c r="D60" i="110"/>
  <c r="F59" i="110"/>
  <c r="E59" i="110"/>
  <c r="D59" i="110"/>
  <c r="F58" i="110"/>
  <c r="E58" i="110"/>
  <c r="D58" i="110"/>
  <c r="F57" i="110"/>
  <c r="E57" i="110"/>
  <c r="D57" i="110"/>
  <c r="F56" i="110"/>
  <c r="E56" i="110"/>
  <c r="D56" i="110"/>
  <c r="F55" i="110"/>
  <c r="E55" i="110"/>
  <c r="D55" i="110"/>
  <c r="F54" i="110"/>
  <c r="E54" i="110"/>
  <c r="D54" i="110"/>
  <c r="F53" i="110"/>
  <c r="E53" i="110"/>
  <c r="D53" i="110"/>
  <c r="F52" i="110"/>
  <c r="E52" i="110"/>
  <c r="D52" i="110"/>
  <c r="F51" i="110"/>
  <c r="E51" i="110"/>
  <c r="D51" i="110"/>
  <c r="F50" i="110"/>
  <c r="E50" i="110"/>
  <c r="D50" i="110"/>
  <c r="F49" i="110"/>
  <c r="E49" i="110"/>
  <c r="D49" i="110"/>
  <c r="F48" i="110"/>
  <c r="E48" i="110"/>
  <c r="D48" i="110"/>
  <c r="F47" i="110"/>
  <c r="E47" i="110"/>
  <c r="D47" i="110"/>
  <c r="F46" i="110"/>
  <c r="E46" i="110"/>
  <c r="D46" i="110"/>
  <c r="F45" i="110"/>
  <c r="E45" i="110"/>
  <c r="D45" i="110"/>
  <c r="F44" i="110"/>
  <c r="E44" i="110"/>
  <c r="D44" i="110"/>
  <c r="F43" i="110"/>
  <c r="E43" i="110"/>
  <c r="D43" i="110"/>
  <c r="F42" i="110"/>
  <c r="E42" i="110"/>
  <c r="D42" i="110"/>
  <c r="F41" i="110"/>
  <c r="E41" i="110"/>
  <c r="D41" i="110"/>
  <c r="F40" i="110"/>
  <c r="E40" i="110"/>
  <c r="D40" i="110"/>
  <c r="F39" i="110"/>
  <c r="E39" i="110"/>
  <c r="D39" i="110"/>
  <c r="F38" i="110"/>
  <c r="E38" i="110"/>
  <c r="D38" i="110"/>
  <c r="F37" i="110"/>
  <c r="E37" i="110"/>
  <c r="D37" i="110"/>
  <c r="F36" i="110"/>
  <c r="E36" i="110"/>
  <c r="D36" i="110"/>
  <c r="F35" i="110"/>
  <c r="E35" i="110"/>
  <c r="D35" i="110"/>
  <c r="F34" i="110"/>
  <c r="E34" i="110"/>
  <c r="D34" i="110"/>
  <c r="F33" i="110"/>
  <c r="E33" i="110"/>
  <c r="D33" i="110"/>
  <c r="F32" i="110"/>
  <c r="E32" i="110"/>
  <c r="D32" i="110"/>
  <c r="F31" i="110"/>
  <c r="E31" i="110"/>
  <c r="D31" i="110"/>
  <c r="F30" i="110"/>
  <c r="E30" i="110"/>
  <c r="D30" i="110"/>
  <c r="F29" i="110"/>
  <c r="E29" i="110"/>
  <c r="D29" i="110"/>
  <c r="F28" i="110"/>
  <c r="E28" i="110"/>
  <c r="D28" i="110"/>
  <c r="F27" i="110"/>
  <c r="E27" i="110"/>
  <c r="D27" i="110"/>
  <c r="F26" i="110"/>
  <c r="E26" i="110"/>
  <c r="D26" i="110"/>
  <c r="F25" i="110"/>
  <c r="E25" i="110"/>
  <c r="D25" i="110"/>
  <c r="F24" i="110"/>
  <c r="E24" i="110"/>
  <c r="D24" i="110"/>
  <c r="F23" i="110"/>
  <c r="E23" i="110"/>
  <c r="D23" i="110"/>
  <c r="F22" i="110"/>
  <c r="E22" i="110"/>
  <c r="D22" i="110"/>
  <c r="F21" i="110"/>
  <c r="E21" i="110"/>
  <c r="D21" i="110"/>
  <c r="F20" i="110"/>
  <c r="E20" i="110"/>
  <c r="D20" i="110"/>
  <c r="F19" i="110"/>
  <c r="E19" i="110"/>
  <c r="D19" i="110"/>
  <c r="F18" i="110"/>
  <c r="E18" i="110"/>
  <c r="D18" i="110"/>
  <c r="F17" i="110"/>
  <c r="E17" i="110"/>
  <c r="D17" i="110"/>
  <c r="F16" i="110"/>
  <c r="E16" i="110"/>
  <c r="D16" i="110"/>
  <c r="F15" i="110"/>
  <c r="E15" i="110"/>
  <c r="D15" i="110"/>
  <c r="F14" i="110"/>
  <c r="E14" i="110"/>
  <c r="D14" i="110"/>
  <c r="F13" i="110"/>
  <c r="E13" i="110"/>
  <c r="D13" i="110"/>
  <c r="F12" i="110"/>
  <c r="E12" i="110"/>
  <c r="D12" i="110"/>
  <c r="F11" i="110"/>
  <c r="E11" i="110"/>
  <c r="D11" i="110"/>
  <c r="F10" i="110"/>
  <c r="E10" i="110"/>
  <c r="D10" i="110"/>
  <c r="F9" i="110"/>
  <c r="E9" i="110"/>
  <c r="D9" i="110"/>
  <c r="F8" i="110"/>
  <c r="E8" i="110"/>
  <c r="D8" i="110"/>
  <c r="F7" i="110"/>
  <c r="E7" i="110"/>
  <c r="D7" i="110"/>
  <c r="F6" i="110"/>
  <c r="E6" i="110"/>
  <c r="D6" i="110"/>
  <c r="F5" i="110"/>
  <c r="E5" i="110"/>
  <c r="D5" i="110"/>
  <c r="AD84" i="63"/>
  <c r="AB84" i="63"/>
  <c r="Z84" i="63"/>
  <c r="X84" i="63"/>
  <c r="V84" i="63"/>
  <c r="T84" i="63"/>
  <c r="R84" i="63"/>
  <c r="P84" i="63"/>
  <c r="N84" i="63"/>
  <c r="L84" i="63"/>
  <c r="J84" i="63"/>
  <c r="H84" i="63"/>
  <c r="F84" i="63"/>
  <c r="AD83" i="63"/>
  <c r="AB83" i="63"/>
  <c r="Z83" i="63"/>
  <c r="X83" i="63"/>
  <c r="V83" i="63"/>
  <c r="T83" i="63"/>
  <c r="R83" i="63"/>
  <c r="P83" i="63"/>
  <c r="N83" i="63"/>
  <c r="L83" i="63"/>
  <c r="J83" i="63"/>
  <c r="H83" i="63"/>
  <c r="F83" i="63"/>
  <c r="AD82" i="63"/>
  <c r="AB82" i="63"/>
  <c r="Z82" i="63"/>
  <c r="X82" i="63"/>
  <c r="V82" i="63"/>
  <c r="T82" i="63"/>
  <c r="R82" i="63"/>
  <c r="P82" i="63"/>
  <c r="N82" i="63"/>
  <c r="L82" i="63"/>
  <c r="J82" i="63"/>
  <c r="H82" i="63"/>
  <c r="F82" i="63"/>
  <c r="AD81" i="63"/>
  <c r="AB81" i="63"/>
  <c r="Z81" i="63"/>
  <c r="X81" i="63"/>
  <c r="V81" i="63"/>
  <c r="T81" i="63"/>
  <c r="R81" i="63"/>
  <c r="P81" i="63"/>
  <c r="N81" i="63"/>
  <c r="L81" i="63"/>
  <c r="J81" i="63"/>
  <c r="H81" i="63"/>
  <c r="F81" i="63"/>
  <c r="AD80" i="63"/>
  <c r="AB80" i="63"/>
  <c r="Z80" i="63"/>
  <c r="X80" i="63"/>
  <c r="V80" i="63"/>
  <c r="T80" i="63"/>
  <c r="R80" i="63"/>
  <c r="P80" i="63"/>
  <c r="N80" i="63"/>
  <c r="L80" i="63"/>
  <c r="J80" i="63"/>
  <c r="H80" i="63"/>
  <c r="F80" i="63"/>
  <c r="AD79" i="63"/>
  <c r="AB79" i="63"/>
  <c r="Z79" i="63"/>
  <c r="X79" i="63"/>
  <c r="V79" i="63"/>
  <c r="T79" i="63"/>
  <c r="R79" i="63"/>
  <c r="P79" i="63"/>
  <c r="N79" i="63"/>
  <c r="L79" i="63"/>
  <c r="J79" i="63"/>
  <c r="H79" i="63"/>
  <c r="F79" i="63"/>
  <c r="AD78" i="63"/>
  <c r="AB78" i="63"/>
  <c r="Z78" i="63"/>
  <c r="X78" i="63"/>
  <c r="V78" i="63"/>
  <c r="T78" i="63"/>
  <c r="R78" i="63"/>
  <c r="P78" i="63"/>
  <c r="N78" i="63"/>
  <c r="L78" i="63"/>
  <c r="J78" i="63"/>
  <c r="H78" i="63"/>
  <c r="F78" i="63"/>
  <c r="AD77" i="63"/>
  <c r="AB77" i="63"/>
  <c r="Z77" i="63"/>
  <c r="X77" i="63"/>
  <c r="V77" i="63"/>
  <c r="T77" i="63"/>
  <c r="R77" i="63"/>
  <c r="P77" i="63"/>
  <c r="N77" i="63"/>
  <c r="L77" i="63"/>
  <c r="J77" i="63"/>
  <c r="H77" i="63"/>
  <c r="F77" i="63"/>
  <c r="AD76" i="63"/>
  <c r="AB76" i="63"/>
  <c r="Z76" i="63"/>
  <c r="X76" i="63"/>
  <c r="V76" i="63"/>
  <c r="T76" i="63"/>
  <c r="R76" i="63"/>
  <c r="P76" i="63"/>
  <c r="N76" i="63"/>
  <c r="L76" i="63"/>
  <c r="J76" i="63"/>
  <c r="H76" i="63"/>
  <c r="F76" i="63"/>
  <c r="AD75" i="63"/>
  <c r="AB75" i="63"/>
  <c r="Z75" i="63"/>
  <c r="X75" i="63"/>
  <c r="V75" i="63"/>
  <c r="T75" i="63"/>
  <c r="R75" i="63"/>
  <c r="P75" i="63"/>
  <c r="N75" i="63"/>
  <c r="L75" i="63"/>
  <c r="J75" i="63"/>
  <c r="H75" i="63"/>
  <c r="F75" i="63"/>
  <c r="AD74" i="63"/>
  <c r="AB74" i="63"/>
  <c r="Z74" i="63"/>
  <c r="X74" i="63"/>
  <c r="V74" i="63"/>
  <c r="T74" i="63"/>
  <c r="R74" i="63"/>
  <c r="P74" i="63"/>
  <c r="N74" i="63"/>
  <c r="L74" i="63"/>
  <c r="J74" i="63"/>
  <c r="H74" i="63"/>
  <c r="F74" i="63"/>
  <c r="AD73" i="63"/>
  <c r="AB73" i="63"/>
  <c r="Z73" i="63"/>
  <c r="X73" i="63"/>
  <c r="V73" i="63"/>
  <c r="T73" i="63"/>
  <c r="R73" i="63"/>
  <c r="P73" i="63"/>
  <c r="N73" i="63"/>
  <c r="L73" i="63"/>
  <c r="J73" i="63"/>
  <c r="H73" i="63"/>
  <c r="F73" i="63"/>
  <c r="AD72" i="63"/>
  <c r="AB72" i="63"/>
  <c r="Z72" i="63"/>
  <c r="X72" i="63"/>
  <c r="V72" i="63"/>
  <c r="T72" i="63"/>
  <c r="R72" i="63"/>
  <c r="P72" i="63"/>
  <c r="N72" i="63"/>
  <c r="L72" i="63"/>
  <c r="J72" i="63"/>
  <c r="H72" i="63"/>
  <c r="F72" i="63"/>
  <c r="AD71" i="63"/>
  <c r="AB71" i="63"/>
  <c r="Z71" i="63"/>
  <c r="X71" i="63"/>
  <c r="V71" i="63"/>
  <c r="T71" i="63"/>
  <c r="R71" i="63"/>
  <c r="P71" i="63"/>
  <c r="N71" i="63"/>
  <c r="L71" i="63"/>
  <c r="J71" i="63"/>
  <c r="H71" i="63"/>
  <c r="F71" i="63"/>
  <c r="AD70" i="63"/>
  <c r="AB70" i="63"/>
  <c r="Z70" i="63"/>
  <c r="X70" i="63"/>
  <c r="V70" i="63"/>
  <c r="T70" i="63"/>
  <c r="R70" i="63"/>
  <c r="P70" i="63"/>
  <c r="N70" i="63"/>
  <c r="L70" i="63"/>
  <c r="J70" i="63"/>
  <c r="H70" i="63"/>
  <c r="F70"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64" i="63"/>
  <c r="AD63" i="63"/>
  <c r="AC63" i="63"/>
  <c r="AB63" i="63"/>
  <c r="AA63" i="63"/>
  <c r="Z63" i="63"/>
  <c r="Y63" i="63"/>
  <c r="X63" i="63"/>
  <c r="W63" i="63"/>
  <c r="V63" i="63"/>
  <c r="U63" i="63"/>
  <c r="T63" i="63"/>
  <c r="S63" i="63"/>
  <c r="R63" i="63"/>
  <c r="Q63" i="63"/>
  <c r="P63" i="63"/>
  <c r="O63" i="63"/>
  <c r="N63" i="63"/>
  <c r="M63" i="63"/>
  <c r="L63" i="63"/>
  <c r="K63" i="63"/>
  <c r="J63" i="63"/>
  <c r="I63" i="63"/>
  <c r="H63" i="63"/>
  <c r="G63" i="63"/>
  <c r="F63" i="63"/>
  <c r="E63" i="63"/>
  <c r="AD62" i="63"/>
  <c r="AC62" i="63"/>
  <c r="AB62" i="63"/>
  <c r="AA62" i="63"/>
  <c r="Z62" i="63"/>
  <c r="Y62" i="63"/>
  <c r="X62" i="63"/>
  <c r="W62" i="63"/>
  <c r="V62" i="63"/>
  <c r="U62" i="63"/>
  <c r="T62" i="63"/>
  <c r="S62" i="63"/>
  <c r="R62" i="63"/>
  <c r="Q62" i="63"/>
  <c r="P62" i="63"/>
  <c r="O62" i="63"/>
  <c r="N62" i="63"/>
  <c r="M62" i="63"/>
  <c r="L62" i="63"/>
  <c r="K62" i="63"/>
  <c r="J62" i="63"/>
  <c r="I62" i="63"/>
  <c r="H62" i="63"/>
  <c r="G62" i="63"/>
  <c r="F62" i="63"/>
  <c r="E62" i="63"/>
  <c r="AD61" i="63"/>
  <c r="AC61" i="63"/>
  <c r="AB61" i="63"/>
  <c r="AA61" i="63"/>
  <c r="Z61" i="63"/>
  <c r="Y61" i="63"/>
  <c r="X61" i="63"/>
  <c r="W61" i="63"/>
  <c r="V61" i="63"/>
  <c r="U61" i="63"/>
  <c r="T61" i="63"/>
  <c r="S61" i="63"/>
  <c r="R61" i="63"/>
  <c r="Q61" i="63"/>
  <c r="P61" i="63"/>
  <c r="O61" i="63"/>
  <c r="N61" i="63"/>
  <c r="M61" i="63"/>
  <c r="L61" i="63"/>
  <c r="K61" i="63"/>
  <c r="J61" i="63"/>
  <c r="I61" i="63"/>
  <c r="H61" i="63"/>
  <c r="G61" i="63"/>
  <c r="F61" i="63"/>
  <c r="E61" i="63"/>
  <c r="AD60" i="63"/>
  <c r="AC60" i="63"/>
  <c r="AB60" i="63"/>
  <c r="AA60" i="63"/>
  <c r="Z60" i="63"/>
  <c r="Y60" i="63"/>
  <c r="X60" i="63"/>
  <c r="W60" i="63"/>
  <c r="V60" i="63"/>
  <c r="U60" i="63"/>
  <c r="T60" i="63"/>
  <c r="S60" i="63"/>
  <c r="R60" i="63"/>
  <c r="Q60" i="63"/>
  <c r="P60" i="63"/>
  <c r="O60" i="63"/>
  <c r="N60" i="63"/>
  <c r="M60" i="63"/>
  <c r="L60" i="63"/>
  <c r="K60" i="63"/>
  <c r="J60" i="63"/>
  <c r="I60" i="63"/>
  <c r="H60" i="63"/>
  <c r="G60" i="63"/>
  <c r="F60" i="63"/>
  <c r="E60" i="63"/>
  <c r="AD59" i="63"/>
  <c r="AC59" i="63"/>
  <c r="AB59" i="63"/>
  <c r="AA59" i="63"/>
  <c r="Z59" i="63"/>
  <c r="Y59" i="63"/>
  <c r="X59" i="63"/>
  <c r="W59" i="63"/>
  <c r="V59" i="63"/>
  <c r="U59" i="63"/>
  <c r="T59" i="63"/>
  <c r="S59" i="63"/>
  <c r="R59" i="63"/>
  <c r="Q59" i="63"/>
  <c r="P59" i="63"/>
  <c r="O59" i="63"/>
  <c r="N59" i="63"/>
  <c r="M59" i="63"/>
  <c r="L59" i="63"/>
  <c r="K59" i="63"/>
  <c r="J59" i="63"/>
  <c r="I59" i="63"/>
  <c r="H59" i="63"/>
  <c r="G59" i="63"/>
  <c r="F59" i="63"/>
  <c r="E59" i="63"/>
  <c r="AD58" i="63"/>
  <c r="AC58" i="63"/>
  <c r="AB58" i="63"/>
  <c r="AA58" i="63"/>
  <c r="Z58" i="63"/>
  <c r="Y58" i="63"/>
  <c r="X58" i="63"/>
  <c r="W58" i="63"/>
  <c r="V58" i="63"/>
  <c r="U58" i="63"/>
  <c r="T58" i="63"/>
  <c r="S58" i="63"/>
  <c r="R58" i="63"/>
  <c r="Q58" i="63"/>
  <c r="P58" i="63"/>
  <c r="O58" i="63"/>
  <c r="N58" i="63"/>
  <c r="M58" i="63"/>
  <c r="L58" i="63"/>
  <c r="K58" i="63"/>
  <c r="J58" i="63"/>
  <c r="I58" i="63"/>
  <c r="H58" i="63"/>
  <c r="G58" i="63"/>
  <c r="F58" i="63"/>
  <c r="E58" i="63"/>
  <c r="AD57" i="63"/>
  <c r="AC57" i="63"/>
  <c r="AB57" i="63"/>
  <c r="AA57" i="63"/>
  <c r="Z57" i="63"/>
  <c r="Y57" i="63"/>
  <c r="X57" i="63"/>
  <c r="W57" i="63"/>
  <c r="V57" i="63"/>
  <c r="U57" i="63"/>
  <c r="T57" i="63"/>
  <c r="S57" i="63"/>
  <c r="R57" i="63"/>
  <c r="Q57" i="63"/>
  <c r="P57" i="63"/>
  <c r="O57" i="63"/>
  <c r="N57" i="63"/>
  <c r="M57" i="63"/>
  <c r="L57" i="63"/>
  <c r="K57" i="63"/>
  <c r="J57" i="63"/>
  <c r="I57" i="63"/>
  <c r="H57" i="63"/>
  <c r="G57" i="63"/>
  <c r="F57" i="63"/>
  <c r="E57" i="63"/>
  <c r="AD56" i="63"/>
  <c r="AC56" i="63"/>
  <c r="AB56" i="63"/>
  <c r="AA56" i="63"/>
  <c r="Z56" i="63"/>
  <c r="Y56" i="63"/>
  <c r="X56" i="63"/>
  <c r="W56" i="63"/>
  <c r="V56" i="63"/>
  <c r="U56" i="63"/>
  <c r="T56" i="63"/>
  <c r="S56" i="63"/>
  <c r="R56" i="63"/>
  <c r="Q56" i="63"/>
  <c r="P56" i="63"/>
  <c r="O56" i="63"/>
  <c r="N56" i="63"/>
  <c r="M56" i="63"/>
  <c r="L56" i="63"/>
  <c r="K56" i="63"/>
  <c r="J56" i="63"/>
  <c r="I56" i="63"/>
  <c r="H56" i="63"/>
  <c r="G56" i="63"/>
  <c r="F56" i="63"/>
  <c r="E56" i="63"/>
  <c r="AD55" i="63"/>
  <c r="AC55" i="63"/>
  <c r="AB55" i="63"/>
  <c r="AA55" i="63"/>
  <c r="Z55" i="63"/>
  <c r="Y55" i="63"/>
  <c r="X55" i="63"/>
  <c r="W55" i="63"/>
  <c r="V55" i="63"/>
  <c r="U55" i="63"/>
  <c r="T55" i="63"/>
  <c r="S55" i="63"/>
  <c r="R55" i="63"/>
  <c r="Q55" i="63"/>
  <c r="P55" i="63"/>
  <c r="O55" i="63"/>
  <c r="N55" i="63"/>
  <c r="M55" i="63"/>
  <c r="L55" i="63"/>
  <c r="K55" i="63"/>
  <c r="J55" i="63"/>
  <c r="I55" i="63"/>
  <c r="H55" i="63"/>
  <c r="G55" i="63"/>
  <c r="F55" i="63"/>
  <c r="E55" i="63"/>
  <c r="AD54" i="63"/>
  <c r="AC54" i="63"/>
  <c r="AB54" i="63"/>
  <c r="AA54" i="63"/>
  <c r="Z54" i="63"/>
  <c r="Y54" i="63"/>
  <c r="X54" i="63"/>
  <c r="W54" i="63"/>
  <c r="V54" i="63"/>
  <c r="U54" i="63"/>
  <c r="T54" i="63"/>
  <c r="S54" i="63"/>
  <c r="R54" i="63"/>
  <c r="Q54" i="63"/>
  <c r="P54" i="63"/>
  <c r="O54" i="63"/>
  <c r="N54" i="63"/>
  <c r="M54" i="63"/>
  <c r="L54" i="63"/>
  <c r="K54" i="63"/>
  <c r="J54" i="63"/>
  <c r="I54" i="63"/>
  <c r="H54" i="63"/>
  <c r="G54" i="63"/>
  <c r="F54" i="63"/>
  <c r="E54" i="63"/>
  <c r="AD53" i="63"/>
  <c r="AC53" i="63"/>
  <c r="AB53" i="63"/>
  <c r="AA53" i="63"/>
  <c r="Z53" i="63"/>
  <c r="Y53" i="63"/>
  <c r="X53" i="63"/>
  <c r="W53" i="63"/>
  <c r="V53" i="63"/>
  <c r="U53" i="63"/>
  <c r="T53" i="63"/>
  <c r="S53" i="63"/>
  <c r="R53" i="63"/>
  <c r="Q53" i="63"/>
  <c r="P53" i="63"/>
  <c r="O53" i="63"/>
  <c r="N53" i="63"/>
  <c r="M53" i="63"/>
  <c r="L53" i="63"/>
  <c r="K53" i="63"/>
  <c r="J53" i="63"/>
  <c r="I53" i="63"/>
  <c r="H53" i="63"/>
  <c r="G53" i="63"/>
  <c r="F53" i="63"/>
  <c r="E53" i="63"/>
  <c r="AD52" i="63"/>
  <c r="AC52" i="63"/>
  <c r="AB52" i="63"/>
  <c r="AA52" i="63"/>
  <c r="Z52" i="63"/>
  <c r="Y52" i="63"/>
  <c r="X52" i="63"/>
  <c r="W52" i="63"/>
  <c r="V52" i="63"/>
  <c r="U52" i="63"/>
  <c r="T52" i="63"/>
  <c r="S52" i="63"/>
  <c r="R52" i="63"/>
  <c r="Q52" i="63"/>
  <c r="P52" i="63"/>
  <c r="O52" i="63"/>
  <c r="N52" i="63"/>
  <c r="M52" i="63"/>
  <c r="L52" i="63"/>
  <c r="K52" i="63"/>
  <c r="J52" i="63"/>
  <c r="I52" i="63"/>
  <c r="H52" i="63"/>
  <c r="G52" i="63"/>
  <c r="F52" i="63"/>
  <c r="E52" i="63"/>
  <c r="AD51" i="63"/>
  <c r="AC51" i="63"/>
  <c r="AB51" i="63"/>
  <c r="AA51" i="63"/>
  <c r="Z51" i="63"/>
  <c r="Y51" i="63"/>
  <c r="X51" i="63"/>
  <c r="W51" i="63"/>
  <c r="V51" i="63"/>
  <c r="U51" i="63"/>
  <c r="T51" i="63"/>
  <c r="S51" i="63"/>
  <c r="R51" i="63"/>
  <c r="Q51" i="63"/>
  <c r="P51" i="63"/>
  <c r="O51" i="63"/>
  <c r="N51" i="63"/>
  <c r="M51" i="63"/>
  <c r="L51" i="63"/>
  <c r="K51" i="63"/>
  <c r="J51" i="63"/>
  <c r="I51" i="63"/>
  <c r="H51" i="63"/>
  <c r="G51" i="63"/>
  <c r="F51" i="63"/>
  <c r="E51" i="63"/>
  <c r="AD50" i="63"/>
  <c r="AC50" i="63"/>
  <c r="AB50" i="63"/>
  <c r="AA50" i="63"/>
  <c r="Z50" i="63"/>
  <c r="Y50" i="63"/>
  <c r="X50" i="63"/>
  <c r="W50" i="63"/>
  <c r="V50" i="63"/>
  <c r="U50" i="63"/>
  <c r="T50" i="63"/>
  <c r="S50" i="63"/>
  <c r="R50" i="63"/>
  <c r="Q50" i="63"/>
  <c r="P50" i="63"/>
  <c r="O50" i="63"/>
  <c r="N50" i="63"/>
  <c r="M50" i="63"/>
  <c r="L50" i="63"/>
  <c r="K50" i="63"/>
  <c r="J50" i="63"/>
  <c r="I50" i="63"/>
  <c r="H50" i="63"/>
  <c r="G50" i="63"/>
  <c r="F50" i="63"/>
  <c r="E50" i="63"/>
  <c r="AD49" i="63"/>
  <c r="AC49" i="63"/>
  <c r="AB49" i="63"/>
  <c r="AA49" i="63"/>
  <c r="Z49" i="63"/>
  <c r="Y49" i="63"/>
  <c r="X49" i="63"/>
  <c r="W49" i="63"/>
  <c r="V49" i="63"/>
  <c r="U49" i="63"/>
  <c r="T49" i="63"/>
  <c r="S49" i="63"/>
  <c r="R49" i="63"/>
  <c r="Q49" i="63"/>
  <c r="P49" i="63"/>
  <c r="O49" i="63"/>
  <c r="N49" i="63"/>
  <c r="M49" i="63"/>
  <c r="L49" i="63"/>
  <c r="K49" i="63"/>
  <c r="J49" i="63"/>
  <c r="I49" i="63"/>
  <c r="H49" i="63"/>
  <c r="G49" i="63"/>
  <c r="F49" i="63"/>
  <c r="E49" i="63"/>
  <c r="AD48" i="63"/>
  <c r="AC48" i="63"/>
  <c r="AB48" i="63"/>
  <c r="AA48" i="63"/>
  <c r="Z48" i="63"/>
  <c r="Y48" i="63"/>
  <c r="X48" i="63"/>
  <c r="W48" i="63"/>
  <c r="V48" i="63"/>
  <c r="U48" i="63"/>
  <c r="T48" i="63"/>
  <c r="S48" i="63"/>
  <c r="R48" i="63"/>
  <c r="Q48" i="63"/>
  <c r="P48" i="63"/>
  <c r="O48" i="63"/>
  <c r="N48" i="63"/>
  <c r="M48" i="63"/>
  <c r="L48" i="63"/>
  <c r="K48" i="63"/>
  <c r="J48" i="63"/>
  <c r="I48" i="63"/>
  <c r="H48" i="63"/>
  <c r="G48" i="63"/>
  <c r="F48" i="63"/>
  <c r="E48" i="63"/>
  <c r="AD47" i="63"/>
  <c r="AC47" i="63"/>
  <c r="AB47" i="63"/>
  <c r="AA47" i="63"/>
  <c r="Z47" i="63"/>
  <c r="Y47" i="63"/>
  <c r="X47" i="63"/>
  <c r="W47" i="63"/>
  <c r="V47" i="63"/>
  <c r="U47" i="63"/>
  <c r="T47" i="63"/>
  <c r="S47" i="63"/>
  <c r="R47" i="63"/>
  <c r="Q47" i="63"/>
  <c r="P47" i="63"/>
  <c r="O47" i="63"/>
  <c r="N47" i="63"/>
  <c r="M47" i="63"/>
  <c r="L47" i="63"/>
  <c r="K47" i="63"/>
  <c r="J47" i="63"/>
  <c r="I47" i="63"/>
  <c r="H47" i="63"/>
  <c r="G47" i="63"/>
  <c r="F47" i="63"/>
  <c r="E47" i="63"/>
  <c r="AD46" i="63"/>
  <c r="AC46" i="63"/>
  <c r="AB46" i="63"/>
  <c r="AA46" i="63"/>
  <c r="Z46" i="63"/>
  <c r="Y46" i="63"/>
  <c r="X46" i="63"/>
  <c r="W46" i="63"/>
  <c r="V46" i="63"/>
  <c r="U46" i="63"/>
  <c r="T46" i="63"/>
  <c r="S46" i="63"/>
  <c r="R46" i="63"/>
  <c r="Q46" i="63"/>
  <c r="P46" i="63"/>
  <c r="O46" i="63"/>
  <c r="N46" i="63"/>
  <c r="M46" i="63"/>
  <c r="L46" i="63"/>
  <c r="K46" i="63"/>
  <c r="J46" i="63"/>
  <c r="I46" i="63"/>
  <c r="H46" i="63"/>
  <c r="G46" i="63"/>
  <c r="F46" i="63"/>
  <c r="E46" i="63"/>
  <c r="AD45" i="63"/>
  <c r="AC45" i="63"/>
  <c r="AB45" i="63"/>
  <c r="AA45" i="63"/>
  <c r="Z45" i="63"/>
  <c r="Y45" i="63"/>
  <c r="X45" i="63"/>
  <c r="W45" i="63"/>
  <c r="V45" i="63"/>
  <c r="U45" i="63"/>
  <c r="T45" i="63"/>
  <c r="S45" i="63"/>
  <c r="R45" i="63"/>
  <c r="Q45" i="63"/>
  <c r="P45" i="63"/>
  <c r="O45" i="63"/>
  <c r="N45" i="63"/>
  <c r="M45" i="63"/>
  <c r="L45" i="63"/>
  <c r="K45" i="63"/>
  <c r="J45" i="63"/>
  <c r="I45" i="63"/>
  <c r="H45" i="63"/>
  <c r="G45" i="63"/>
  <c r="F45" i="63"/>
  <c r="E45" i="63"/>
  <c r="AD44" i="63"/>
  <c r="AC44" i="63"/>
  <c r="AB44" i="63"/>
  <c r="AA44" i="63"/>
  <c r="Z44" i="63"/>
  <c r="Y44" i="63"/>
  <c r="X44" i="63"/>
  <c r="W44" i="63"/>
  <c r="V44" i="63"/>
  <c r="U44" i="63"/>
  <c r="T44" i="63"/>
  <c r="S44" i="63"/>
  <c r="R44" i="63"/>
  <c r="Q44" i="63"/>
  <c r="P44" i="63"/>
  <c r="O44" i="63"/>
  <c r="N44" i="63"/>
  <c r="M44" i="63"/>
  <c r="L44" i="63"/>
  <c r="K44" i="63"/>
  <c r="J44" i="63"/>
  <c r="I44" i="63"/>
  <c r="H44" i="63"/>
  <c r="G44" i="63"/>
  <c r="F44" i="63"/>
  <c r="E44" i="63"/>
  <c r="AD43" i="63"/>
  <c r="AC43" i="63"/>
  <c r="AB43" i="63"/>
  <c r="AA43" i="63"/>
  <c r="Z43" i="63"/>
  <c r="Y43" i="63"/>
  <c r="X43" i="63"/>
  <c r="W43" i="63"/>
  <c r="V43" i="63"/>
  <c r="U43" i="63"/>
  <c r="T43" i="63"/>
  <c r="S43" i="63"/>
  <c r="R43" i="63"/>
  <c r="Q43" i="63"/>
  <c r="P43" i="63"/>
  <c r="O43" i="63"/>
  <c r="N43" i="63"/>
  <c r="M43" i="63"/>
  <c r="L43" i="63"/>
  <c r="K43" i="63"/>
  <c r="J43" i="63"/>
  <c r="I43" i="63"/>
  <c r="H43" i="63"/>
  <c r="G43" i="63"/>
  <c r="F43" i="63"/>
  <c r="E43" i="63"/>
  <c r="AD42" i="63"/>
  <c r="AC42" i="63"/>
  <c r="AB42" i="63"/>
  <c r="AA42" i="63"/>
  <c r="Z42" i="63"/>
  <c r="Y42" i="63"/>
  <c r="X42" i="63"/>
  <c r="W42" i="63"/>
  <c r="V42" i="63"/>
  <c r="U42" i="63"/>
  <c r="T42" i="63"/>
  <c r="S42" i="63"/>
  <c r="R42" i="63"/>
  <c r="Q42" i="63"/>
  <c r="P42" i="63"/>
  <c r="O42" i="63"/>
  <c r="N42" i="63"/>
  <c r="M42" i="63"/>
  <c r="L42" i="63"/>
  <c r="K42" i="63"/>
  <c r="J42" i="63"/>
  <c r="I42" i="63"/>
  <c r="H42" i="63"/>
  <c r="G42" i="63"/>
  <c r="F42" i="63"/>
  <c r="E42" i="63"/>
  <c r="AD41" i="63"/>
  <c r="AC41" i="63"/>
  <c r="AB41" i="63"/>
  <c r="AA41" i="63"/>
  <c r="Z41" i="63"/>
  <c r="Y41" i="63"/>
  <c r="X41" i="63"/>
  <c r="W41" i="63"/>
  <c r="V41" i="63"/>
  <c r="U41" i="63"/>
  <c r="T41" i="63"/>
  <c r="S41" i="63"/>
  <c r="R41" i="63"/>
  <c r="Q41" i="63"/>
  <c r="P41" i="63"/>
  <c r="O41" i="63"/>
  <c r="N41" i="63"/>
  <c r="M41" i="63"/>
  <c r="L41" i="63"/>
  <c r="K41" i="63"/>
  <c r="J41" i="63"/>
  <c r="I41" i="63"/>
  <c r="H41" i="63"/>
  <c r="G41" i="63"/>
  <c r="F41" i="63"/>
  <c r="E41" i="63"/>
  <c r="AD40" i="63"/>
  <c r="AC40" i="63"/>
  <c r="AB40" i="63"/>
  <c r="AA40" i="63"/>
  <c r="Z40" i="63"/>
  <c r="Y40" i="63"/>
  <c r="X40" i="63"/>
  <c r="W40" i="63"/>
  <c r="V40" i="63"/>
  <c r="U40" i="63"/>
  <c r="T40" i="63"/>
  <c r="S40" i="63"/>
  <c r="R40" i="63"/>
  <c r="Q40" i="63"/>
  <c r="P40" i="63"/>
  <c r="O40" i="63"/>
  <c r="N40" i="63"/>
  <c r="M40" i="63"/>
  <c r="L40" i="63"/>
  <c r="K40" i="63"/>
  <c r="J40" i="63"/>
  <c r="I40" i="63"/>
  <c r="H40" i="63"/>
  <c r="G40" i="63"/>
  <c r="F40" i="63"/>
  <c r="E40" i="63"/>
  <c r="AD39" i="63"/>
  <c r="AC39" i="63"/>
  <c r="AB39" i="63"/>
  <c r="AA39" i="63"/>
  <c r="Z39" i="63"/>
  <c r="Y39" i="63"/>
  <c r="X39" i="63"/>
  <c r="W39" i="63"/>
  <c r="V39" i="63"/>
  <c r="U39" i="63"/>
  <c r="T39" i="63"/>
  <c r="S39" i="63"/>
  <c r="R39" i="63"/>
  <c r="Q39" i="63"/>
  <c r="P39" i="63"/>
  <c r="O39" i="63"/>
  <c r="N39" i="63"/>
  <c r="M39" i="63"/>
  <c r="L39" i="63"/>
  <c r="K39" i="63"/>
  <c r="J39" i="63"/>
  <c r="I39" i="63"/>
  <c r="H39" i="63"/>
  <c r="G39" i="63"/>
  <c r="F39" i="63"/>
  <c r="E39" i="63"/>
  <c r="AD38" i="63"/>
  <c r="AC38" i="63"/>
  <c r="AB38" i="63"/>
  <c r="AA38" i="63"/>
  <c r="Z38" i="63"/>
  <c r="Y38" i="63"/>
  <c r="X38" i="63"/>
  <c r="W38" i="63"/>
  <c r="V38" i="63"/>
  <c r="U38" i="63"/>
  <c r="T38" i="63"/>
  <c r="S38" i="63"/>
  <c r="R38" i="63"/>
  <c r="Q38" i="63"/>
  <c r="P38" i="63"/>
  <c r="O38" i="63"/>
  <c r="N38" i="63"/>
  <c r="M38" i="63"/>
  <c r="L38" i="63"/>
  <c r="K38" i="63"/>
  <c r="J38" i="63"/>
  <c r="I38" i="63"/>
  <c r="H38" i="63"/>
  <c r="G38" i="63"/>
  <c r="F38" i="63"/>
  <c r="E38" i="63"/>
  <c r="AD37" i="63"/>
  <c r="AC37" i="63"/>
  <c r="AB37" i="63"/>
  <c r="AA37" i="63"/>
  <c r="Z37" i="63"/>
  <c r="Y37" i="63"/>
  <c r="X37" i="63"/>
  <c r="W37" i="63"/>
  <c r="V37" i="63"/>
  <c r="U37" i="63"/>
  <c r="T37" i="63"/>
  <c r="S37" i="63"/>
  <c r="R37" i="63"/>
  <c r="Q37" i="63"/>
  <c r="P37" i="63"/>
  <c r="O37" i="63"/>
  <c r="N37" i="63"/>
  <c r="M37" i="63"/>
  <c r="L37" i="63"/>
  <c r="K37" i="63"/>
  <c r="J37" i="63"/>
  <c r="I37" i="63"/>
  <c r="H37" i="63"/>
  <c r="G37" i="63"/>
  <c r="F37" i="63"/>
  <c r="E37" i="63"/>
  <c r="AD36" i="63"/>
  <c r="AC36" i="63"/>
  <c r="AB36" i="63"/>
  <c r="AA36" i="63"/>
  <c r="Z36" i="63"/>
  <c r="Y36" i="63"/>
  <c r="X36" i="63"/>
  <c r="W36" i="63"/>
  <c r="V36" i="63"/>
  <c r="U36" i="63"/>
  <c r="T36" i="63"/>
  <c r="S36" i="63"/>
  <c r="R36" i="63"/>
  <c r="Q36" i="63"/>
  <c r="P36" i="63"/>
  <c r="O36" i="63"/>
  <c r="N36" i="63"/>
  <c r="M36" i="63"/>
  <c r="L36" i="63"/>
  <c r="K36" i="63"/>
  <c r="J36" i="63"/>
  <c r="I36" i="63"/>
  <c r="H36" i="63"/>
  <c r="G36" i="63"/>
  <c r="F36" i="63"/>
  <c r="E36" i="63"/>
  <c r="AD35" i="63"/>
  <c r="AC35" i="63"/>
  <c r="AB35" i="63"/>
  <c r="AA35" i="63"/>
  <c r="Z35" i="63"/>
  <c r="Y35" i="63"/>
  <c r="X35" i="63"/>
  <c r="W35" i="63"/>
  <c r="V35" i="63"/>
  <c r="U35" i="63"/>
  <c r="T35" i="63"/>
  <c r="S35" i="63"/>
  <c r="R35" i="63"/>
  <c r="Q35" i="63"/>
  <c r="P35" i="63"/>
  <c r="O35" i="63"/>
  <c r="N35" i="63"/>
  <c r="M35" i="63"/>
  <c r="L35" i="63"/>
  <c r="K35" i="63"/>
  <c r="J35" i="63"/>
  <c r="I35" i="63"/>
  <c r="H35" i="63"/>
  <c r="G35" i="63"/>
  <c r="F35" i="63"/>
  <c r="E35" i="63"/>
  <c r="AD34" i="63"/>
  <c r="AC34" i="63"/>
  <c r="AB34" i="63"/>
  <c r="AA34" i="63"/>
  <c r="Z34" i="63"/>
  <c r="Y34" i="63"/>
  <c r="X34" i="63"/>
  <c r="W34" i="63"/>
  <c r="V34" i="63"/>
  <c r="U34" i="63"/>
  <c r="T34" i="63"/>
  <c r="S34" i="63"/>
  <c r="R34" i="63"/>
  <c r="Q34" i="63"/>
  <c r="P34" i="63"/>
  <c r="O34" i="63"/>
  <c r="N34" i="63"/>
  <c r="M34" i="63"/>
  <c r="L34" i="63"/>
  <c r="K34" i="63"/>
  <c r="J34" i="63"/>
  <c r="I34" i="63"/>
  <c r="H34" i="63"/>
  <c r="G34" i="63"/>
  <c r="F34" i="63"/>
  <c r="E34" i="63"/>
  <c r="AD33" i="63"/>
  <c r="AC33" i="63"/>
  <c r="AB33" i="63"/>
  <c r="AA33" i="63"/>
  <c r="Z33" i="63"/>
  <c r="Y33" i="63"/>
  <c r="X33" i="63"/>
  <c r="W33" i="63"/>
  <c r="V33" i="63"/>
  <c r="U33" i="63"/>
  <c r="T33" i="63"/>
  <c r="S33" i="63"/>
  <c r="R33" i="63"/>
  <c r="Q33" i="63"/>
  <c r="P33" i="63"/>
  <c r="O33" i="63"/>
  <c r="N33" i="63"/>
  <c r="M33" i="63"/>
  <c r="L33" i="63"/>
  <c r="K33" i="63"/>
  <c r="J33" i="63"/>
  <c r="I33" i="63"/>
  <c r="H33" i="63"/>
  <c r="G33" i="63"/>
  <c r="F33" i="63"/>
  <c r="E33" i="63"/>
  <c r="AD32" i="63"/>
  <c r="AC32" i="63"/>
  <c r="AB32" i="63"/>
  <c r="AA32" i="63"/>
  <c r="Z32" i="63"/>
  <c r="Y32" i="63"/>
  <c r="X32" i="63"/>
  <c r="W32" i="63"/>
  <c r="V32" i="63"/>
  <c r="U32" i="63"/>
  <c r="T32" i="63"/>
  <c r="S32" i="63"/>
  <c r="R32" i="63"/>
  <c r="Q32" i="63"/>
  <c r="P32" i="63"/>
  <c r="O32" i="63"/>
  <c r="N32" i="63"/>
  <c r="M32" i="63"/>
  <c r="L32" i="63"/>
  <c r="K32" i="63"/>
  <c r="J32" i="63"/>
  <c r="I32" i="63"/>
  <c r="H32" i="63"/>
  <c r="G32" i="63"/>
  <c r="F32" i="63"/>
  <c r="E32" i="63"/>
  <c r="AD31" i="63"/>
  <c r="AC31" i="63"/>
  <c r="AB31" i="63"/>
  <c r="AA31" i="63"/>
  <c r="Z31" i="63"/>
  <c r="Y31" i="63"/>
  <c r="X31" i="63"/>
  <c r="W31" i="63"/>
  <c r="V31" i="63"/>
  <c r="U31" i="63"/>
  <c r="T31" i="63"/>
  <c r="S31" i="63"/>
  <c r="R31" i="63"/>
  <c r="Q31" i="63"/>
  <c r="P31" i="63"/>
  <c r="O31" i="63"/>
  <c r="N31" i="63"/>
  <c r="M31" i="63"/>
  <c r="L31" i="63"/>
  <c r="K31" i="63"/>
  <c r="J31" i="63"/>
  <c r="I31" i="63"/>
  <c r="H31" i="63"/>
  <c r="G31" i="63"/>
  <c r="F31" i="63"/>
  <c r="E31" i="63"/>
  <c r="AD30" i="63"/>
  <c r="AC30" i="63"/>
  <c r="AB30" i="63"/>
  <c r="AA30" i="63"/>
  <c r="Z30" i="63"/>
  <c r="Y30" i="63"/>
  <c r="X30" i="63"/>
  <c r="W30" i="63"/>
  <c r="V30" i="63"/>
  <c r="U30" i="63"/>
  <c r="T30" i="63"/>
  <c r="S30" i="63"/>
  <c r="R30" i="63"/>
  <c r="Q30" i="63"/>
  <c r="P30" i="63"/>
  <c r="O30" i="63"/>
  <c r="N30" i="63"/>
  <c r="M30" i="63"/>
  <c r="L30" i="63"/>
  <c r="K30" i="63"/>
  <c r="J30" i="63"/>
  <c r="I30" i="63"/>
  <c r="H30" i="63"/>
  <c r="G30" i="63"/>
  <c r="F30" i="63"/>
  <c r="E30" i="63"/>
  <c r="AD29" i="63"/>
  <c r="AC29" i="63"/>
  <c r="AB29" i="63"/>
  <c r="AA29" i="63"/>
  <c r="Z29" i="63"/>
  <c r="Y29" i="63"/>
  <c r="X29" i="63"/>
  <c r="W29" i="63"/>
  <c r="V29" i="63"/>
  <c r="U29" i="63"/>
  <c r="T29" i="63"/>
  <c r="S29" i="63"/>
  <c r="R29" i="63"/>
  <c r="Q29" i="63"/>
  <c r="P29" i="63"/>
  <c r="O29" i="63"/>
  <c r="N29" i="63"/>
  <c r="M29" i="63"/>
  <c r="L29" i="63"/>
  <c r="K29" i="63"/>
  <c r="J29" i="63"/>
  <c r="I29" i="63"/>
  <c r="H29" i="63"/>
  <c r="G29" i="63"/>
  <c r="F29" i="63"/>
  <c r="E29" i="63"/>
  <c r="AD28" i="63"/>
  <c r="AC28" i="63"/>
  <c r="AB28" i="63"/>
  <c r="AA28" i="63"/>
  <c r="Z28" i="63"/>
  <c r="Y28" i="63"/>
  <c r="X28" i="63"/>
  <c r="W28" i="63"/>
  <c r="V28" i="63"/>
  <c r="U28" i="63"/>
  <c r="T28" i="63"/>
  <c r="S28" i="63"/>
  <c r="R28" i="63"/>
  <c r="Q28" i="63"/>
  <c r="P28" i="63"/>
  <c r="O28" i="63"/>
  <c r="N28" i="63"/>
  <c r="M28" i="63"/>
  <c r="L28" i="63"/>
  <c r="K28" i="63"/>
  <c r="J28" i="63"/>
  <c r="I28" i="63"/>
  <c r="H28" i="63"/>
  <c r="G28" i="63"/>
  <c r="F28" i="63"/>
  <c r="E28" i="63"/>
  <c r="AD27" i="63"/>
  <c r="AC27" i="63"/>
  <c r="AB27" i="63"/>
  <c r="AA27" i="63"/>
  <c r="Z27" i="63"/>
  <c r="Y27" i="63"/>
  <c r="X27" i="63"/>
  <c r="W27" i="63"/>
  <c r="V27" i="63"/>
  <c r="U27" i="63"/>
  <c r="T27" i="63"/>
  <c r="S27" i="63"/>
  <c r="R27" i="63"/>
  <c r="Q27" i="63"/>
  <c r="P27" i="63"/>
  <c r="O27" i="63"/>
  <c r="N27" i="63"/>
  <c r="M27" i="63"/>
  <c r="L27" i="63"/>
  <c r="K27" i="63"/>
  <c r="J27" i="63"/>
  <c r="I27" i="63"/>
  <c r="H27" i="63"/>
  <c r="G27" i="63"/>
  <c r="F27" i="63"/>
  <c r="E27" i="63"/>
  <c r="AD26" i="63"/>
  <c r="AC26" i="63"/>
  <c r="AB26" i="63"/>
  <c r="AA26" i="63"/>
  <c r="Z26" i="63"/>
  <c r="Y26" i="63"/>
  <c r="X26" i="63"/>
  <c r="W26" i="63"/>
  <c r="V26" i="63"/>
  <c r="U26" i="63"/>
  <c r="T26" i="63"/>
  <c r="S26" i="63"/>
  <c r="R26" i="63"/>
  <c r="Q26" i="63"/>
  <c r="P26" i="63"/>
  <c r="O26" i="63"/>
  <c r="N26" i="63"/>
  <c r="M26" i="63"/>
  <c r="L26" i="63"/>
  <c r="K26" i="63"/>
  <c r="J26" i="63"/>
  <c r="I26" i="63"/>
  <c r="H26" i="63"/>
  <c r="G26" i="63"/>
  <c r="F26" i="63"/>
  <c r="E26" i="63"/>
  <c r="AD25" i="63"/>
  <c r="AC25" i="63"/>
  <c r="AB25" i="63"/>
  <c r="AA25" i="63"/>
  <c r="Z25" i="63"/>
  <c r="Y25" i="63"/>
  <c r="X25" i="63"/>
  <c r="W25" i="63"/>
  <c r="V25" i="63"/>
  <c r="U25" i="63"/>
  <c r="T25" i="63"/>
  <c r="S25" i="63"/>
  <c r="R25" i="63"/>
  <c r="Q25" i="63"/>
  <c r="P25" i="63"/>
  <c r="O25" i="63"/>
  <c r="N25" i="63"/>
  <c r="M25" i="63"/>
  <c r="L25" i="63"/>
  <c r="K25" i="63"/>
  <c r="J25" i="63"/>
  <c r="I25" i="63"/>
  <c r="H25" i="63"/>
  <c r="G25" i="63"/>
  <c r="F25" i="63"/>
  <c r="E25" i="63"/>
  <c r="AD24" i="63"/>
  <c r="AC24" i="63"/>
  <c r="AB24" i="63"/>
  <c r="AA24" i="63"/>
  <c r="Z24" i="63"/>
  <c r="Y24" i="63"/>
  <c r="X24" i="63"/>
  <c r="W24" i="63"/>
  <c r="V24" i="63"/>
  <c r="U24" i="63"/>
  <c r="T24" i="63"/>
  <c r="S24" i="63"/>
  <c r="R24" i="63"/>
  <c r="Q24" i="63"/>
  <c r="P24" i="63"/>
  <c r="O24" i="63"/>
  <c r="N24" i="63"/>
  <c r="M24" i="63"/>
  <c r="L24" i="63"/>
  <c r="K24" i="63"/>
  <c r="J24" i="63"/>
  <c r="I24" i="63"/>
  <c r="H24" i="63"/>
  <c r="G24" i="63"/>
  <c r="F24" i="63"/>
  <c r="E24" i="63"/>
  <c r="AD23" i="63"/>
  <c r="AC23" i="63"/>
  <c r="AB23" i="63"/>
  <c r="AA23" i="63"/>
  <c r="Z23" i="63"/>
  <c r="Y23" i="63"/>
  <c r="X23" i="63"/>
  <c r="W23" i="63"/>
  <c r="V23" i="63"/>
  <c r="U23" i="63"/>
  <c r="T23" i="63"/>
  <c r="S23" i="63"/>
  <c r="R23" i="63"/>
  <c r="Q23" i="63"/>
  <c r="P23" i="63"/>
  <c r="O23" i="63"/>
  <c r="N23" i="63"/>
  <c r="M23" i="63"/>
  <c r="L23" i="63"/>
  <c r="K23" i="63"/>
  <c r="J23" i="63"/>
  <c r="I23" i="63"/>
  <c r="H23" i="63"/>
  <c r="G23" i="63"/>
  <c r="F23" i="63"/>
  <c r="E23" i="63"/>
  <c r="AD22" i="63"/>
  <c r="AC22" i="63"/>
  <c r="AB22" i="63"/>
  <c r="AA22" i="63"/>
  <c r="Z22" i="63"/>
  <c r="Y22" i="63"/>
  <c r="X22" i="63"/>
  <c r="W22" i="63"/>
  <c r="V22" i="63"/>
  <c r="U22" i="63"/>
  <c r="T22" i="63"/>
  <c r="S22" i="63"/>
  <c r="R22" i="63"/>
  <c r="Q22" i="63"/>
  <c r="P22" i="63"/>
  <c r="O22" i="63"/>
  <c r="N22" i="63"/>
  <c r="M22" i="63"/>
  <c r="L22" i="63"/>
  <c r="K22" i="63"/>
  <c r="J22" i="63"/>
  <c r="I22" i="63"/>
  <c r="H22" i="63"/>
  <c r="G22" i="63"/>
  <c r="F22" i="63"/>
  <c r="E22" i="63"/>
  <c r="AD21" i="63"/>
  <c r="AC21" i="63"/>
  <c r="AB21" i="63"/>
  <c r="AA21" i="63"/>
  <c r="Z21" i="63"/>
  <c r="Y21" i="63"/>
  <c r="X21" i="63"/>
  <c r="W21" i="63"/>
  <c r="V21" i="63"/>
  <c r="U21" i="63"/>
  <c r="T21" i="63"/>
  <c r="S21" i="63"/>
  <c r="R21" i="63"/>
  <c r="Q21" i="63"/>
  <c r="P21" i="63"/>
  <c r="O21" i="63"/>
  <c r="N21" i="63"/>
  <c r="M21" i="63"/>
  <c r="L21" i="63"/>
  <c r="K21" i="63"/>
  <c r="J21" i="63"/>
  <c r="I21" i="63"/>
  <c r="H21" i="63"/>
  <c r="G21" i="63"/>
  <c r="F21" i="63"/>
  <c r="E21" i="63"/>
  <c r="AD20" i="63"/>
  <c r="AC20" i="63"/>
  <c r="AB20" i="63"/>
  <c r="AA20" i="63"/>
  <c r="Z20" i="63"/>
  <c r="Y20" i="63"/>
  <c r="X20" i="63"/>
  <c r="W20" i="63"/>
  <c r="V20" i="63"/>
  <c r="U20" i="63"/>
  <c r="T20" i="63"/>
  <c r="S20" i="63"/>
  <c r="R20" i="63"/>
  <c r="Q20" i="63"/>
  <c r="P20" i="63"/>
  <c r="O20" i="63"/>
  <c r="N20" i="63"/>
  <c r="M20" i="63"/>
  <c r="L20" i="63"/>
  <c r="K20" i="63"/>
  <c r="J20" i="63"/>
  <c r="I20" i="63"/>
  <c r="H20" i="63"/>
  <c r="G20" i="63"/>
  <c r="F20" i="63"/>
  <c r="E20" i="63"/>
  <c r="AD19" i="63"/>
  <c r="AC19" i="63"/>
  <c r="AB19" i="63"/>
  <c r="AA19" i="63"/>
  <c r="Z19" i="63"/>
  <c r="Y19" i="63"/>
  <c r="X19" i="63"/>
  <c r="W19" i="63"/>
  <c r="V19" i="63"/>
  <c r="U19" i="63"/>
  <c r="T19" i="63"/>
  <c r="S19" i="63"/>
  <c r="R19" i="63"/>
  <c r="Q19" i="63"/>
  <c r="P19" i="63"/>
  <c r="O19" i="63"/>
  <c r="N19" i="63"/>
  <c r="M19" i="63"/>
  <c r="L19" i="63"/>
  <c r="K19" i="63"/>
  <c r="J19" i="63"/>
  <c r="I19" i="63"/>
  <c r="H19" i="63"/>
  <c r="G19" i="63"/>
  <c r="F19" i="63"/>
  <c r="E19" i="63"/>
  <c r="AD18" i="63"/>
  <c r="AC18" i="63"/>
  <c r="AB18" i="63"/>
  <c r="AA18" i="63"/>
  <c r="Z18" i="63"/>
  <c r="Y18" i="63"/>
  <c r="X18" i="63"/>
  <c r="W18" i="63"/>
  <c r="V18" i="63"/>
  <c r="U18" i="63"/>
  <c r="T18" i="63"/>
  <c r="S18" i="63"/>
  <c r="R18" i="63"/>
  <c r="Q18" i="63"/>
  <c r="P18" i="63"/>
  <c r="O18" i="63"/>
  <c r="N18" i="63"/>
  <c r="M18" i="63"/>
  <c r="L18" i="63"/>
  <c r="K18" i="63"/>
  <c r="J18" i="63"/>
  <c r="I18" i="63"/>
  <c r="H18" i="63"/>
  <c r="G18" i="63"/>
  <c r="F18" i="63"/>
  <c r="E18" i="63"/>
  <c r="AD17" i="63"/>
  <c r="AC17" i="63"/>
  <c r="AB17" i="63"/>
  <c r="AA17" i="63"/>
  <c r="Z17" i="63"/>
  <c r="Y17" i="63"/>
  <c r="X17" i="63"/>
  <c r="W17" i="63"/>
  <c r="V17" i="63"/>
  <c r="U17" i="63"/>
  <c r="T17" i="63"/>
  <c r="S17" i="63"/>
  <c r="R17" i="63"/>
  <c r="Q17" i="63"/>
  <c r="P17" i="63"/>
  <c r="O17" i="63"/>
  <c r="N17" i="63"/>
  <c r="M17" i="63"/>
  <c r="L17" i="63"/>
  <c r="K17" i="63"/>
  <c r="J17" i="63"/>
  <c r="I17" i="63"/>
  <c r="H17" i="63"/>
  <c r="G17" i="63"/>
  <c r="F17" i="63"/>
  <c r="E17" i="63"/>
  <c r="AD16" i="63"/>
  <c r="AC16" i="63"/>
  <c r="AB16" i="63"/>
  <c r="AA16" i="63"/>
  <c r="Z16" i="63"/>
  <c r="Y16" i="63"/>
  <c r="X16" i="63"/>
  <c r="W16" i="63"/>
  <c r="V16" i="63"/>
  <c r="U16" i="63"/>
  <c r="T16" i="63"/>
  <c r="S16" i="63"/>
  <c r="R16" i="63"/>
  <c r="Q16" i="63"/>
  <c r="P16" i="63"/>
  <c r="O16" i="63"/>
  <c r="N16" i="63"/>
  <c r="M16" i="63"/>
  <c r="L16" i="63"/>
  <c r="K16" i="63"/>
  <c r="J16" i="63"/>
  <c r="I16" i="63"/>
  <c r="H16" i="63"/>
  <c r="G16" i="63"/>
  <c r="F16" i="63"/>
  <c r="E16" i="63"/>
  <c r="AD15" i="63"/>
  <c r="AC15" i="63"/>
  <c r="AB15" i="63"/>
  <c r="AA15" i="63"/>
  <c r="Z15" i="63"/>
  <c r="Y15" i="63"/>
  <c r="X15" i="63"/>
  <c r="W15" i="63"/>
  <c r="V15" i="63"/>
  <c r="U15" i="63"/>
  <c r="T15" i="63"/>
  <c r="S15" i="63"/>
  <c r="R15" i="63"/>
  <c r="Q15" i="63"/>
  <c r="P15" i="63"/>
  <c r="O15" i="63"/>
  <c r="N15" i="63"/>
  <c r="M15" i="63"/>
  <c r="L15" i="63"/>
  <c r="K15" i="63"/>
  <c r="J15" i="63"/>
  <c r="I15" i="63"/>
  <c r="H15" i="63"/>
  <c r="G15" i="63"/>
  <c r="F15" i="63"/>
  <c r="E15" i="63"/>
  <c r="AD14" i="63"/>
  <c r="AC14" i="63"/>
  <c r="AB14" i="63"/>
  <c r="AA14" i="63"/>
  <c r="Z14" i="63"/>
  <c r="Y14" i="63"/>
  <c r="X14" i="63"/>
  <c r="W14" i="63"/>
  <c r="V14" i="63"/>
  <c r="U14" i="63"/>
  <c r="T14" i="63"/>
  <c r="S14" i="63"/>
  <c r="R14" i="63"/>
  <c r="Q14" i="63"/>
  <c r="P14" i="63"/>
  <c r="O14" i="63"/>
  <c r="N14" i="63"/>
  <c r="M14" i="63"/>
  <c r="L14" i="63"/>
  <c r="K14" i="63"/>
  <c r="J14" i="63"/>
  <c r="I14" i="63"/>
  <c r="H14" i="63"/>
  <c r="G14" i="63"/>
  <c r="F14" i="63"/>
  <c r="E14" i="63"/>
  <c r="AD13" i="63"/>
  <c r="AC13" i="63"/>
  <c r="AB13" i="63"/>
  <c r="AA13" i="63"/>
  <c r="Z13" i="63"/>
  <c r="Y13" i="63"/>
  <c r="X13" i="63"/>
  <c r="W13" i="63"/>
  <c r="V13" i="63"/>
  <c r="U13" i="63"/>
  <c r="T13" i="63"/>
  <c r="S13" i="63"/>
  <c r="R13" i="63"/>
  <c r="Q13" i="63"/>
  <c r="P13" i="63"/>
  <c r="O13" i="63"/>
  <c r="N13" i="63"/>
  <c r="M13" i="63"/>
  <c r="L13" i="63"/>
  <c r="K13" i="63"/>
  <c r="J13" i="63"/>
  <c r="I13" i="63"/>
  <c r="H13" i="63"/>
  <c r="G13" i="63"/>
  <c r="F13" i="63"/>
  <c r="E13" i="63"/>
  <c r="AD12" i="63"/>
  <c r="AC12" i="63"/>
  <c r="AB12" i="63"/>
  <c r="AA12" i="63"/>
  <c r="Z12" i="63"/>
  <c r="Y12" i="63"/>
  <c r="X12" i="63"/>
  <c r="W12" i="63"/>
  <c r="V12" i="63"/>
  <c r="U12" i="63"/>
  <c r="T12" i="63"/>
  <c r="S12" i="63"/>
  <c r="R12" i="63"/>
  <c r="Q12" i="63"/>
  <c r="P12" i="63"/>
  <c r="O12" i="63"/>
  <c r="N12" i="63"/>
  <c r="M12" i="63"/>
  <c r="L12" i="63"/>
  <c r="K12" i="63"/>
  <c r="J12" i="63"/>
  <c r="I12" i="63"/>
  <c r="H12" i="63"/>
  <c r="G12" i="63"/>
  <c r="F12" i="63"/>
  <c r="E12" i="63"/>
  <c r="AD11" i="63"/>
  <c r="AC11" i="63"/>
  <c r="AB11" i="63"/>
  <c r="AA11" i="63"/>
  <c r="Z11" i="63"/>
  <c r="Y11" i="63"/>
  <c r="X11" i="63"/>
  <c r="W11" i="63"/>
  <c r="V11" i="63"/>
  <c r="U11" i="63"/>
  <c r="T11" i="63"/>
  <c r="S11" i="63"/>
  <c r="R11" i="63"/>
  <c r="Q11" i="63"/>
  <c r="P11" i="63"/>
  <c r="O11" i="63"/>
  <c r="N11" i="63"/>
  <c r="M11" i="63"/>
  <c r="L11" i="63"/>
  <c r="K11" i="63"/>
  <c r="J11" i="63"/>
  <c r="I11" i="63"/>
  <c r="H11" i="63"/>
  <c r="G11" i="63"/>
  <c r="F11" i="63"/>
  <c r="E11" i="63"/>
  <c r="AD10" i="63"/>
  <c r="AC10" i="63"/>
  <c r="AB10" i="63"/>
  <c r="AA10" i="63"/>
  <c r="Z10" i="63"/>
  <c r="Y10" i="63"/>
  <c r="X10" i="63"/>
  <c r="W10" i="63"/>
  <c r="V10" i="63"/>
  <c r="U10" i="63"/>
  <c r="T10" i="63"/>
  <c r="S10" i="63"/>
  <c r="R10" i="63"/>
  <c r="Q10" i="63"/>
  <c r="P10" i="63"/>
  <c r="O10" i="63"/>
  <c r="N10" i="63"/>
  <c r="M10" i="63"/>
  <c r="L10" i="63"/>
  <c r="K10" i="63"/>
  <c r="J10" i="63"/>
  <c r="I10" i="63"/>
  <c r="H10" i="63"/>
  <c r="G10" i="63"/>
  <c r="F10" i="63"/>
  <c r="E10" i="63"/>
  <c r="AD9" i="63"/>
  <c r="AC9" i="63"/>
  <c r="AB9" i="63"/>
  <c r="AA9" i="63"/>
  <c r="Z9" i="63"/>
  <c r="Y9" i="63"/>
  <c r="X9" i="63"/>
  <c r="W9" i="63"/>
  <c r="V9" i="63"/>
  <c r="U9" i="63"/>
  <c r="T9" i="63"/>
  <c r="S9" i="63"/>
  <c r="R9" i="63"/>
  <c r="Q9" i="63"/>
  <c r="P9" i="63"/>
  <c r="O9" i="63"/>
  <c r="N9" i="63"/>
  <c r="M9" i="63"/>
  <c r="L9" i="63"/>
  <c r="K9" i="63"/>
  <c r="J9" i="63"/>
  <c r="I9" i="63"/>
  <c r="H9" i="63"/>
  <c r="G9" i="63"/>
  <c r="F9" i="63"/>
  <c r="E9" i="63"/>
  <c r="AD8" i="63"/>
  <c r="AC8" i="63"/>
  <c r="AB8" i="63"/>
  <c r="AA8" i="63"/>
  <c r="Z8" i="63"/>
  <c r="Y8" i="63"/>
  <c r="X8" i="63"/>
  <c r="W8" i="63"/>
  <c r="V8" i="63"/>
  <c r="U8" i="63"/>
  <c r="T8" i="63"/>
  <c r="S8" i="63"/>
  <c r="R8" i="63"/>
  <c r="Q8" i="63"/>
  <c r="P8" i="63"/>
  <c r="O8" i="63"/>
  <c r="N8" i="63"/>
  <c r="M8" i="63"/>
  <c r="L8" i="63"/>
  <c r="K8" i="63"/>
  <c r="J8" i="63"/>
  <c r="I8" i="63"/>
  <c r="H8" i="63"/>
  <c r="G8" i="63"/>
  <c r="F8" i="63"/>
  <c r="E8" i="63"/>
  <c r="AD7" i="63"/>
  <c r="AC7" i="63"/>
  <c r="AB7" i="63"/>
  <c r="AA7" i="63"/>
  <c r="Z7" i="63"/>
  <c r="Y7" i="63"/>
  <c r="X7" i="63"/>
  <c r="W7" i="63"/>
  <c r="V7" i="63"/>
  <c r="U7" i="63"/>
  <c r="T7" i="63"/>
  <c r="S7" i="63"/>
  <c r="R7" i="63"/>
  <c r="Q7" i="63"/>
  <c r="P7" i="63"/>
  <c r="O7" i="63"/>
  <c r="N7" i="63"/>
  <c r="M7" i="63"/>
  <c r="L7" i="63"/>
  <c r="K7" i="63"/>
  <c r="J7" i="63"/>
  <c r="I7" i="63"/>
  <c r="H7" i="63"/>
  <c r="G7" i="63"/>
  <c r="F7" i="63"/>
  <c r="E7" i="63"/>
  <c r="AD6" i="63"/>
  <c r="AC6" i="63"/>
  <c r="AB6" i="63"/>
  <c r="AA6" i="63"/>
  <c r="Z6" i="63"/>
  <c r="Y6" i="63"/>
  <c r="X6" i="63"/>
  <c r="W6" i="63"/>
  <c r="V6" i="63"/>
  <c r="U6" i="63"/>
  <c r="T6" i="63"/>
  <c r="S6" i="63"/>
  <c r="R6" i="63"/>
  <c r="Q6" i="63"/>
  <c r="P6" i="63"/>
  <c r="O6" i="63"/>
  <c r="N6" i="63"/>
  <c r="M6" i="63"/>
  <c r="L6" i="63"/>
  <c r="K6" i="63"/>
  <c r="J6" i="63"/>
  <c r="I6" i="63"/>
  <c r="H6" i="63"/>
  <c r="G6" i="63"/>
  <c r="F6" i="63"/>
  <c r="E6" i="63"/>
  <c r="AD5" i="63"/>
  <c r="AC5" i="63"/>
  <c r="AB5" i="63"/>
  <c r="AA5" i="63"/>
  <c r="Z5" i="63"/>
  <c r="Y5" i="63"/>
  <c r="X5" i="63"/>
  <c r="W5" i="63"/>
  <c r="V5" i="63"/>
  <c r="U5" i="63"/>
  <c r="T5" i="63"/>
  <c r="S5" i="63"/>
  <c r="R5" i="63"/>
  <c r="Q5" i="63"/>
  <c r="P5" i="63"/>
  <c r="O5" i="63"/>
  <c r="N5" i="63"/>
  <c r="M5" i="63"/>
  <c r="L5" i="63"/>
  <c r="K5" i="63"/>
  <c r="J5" i="63"/>
  <c r="I5" i="63"/>
  <c r="H5" i="63"/>
  <c r="G5" i="63"/>
  <c r="F5" i="63"/>
  <c r="E5" i="63"/>
  <c r="AB9" i="112"/>
  <c r="AB10" i="112"/>
  <c r="AB11" i="112"/>
  <c r="AB12" i="112"/>
  <c r="AB13" i="112"/>
  <c r="AB14" i="112"/>
  <c r="AB15" i="112"/>
  <c r="AB16" i="112"/>
  <c r="AB17" i="112"/>
  <c r="AB18" i="112"/>
  <c r="AB19" i="112"/>
  <c r="AB20" i="112"/>
  <c r="AB21" i="112"/>
  <c r="AB22" i="112"/>
  <c r="AB23" i="112"/>
  <c r="AB24" i="112"/>
  <c r="AB25" i="112"/>
  <c r="AB26" i="112"/>
  <c r="AB27" i="112"/>
  <c r="AB28" i="112"/>
  <c r="AB29" i="112"/>
  <c r="AB30" i="112"/>
  <c r="AB31" i="112"/>
  <c r="AB32" i="112"/>
  <c r="AB33" i="112"/>
  <c r="AB34" i="112"/>
  <c r="AB35" i="112"/>
  <c r="AB36" i="112"/>
  <c r="AB37" i="112"/>
  <c r="AB38" i="112"/>
  <c r="AB39" i="112"/>
  <c r="AB8" i="112"/>
  <c r="I8" i="112"/>
  <c r="P8" i="112" s="1"/>
  <c r="T8" i="112" s="1"/>
  <c r="X8" i="112" s="1"/>
  <c r="I41" i="62"/>
  <c r="I42" i="62"/>
  <c r="I43" i="62"/>
  <c r="I44" i="62"/>
  <c r="I45" i="62"/>
  <c r="I46" i="62"/>
  <c r="I47" i="62"/>
  <c r="I48" i="62"/>
  <c r="I49" i="62"/>
  <c r="I18" i="62"/>
  <c r="I19" i="62"/>
  <c r="I20" i="62"/>
  <c r="I21" i="62"/>
  <c r="I22" i="62"/>
  <c r="I23" i="62"/>
  <c r="I24" i="62"/>
  <c r="I25" i="62"/>
  <c r="I26" i="62"/>
  <c r="I27" i="62"/>
  <c r="I28" i="62"/>
  <c r="I29" i="62"/>
  <c r="I30" i="62"/>
  <c r="I31" i="62"/>
  <c r="I32" i="62"/>
  <c r="I33" i="62"/>
  <c r="I34" i="62"/>
  <c r="I35" i="62"/>
  <c r="I36" i="62"/>
  <c r="I37" i="62"/>
  <c r="I38" i="62"/>
  <c r="I40" i="62" s="1"/>
  <c r="I10" i="62"/>
  <c r="I11" i="62"/>
  <c r="I12" i="62"/>
  <c r="I13" i="62"/>
  <c r="I14" i="62"/>
  <c r="I15" i="62"/>
  <c r="I16" i="62"/>
  <c r="I17" i="62"/>
  <c r="I9" i="62"/>
  <c r="E41" i="62"/>
  <c r="E42" i="62"/>
  <c r="E43" i="62"/>
  <c r="E44" i="62"/>
  <c r="E45" i="62"/>
  <c r="E46" i="62"/>
  <c r="E47" i="62"/>
  <c r="E48" i="62"/>
  <c r="E49" i="62"/>
  <c r="E9" i="62"/>
  <c r="E10" i="62"/>
  <c r="E11" i="62"/>
  <c r="E12" i="62"/>
  <c r="E13" i="62"/>
  <c r="E14" i="62"/>
  <c r="E15" i="62"/>
  <c r="E16" i="62"/>
  <c r="E17" i="62"/>
  <c r="E18" i="62"/>
  <c r="E19" i="62"/>
  <c r="E20" i="62"/>
  <c r="E21" i="62"/>
  <c r="E22" i="62"/>
  <c r="E23" i="62"/>
  <c r="E24" i="62"/>
  <c r="E25" i="62"/>
  <c r="E26" i="62"/>
  <c r="AG26" i="62" s="1"/>
  <c r="E27" i="62"/>
  <c r="E28" i="62"/>
  <c r="E29" i="62"/>
  <c r="E30" i="62"/>
  <c r="E31" i="62"/>
  <c r="E32" i="62"/>
  <c r="E33" i="62"/>
  <c r="E34" i="62"/>
  <c r="E35" i="62"/>
  <c r="E36" i="62"/>
  <c r="E37" i="62"/>
  <c r="AG41" i="61"/>
  <c r="AG42" i="61"/>
  <c r="AG43" i="61"/>
  <c r="AG44" i="61"/>
  <c r="AG45" i="61"/>
  <c r="AG46" i="61"/>
  <c r="AG47" i="61"/>
  <c r="AG48" i="61"/>
  <c r="AG49" i="61"/>
  <c r="AG9" i="61"/>
  <c r="AG10" i="61"/>
  <c r="AG11" i="61"/>
  <c r="AG12" i="61"/>
  <c r="AG13" i="61"/>
  <c r="AG14" i="61"/>
  <c r="AG15" i="61"/>
  <c r="AG16" i="61"/>
  <c r="AG17" i="61"/>
  <c r="AG18" i="61"/>
  <c r="AG19" i="61"/>
  <c r="AG20" i="61"/>
  <c r="AG21" i="61"/>
  <c r="AG22" i="61"/>
  <c r="AG23" i="61"/>
  <c r="AG24" i="61"/>
  <c r="AG25" i="61"/>
  <c r="AG26" i="61"/>
  <c r="AG27" i="61"/>
  <c r="AG28" i="61"/>
  <c r="AG29" i="61"/>
  <c r="AG30" i="61"/>
  <c r="AG31" i="61"/>
  <c r="AG32" i="61"/>
  <c r="AG33" i="61"/>
  <c r="AG34" i="61"/>
  <c r="AG35" i="61"/>
  <c r="AG36" i="61"/>
  <c r="AG37" i="61"/>
  <c r="AF9" i="61"/>
  <c r="AE9" i="61"/>
  <c r="AF37" i="61"/>
  <c r="AE37" i="61"/>
  <c r="AD37" i="61"/>
  <c r="AF36" i="61"/>
  <c r="AE36" i="61"/>
  <c r="AD36" i="61"/>
  <c r="AF35" i="61"/>
  <c r="AE35" i="61"/>
  <c r="AD35" i="61"/>
  <c r="AF34" i="61"/>
  <c r="AE34" i="61"/>
  <c r="AD34" i="61"/>
  <c r="AF33" i="61"/>
  <c r="AE33" i="61"/>
  <c r="AD33" i="61"/>
  <c r="AF32" i="61"/>
  <c r="AE32" i="61"/>
  <c r="AD32" i="61"/>
  <c r="AF31" i="61"/>
  <c r="AE31" i="61"/>
  <c r="AD31" i="61"/>
  <c r="AF30" i="61"/>
  <c r="AE30" i="61"/>
  <c r="AD30" i="61"/>
  <c r="AF29" i="61"/>
  <c r="AE29" i="61"/>
  <c r="AD29" i="61"/>
  <c r="AF28" i="61"/>
  <c r="AE28" i="61"/>
  <c r="AD28" i="61"/>
  <c r="AF27" i="61"/>
  <c r="AE27" i="61"/>
  <c r="AD27" i="61"/>
  <c r="AF26" i="61"/>
  <c r="AE26" i="61"/>
  <c r="AD26" i="61"/>
  <c r="AF25" i="61"/>
  <c r="AE25" i="61"/>
  <c r="AD25" i="61"/>
  <c r="AF24" i="61"/>
  <c r="AE24" i="61"/>
  <c r="AD24" i="61"/>
  <c r="AE23" i="61"/>
  <c r="AD23" i="61"/>
  <c r="AF22" i="61"/>
  <c r="AE22" i="61"/>
  <c r="AD22" i="61"/>
  <c r="AF21" i="61"/>
  <c r="AE21" i="61"/>
  <c r="AD21" i="61"/>
  <c r="AF20" i="61"/>
  <c r="AE20" i="61"/>
  <c r="AD20" i="61"/>
  <c r="AF19" i="61"/>
  <c r="AE19" i="61"/>
  <c r="AD19" i="61"/>
  <c r="AF18" i="61"/>
  <c r="AE18" i="61"/>
  <c r="AD18" i="61"/>
  <c r="AF17" i="61"/>
  <c r="AE17" i="61"/>
  <c r="AD17" i="61"/>
  <c r="AF16" i="61"/>
  <c r="AE16" i="61"/>
  <c r="AD16" i="61"/>
  <c r="AF15" i="61"/>
  <c r="AE15" i="61"/>
  <c r="AD15" i="61"/>
  <c r="AF14" i="61"/>
  <c r="AE14" i="61"/>
  <c r="AD14" i="61"/>
  <c r="AF13" i="61"/>
  <c r="AE13" i="61"/>
  <c r="AD13" i="61"/>
  <c r="AF12" i="61"/>
  <c r="AE12" i="61"/>
  <c r="AD12" i="61"/>
  <c r="AF11" i="61"/>
  <c r="AE11" i="61"/>
  <c r="AD11" i="61"/>
  <c r="AF10" i="61"/>
  <c r="AE10" i="61"/>
  <c r="AD10" i="61"/>
  <c r="AD9" i="61"/>
  <c r="AF9" i="60"/>
  <c r="AE10" i="60"/>
  <c r="AE9" i="60"/>
  <c r="AF49" i="60"/>
  <c r="AE49" i="60"/>
  <c r="AD49" i="60"/>
  <c r="AG49" i="60" s="1"/>
  <c r="AF48" i="60"/>
  <c r="AE48" i="60"/>
  <c r="AD48" i="60"/>
  <c r="AG48" i="60" s="1"/>
  <c r="AF47" i="60"/>
  <c r="AE47" i="60"/>
  <c r="AD47" i="60"/>
  <c r="AG47" i="60" s="1"/>
  <c r="AF46" i="60"/>
  <c r="AE46" i="60"/>
  <c r="AD46" i="60"/>
  <c r="AG46" i="60" s="1"/>
  <c r="AF45" i="60"/>
  <c r="AE45" i="60"/>
  <c r="AD45" i="60"/>
  <c r="AG45" i="60" s="1"/>
  <c r="AF44" i="60"/>
  <c r="AE44" i="60"/>
  <c r="AD44" i="60"/>
  <c r="AG44" i="60" s="1"/>
  <c r="AF43" i="60"/>
  <c r="AE43" i="60"/>
  <c r="AD43" i="60"/>
  <c r="AG43" i="60" s="1"/>
  <c r="AF42" i="60"/>
  <c r="AE42" i="60"/>
  <c r="AD42" i="60"/>
  <c r="AG42" i="60" s="1"/>
  <c r="AF41" i="60"/>
  <c r="AE41" i="60"/>
  <c r="AD41" i="60"/>
  <c r="AG41" i="60" s="1"/>
  <c r="AE38" i="60"/>
  <c r="AD38" i="60"/>
  <c r="AF37" i="60"/>
  <c r="AE37" i="60"/>
  <c r="AD37" i="60"/>
  <c r="AG37" i="60" s="1"/>
  <c r="AF36" i="60"/>
  <c r="AE36" i="60"/>
  <c r="AD36" i="60"/>
  <c r="AG36" i="60" s="1"/>
  <c r="AF35" i="60"/>
  <c r="AE35" i="60"/>
  <c r="AD35" i="60"/>
  <c r="AG35" i="60" s="1"/>
  <c r="AF34" i="60"/>
  <c r="AE34" i="60"/>
  <c r="AD34" i="60"/>
  <c r="AG34" i="60" s="1"/>
  <c r="AF33" i="60"/>
  <c r="AE33" i="60"/>
  <c r="AD33" i="60"/>
  <c r="AG33" i="60" s="1"/>
  <c r="AF32" i="60"/>
  <c r="AE32" i="60"/>
  <c r="AD32" i="60"/>
  <c r="AG32" i="60" s="1"/>
  <c r="AF31" i="60"/>
  <c r="AE31" i="60"/>
  <c r="AD31" i="60"/>
  <c r="AG31" i="60" s="1"/>
  <c r="AF30" i="60"/>
  <c r="AE30" i="60"/>
  <c r="AD30" i="60"/>
  <c r="AG30" i="60" s="1"/>
  <c r="AF29" i="60"/>
  <c r="AE29" i="60"/>
  <c r="AD29" i="60"/>
  <c r="AG29" i="60" s="1"/>
  <c r="AF28" i="60"/>
  <c r="AE28" i="60"/>
  <c r="AD28" i="60"/>
  <c r="AG28" i="60" s="1"/>
  <c r="AF27" i="60"/>
  <c r="AE27" i="60"/>
  <c r="AD27" i="60"/>
  <c r="AG27" i="60" s="1"/>
  <c r="AF26" i="60"/>
  <c r="AE26" i="60"/>
  <c r="AD26" i="60"/>
  <c r="AG26" i="60" s="1"/>
  <c r="AF25" i="60"/>
  <c r="AE25" i="60"/>
  <c r="AD25" i="60"/>
  <c r="AG25" i="60" s="1"/>
  <c r="AF24" i="60"/>
  <c r="AE24" i="60"/>
  <c r="AD24" i="60"/>
  <c r="AG24" i="60" s="1"/>
  <c r="AE23" i="60"/>
  <c r="AD23" i="60"/>
  <c r="AG23" i="60" s="1"/>
  <c r="AF22" i="60"/>
  <c r="AE22" i="60"/>
  <c r="AD22" i="60"/>
  <c r="AG22" i="60" s="1"/>
  <c r="AF21" i="60"/>
  <c r="AE21" i="60"/>
  <c r="AD21" i="60"/>
  <c r="AG21" i="60" s="1"/>
  <c r="AF20" i="60"/>
  <c r="AE20" i="60"/>
  <c r="AD20" i="60"/>
  <c r="AG20" i="60" s="1"/>
  <c r="AF19" i="60"/>
  <c r="AE19" i="60"/>
  <c r="AD19" i="60"/>
  <c r="AG19" i="60" s="1"/>
  <c r="AF18" i="60"/>
  <c r="AE18" i="60"/>
  <c r="AD18" i="60"/>
  <c r="AG18" i="60" s="1"/>
  <c r="AF17" i="60"/>
  <c r="AE17" i="60"/>
  <c r="AD17" i="60"/>
  <c r="AG17" i="60" s="1"/>
  <c r="AF16" i="60"/>
  <c r="AE16" i="60"/>
  <c r="AD16" i="60"/>
  <c r="AG16" i="60" s="1"/>
  <c r="AF15" i="60"/>
  <c r="AE15" i="60"/>
  <c r="AD15" i="60"/>
  <c r="AG15" i="60" s="1"/>
  <c r="AF14" i="60"/>
  <c r="AE14" i="60"/>
  <c r="AD14" i="60"/>
  <c r="AG14" i="60" s="1"/>
  <c r="AF13" i="60"/>
  <c r="AE13" i="60"/>
  <c r="AD13" i="60"/>
  <c r="AG13" i="60" s="1"/>
  <c r="AF12" i="60"/>
  <c r="AE12" i="60"/>
  <c r="AD12" i="60"/>
  <c r="AG12" i="60" s="1"/>
  <c r="AF11" i="60"/>
  <c r="AE11" i="60"/>
  <c r="AD11" i="60"/>
  <c r="AG11" i="60" s="1"/>
  <c r="AF10" i="60"/>
  <c r="AD10" i="60"/>
  <c r="AG10" i="60" s="1"/>
  <c r="AD9" i="60"/>
  <c r="AD41" i="59"/>
  <c r="AD10" i="59"/>
  <c r="AE10" i="59"/>
  <c r="AF10" i="59"/>
  <c r="AG10" i="59"/>
  <c r="AD11" i="59"/>
  <c r="AE11" i="59"/>
  <c r="AF11" i="59"/>
  <c r="AG11" i="59"/>
  <c r="AD12" i="59"/>
  <c r="AE12" i="59"/>
  <c r="AF12" i="59"/>
  <c r="AG12" i="59"/>
  <c r="AD13" i="59"/>
  <c r="AE13" i="59"/>
  <c r="AF13" i="59"/>
  <c r="AG13" i="59"/>
  <c r="AD14" i="59"/>
  <c r="AE14" i="59"/>
  <c r="AF14" i="59"/>
  <c r="AG14" i="59"/>
  <c r="AD15" i="59"/>
  <c r="AE15" i="59"/>
  <c r="AF15" i="59"/>
  <c r="AG15" i="59"/>
  <c r="AD16" i="59"/>
  <c r="AE16" i="59"/>
  <c r="AF16" i="59"/>
  <c r="AG16" i="59"/>
  <c r="AD17" i="59"/>
  <c r="AE17" i="59"/>
  <c r="AF17" i="59"/>
  <c r="AG17" i="59"/>
  <c r="AD18" i="59"/>
  <c r="AE18" i="59"/>
  <c r="AF18" i="59"/>
  <c r="AG18" i="59"/>
  <c r="AD19" i="59"/>
  <c r="AE19" i="59"/>
  <c r="AF19" i="59"/>
  <c r="AG19" i="59"/>
  <c r="AD20" i="59"/>
  <c r="AE20" i="59"/>
  <c r="AF20" i="59"/>
  <c r="AG20" i="59"/>
  <c r="AD21" i="59"/>
  <c r="AE21" i="59"/>
  <c r="AF21" i="59"/>
  <c r="AG21" i="59"/>
  <c r="AD22" i="59"/>
  <c r="AE22" i="59"/>
  <c r="AF22" i="59"/>
  <c r="AG22" i="59"/>
  <c r="AD23" i="59"/>
  <c r="AE23" i="59"/>
  <c r="AG23" i="59"/>
  <c r="AD24" i="59"/>
  <c r="AE24" i="59"/>
  <c r="AF24" i="59"/>
  <c r="AG24" i="59"/>
  <c r="AD25" i="59"/>
  <c r="AE25" i="59"/>
  <c r="AF25" i="59"/>
  <c r="AG25" i="59"/>
  <c r="AD26" i="59"/>
  <c r="AE26" i="59"/>
  <c r="AF26" i="59"/>
  <c r="AG26" i="59"/>
  <c r="AD27" i="59"/>
  <c r="AE27" i="59"/>
  <c r="AF27" i="59"/>
  <c r="AG27" i="59"/>
  <c r="AD28" i="59"/>
  <c r="AE28" i="59"/>
  <c r="AF28" i="59"/>
  <c r="AG28" i="59"/>
  <c r="AD29" i="59"/>
  <c r="AE29" i="59"/>
  <c r="AF29" i="59"/>
  <c r="AG29" i="59"/>
  <c r="AD30" i="59"/>
  <c r="AE30" i="59"/>
  <c r="AF30" i="59"/>
  <c r="AG30" i="59"/>
  <c r="AD31" i="59"/>
  <c r="AE31" i="59"/>
  <c r="AF31" i="59"/>
  <c r="AG31" i="59"/>
  <c r="AD32" i="59"/>
  <c r="AE32" i="59"/>
  <c r="AF32" i="59"/>
  <c r="AG32" i="59"/>
  <c r="AD33" i="59"/>
  <c r="AE33" i="59"/>
  <c r="AF33" i="59"/>
  <c r="AG33" i="59"/>
  <c r="AD34" i="59"/>
  <c r="AE34" i="59"/>
  <c r="AF34" i="59"/>
  <c r="AG34" i="59"/>
  <c r="AD35" i="59"/>
  <c r="AE35" i="59"/>
  <c r="AF35" i="59"/>
  <c r="AG35" i="59"/>
  <c r="AD36" i="59"/>
  <c r="AE36" i="59"/>
  <c r="AF36" i="59"/>
  <c r="AG36" i="59"/>
  <c r="AD37" i="59"/>
  <c r="AE37" i="59"/>
  <c r="AF37" i="59"/>
  <c r="AG37" i="59"/>
  <c r="AD38" i="59"/>
  <c r="AE9" i="59"/>
  <c r="AF9" i="59"/>
  <c r="AG9" i="59"/>
  <c r="AD9" i="59"/>
  <c r="AG49" i="58"/>
  <c r="AF49" i="58"/>
  <c r="AE49" i="58"/>
  <c r="AD49" i="58"/>
  <c r="AG48" i="58"/>
  <c r="AF48" i="58"/>
  <c r="AE48" i="58"/>
  <c r="AD48" i="58"/>
  <c r="AG47" i="58"/>
  <c r="AF47" i="58"/>
  <c r="AE47" i="58"/>
  <c r="AD47" i="58"/>
  <c r="AG46" i="58"/>
  <c r="AF46" i="58"/>
  <c r="AE46" i="58"/>
  <c r="AD46" i="58"/>
  <c r="AG45" i="58"/>
  <c r="AF45" i="58"/>
  <c r="AE45" i="58"/>
  <c r="AD45" i="58"/>
  <c r="AG44" i="58"/>
  <c r="AF44" i="58"/>
  <c r="AE44" i="58"/>
  <c r="AD44" i="58"/>
  <c r="AG43" i="58"/>
  <c r="AF43" i="58"/>
  <c r="AE43" i="58"/>
  <c r="AD43" i="58"/>
  <c r="AG42" i="58"/>
  <c r="AF42" i="58"/>
  <c r="AE42" i="58"/>
  <c r="AD42" i="58"/>
  <c r="AF41" i="58"/>
  <c r="AE41" i="58"/>
  <c r="AD41" i="58"/>
  <c r="AE38" i="58"/>
  <c r="AD38" i="58"/>
  <c r="AG37" i="58"/>
  <c r="AF37" i="58"/>
  <c r="AE37" i="58"/>
  <c r="AD37" i="58"/>
  <c r="AG36" i="58"/>
  <c r="AF36" i="58"/>
  <c r="AE36" i="58"/>
  <c r="AD36" i="58"/>
  <c r="AG35" i="58"/>
  <c r="AF35" i="58"/>
  <c r="AE35" i="58"/>
  <c r="AD35" i="58"/>
  <c r="AG34" i="58"/>
  <c r="AF34" i="58"/>
  <c r="AE34" i="58"/>
  <c r="AD34" i="58"/>
  <c r="AG33" i="58"/>
  <c r="AF33" i="58"/>
  <c r="AE33" i="58"/>
  <c r="AD33" i="58"/>
  <c r="AG32" i="58"/>
  <c r="AF32" i="58"/>
  <c r="AE32" i="58"/>
  <c r="AD32" i="58"/>
  <c r="AG31" i="58"/>
  <c r="AF31" i="58"/>
  <c r="AE31" i="58"/>
  <c r="AD31" i="58"/>
  <c r="AG30" i="58"/>
  <c r="AF30" i="58"/>
  <c r="AE30" i="58"/>
  <c r="AD30" i="58"/>
  <c r="AG29" i="58"/>
  <c r="AF29" i="58"/>
  <c r="AE29" i="58"/>
  <c r="AD29" i="58"/>
  <c r="AG28" i="58"/>
  <c r="AF28" i="58"/>
  <c r="AE28" i="58"/>
  <c r="AD28" i="58"/>
  <c r="AG27" i="58"/>
  <c r="AF27" i="58"/>
  <c r="AE27" i="58"/>
  <c r="AD27" i="58"/>
  <c r="AG26" i="58"/>
  <c r="AF26" i="58"/>
  <c r="AE26" i="58"/>
  <c r="AD26" i="58"/>
  <c r="AG25" i="58"/>
  <c r="AF25" i="58"/>
  <c r="AE25" i="58"/>
  <c r="AD25" i="58"/>
  <c r="AG24" i="58"/>
  <c r="AF24" i="58"/>
  <c r="AE24" i="58"/>
  <c r="AD24" i="58"/>
  <c r="AG23" i="58"/>
  <c r="AF23" i="58"/>
  <c r="AE23" i="58"/>
  <c r="AD23" i="58"/>
  <c r="AG22" i="58"/>
  <c r="AF22" i="58"/>
  <c r="AE22" i="58"/>
  <c r="AD22" i="58"/>
  <c r="AG21" i="58"/>
  <c r="AF21" i="58"/>
  <c r="AE21" i="58"/>
  <c r="AD21" i="58"/>
  <c r="AG20" i="58"/>
  <c r="AF20" i="58"/>
  <c r="AE20" i="58"/>
  <c r="AD20" i="58"/>
  <c r="AG19" i="58"/>
  <c r="AF19" i="58"/>
  <c r="AE19" i="58"/>
  <c r="AD19" i="58"/>
  <c r="AG18" i="58"/>
  <c r="AF18" i="58"/>
  <c r="AE18" i="58"/>
  <c r="AD18" i="58"/>
  <c r="AG17" i="58"/>
  <c r="AF17" i="58"/>
  <c r="AE17" i="58"/>
  <c r="AD17" i="58"/>
  <c r="AG16" i="58"/>
  <c r="AF16" i="58"/>
  <c r="AE16" i="58"/>
  <c r="AD16" i="58"/>
  <c r="AG15" i="58"/>
  <c r="AF15" i="58"/>
  <c r="AE15" i="58"/>
  <c r="AD15" i="58"/>
  <c r="AG14" i="58"/>
  <c r="AF14" i="58"/>
  <c r="AE14" i="58"/>
  <c r="AD14" i="58"/>
  <c r="AG13" i="58"/>
  <c r="AF13" i="58"/>
  <c r="AE13" i="58"/>
  <c r="AD13" i="58"/>
  <c r="AG12" i="58"/>
  <c r="AF12" i="58"/>
  <c r="AE12" i="58"/>
  <c r="AD12" i="58"/>
  <c r="AG11" i="58"/>
  <c r="AF11" i="58"/>
  <c r="AE11" i="58"/>
  <c r="AD11" i="58"/>
  <c r="AG10" i="58"/>
  <c r="AF10" i="58"/>
  <c r="AE10" i="58"/>
  <c r="AD10" i="58"/>
  <c r="AG9" i="58"/>
  <c r="AF9" i="58"/>
  <c r="N11" i="57"/>
  <c r="N15" i="57" s="1"/>
  <c r="N25" i="57"/>
  <c r="N21" i="57"/>
  <c r="J30" i="57"/>
  <c r="J29" i="57"/>
  <c r="J28" i="57"/>
  <c r="J27" i="57"/>
  <c r="J26" i="57"/>
  <c r="J24" i="57"/>
  <c r="J22" i="57"/>
  <c r="J20" i="57"/>
  <c r="J19" i="57"/>
  <c r="J18" i="57"/>
  <c r="J17" i="57"/>
  <c r="J16" i="57"/>
  <c r="J14" i="57"/>
  <c r="J13" i="57"/>
  <c r="J12" i="57"/>
  <c r="J10" i="57"/>
  <c r="J9" i="57"/>
  <c r="J8" i="57"/>
  <c r="F30" i="57"/>
  <c r="F29" i="57"/>
  <c r="F28" i="57"/>
  <c r="F27" i="57"/>
  <c r="F26" i="57"/>
  <c r="F24" i="57"/>
  <c r="F22" i="57"/>
  <c r="F20" i="57"/>
  <c r="F19" i="57"/>
  <c r="F18" i="57"/>
  <c r="F17" i="57"/>
  <c r="F16" i="57"/>
  <c r="F14" i="57"/>
  <c r="F13" i="57"/>
  <c r="F12" i="57"/>
  <c r="F10" i="57"/>
  <c r="F9" i="57"/>
  <c r="F8" i="57"/>
  <c r="AD45" i="55"/>
  <c r="AD46" i="55"/>
  <c r="Z9" i="55"/>
  <c r="Z10" i="55"/>
  <c r="Z11" i="55"/>
  <c r="Z12" i="55"/>
  <c r="Z13" i="55"/>
  <c r="Z15" i="55"/>
  <c r="Z16" i="55"/>
  <c r="Z17" i="55"/>
  <c r="Z19" i="55"/>
  <c r="Z20" i="55"/>
  <c r="Z22" i="55"/>
  <c r="Z24" i="55"/>
  <c r="Z25" i="55"/>
  <c r="Z26" i="55"/>
  <c r="Z27" i="55"/>
  <c r="Z28" i="55"/>
  <c r="Z29" i="55"/>
  <c r="Z30" i="55"/>
  <c r="Z32" i="55"/>
  <c r="Z33" i="55"/>
  <c r="Z34" i="55"/>
  <c r="Z35" i="55"/>
  <c r="Z36" i="55"/>
  <c r="Z38" i="55"/>
  <c r="Z39" i="55"/>
  <c r="Z40" i="55"/>
  <c r="Z42" i="55"/>
  <c r="Z43" i="55"/>
  <c r="Z44" i="55"/>
  <c r="Z45" i="55"/>
  <c r="Z46" i="55"/>
  <c r="V9" i="55"/>
  <c r="V10" i="55"/>
  <c r="V11" i="55"/>
  <c r="V12" i="55"/>
  <c r="V13" i="55"/>
  <c r="V15" i="55"/>
  <c r="V16" i="55"/>
  <c r="V17" i="55"/>
  <c r="V19" i="55"/>
  <c r="V20" i="55"/>
  <c r="V22" i="55"/>
  <c r="V24" i="55"/>
  <c r="V25" i="55"/>
  <c r="V26" i="55"/>
  <c r="V27" i="55"/>
  <c r="V28" i="55"/>
  <c r="V29" i="55"/>
  <c r="V30" i="55"/>
  <c r="V32" i="55"/>
  <c r="V33" i="55"/>
  <c r="V34" i="55"/>
  <c r="V35" i="55"/>
  <c r="V36" i="55"/>
  <c r="V38" i="55"/>
  <c r="V39" i="55"/>
  <c r="V40" i="55"/>
  <c r="V42" i="55"/>
  <c r="V43" i="55"/>
  <c r="V44" i="55"/>
  <c r="V45" i="55"/>
  <c r="V46" i="55"/>
  <c r="R9" i="55"/>
  <c r="R10" i="55"/>
  <c r="R11" i="55"/>
  <c r="R12" i="55"/>
  <c r="R13" i="55"/>
  <c r="R15" i="55"/>
  <c r="R16" i="55"/>
  <c r="R17" i="55"/>
  <c r="R19" i="55"/>
  <c r="R20" i="55"/>
  <c r="R22" i="55"/>
  <c r="R24" i="55"/>
  <c r="R25" i="55"/>
  <c r="R26" i="55"/>
  <c r="R27" i="55"/>
  <c r="R28" i="55"/>
  <c r="R29" i="55"/>
  <c r="R30" i="55"/>
  <c r="R32" i="55"/>
  <c r="R33" i="55"/>
  <c r="R34" i="55"/>
  <c r="R35" i="55"/>
  <c r="R36" i="55"/>
  <c r="R38" i="55"/>
  <c r="R39" i="55"/>
  <c r="R40" i="55"/>
  <c r="R42" i="55"/>
  <c r="R43" i="55"/>
  <c r="R44" i="55"/>
  <c r="R45" i="55"/>
  <c r="R46" i="55"/>
  <c r="N9" i="55"/>
  <c r="N10" i="55"/>
  <c r="N11" i="55"/>
  <c r="N12" i="55"/>
  <c r="N13" i="55"/>
  <c r="N15" i="55"/>
  <c r="N16" i="55"/>
  <c r="N17" i="55"/>
  <c r="N19" i="55"/>
  <c r="N20" i="55"/>
  <c r="N22" i="55"/>
  <c r="N24" i="55"/>
  <c r="N25" i="55"/>
  <c r="N26" i="55"/>
  <c r="N27" i="55"/>
  <c r="N28" i="55"/>
  <c r="N29" i="55"/>
  <c r="N30" i="55"/>
  <c r="N32" i="55"/>
  <c r="N33" i="55"/>
  <c r="N34" i="55"/>
  <c r="N35" i="55"/>
  <c r="N36" i="55"/>
  <c r="N38" i="55"/>
  <c r="N39" i="55"/>
  <c r="N40" i="55"/>
  <c r="N42" i="55"/>
  <c r="N43" i="55"/>
  <c r="N44" i="55"/>
  <c r="N45" i="55"/>
  <c r="N46" i="55"/>
  <c r="J9" i="55"/>
  <c r="J10" i="55"/>
  <c r="J11" i="55"/>
  <c r="J12" i="55"/>
  <c r="J13" i="55"/>
  <c r="J15" i="55"/>
  <c r="J16" i="55"/>
  <c r="J17" i="55"/>
  <c r="J19" i="55"/>
  <c r="J20" i="55"/>
  <c r="J22" i="55"/>
  <c r="J24" i="55"/>
  <c r="J25" i="55"/>
  <c r="J26" i="55"/>
  <c r="J27" i="55"/>
  <c r="J28" i="55"/>
  <c r="J29" i="55"/>
  <c r="J30" i="55"/>
  <c r="J32" i="55"/>
  <c r="J33" i="55"/>
  <c r="J34" i="55"/>
  <c r="J35" i="55"/>
  <c r="J36" i="55"/>
  <c r="J38" i="55"/>
  <c r="J39" i="55"/>
  <c r="J40" i="55"/>
  <c r="J42" i="55"/>
  <c r="J43" i="55"/>
  <c r="J44" i="55"/>
  <c r="J45" i="55"/>
  <c r="J46" i="55"/>
  <c r="F9" i="55"/>
  <c r="F10" i="55"/>
  <c r="F11" i="55"/>
  <c r="F12" i="55"/>
  <c r="F13" i="55"/>
  <c r="F15" i="55"/>
  <c r="F16" i="55"/>
  <c r="F17" i="55"/>
  <c r="F19" i="55"/>
  <c r="F20" i="55"/>
  <c r="F22" i="55"/>
  <c r="F24" i="55"/>
  <c r="F25" i="55"/>
  <c r="F26" i="55"/>
  <c r="F27" i="55"/>
  <c r="F28" i="55"/>
  <c r="F29" i="55"/>
  <c r="F30" i="55"/>
  <c r="F32" i="55"/>
  <c r="F33" i="55"/>
  <c r="F34" i="55"/>
  <c r="F35" i="55"/>
  <c r="F36" i="55"/>
  <c r="F38" i="55"/>
  <c r="F39" i="55"/>
  <c r="F40" i="55"/>
  <c r="F42" i="55"/>
  <c r="F43" i="55"/>
  <c r="F44" i="55"/>
  <c r="F45" i="55"/>
  <c r="F46" i="55"/>
  <c r="F8" i="55"/>
  <c r="F8" i="54"/>
  <c r="F8" i="53"/>
  <c r="F8" i="52"/>
  <c r="F8" i="51"/>
  <c r="J8" i="50"/>
  <c r="N8" i="50" s="1"/>
  <c r="R8" i="50" s="1"/>
  <c r="V8" i="50" s="1"/>
  <c r="Z8" i="50" s="1"/>
  <c r="AD8" i="50" s="1"/>
  <c r="AD8" i="54" s="1"/>
  <c r="AH28" i="57"/>
  <c r="AH20" i="57"/>
  <c r="AH18" i="57"/>
  <c r="AH16" i="57"/>
  <c r="AH14" i="57"/>
  <c r="AH13" i="57"/>
  <c r="AH12" i="57"/>
  <c r="AH8" i="57"/>
  <c r="AH11" i="57" s="1"/>
  <c r="AD30" i="57"/>
  <c r="AD28" i="57"/>
  <c r="AD27" i="57"/>
  <c r="AD22" i="57"/>
  <c r="AD25" i="57" s="1"/>
  <c r="AD20" i="57"/>
  <c r="AD18" i="57"/>
  <c r="AD16" i="57"/>
  <c r="AD14" i="57"/>
  <c r="AD13" i="57"/>
  <c r="AD12" i="57"/>
  <c r="AD9" i="57"/>
  <c r="AD8" i="57"/>
  <c r="Z30" i="57"/>
  <c r="Z29" i="57"/>
  <c r="Z28" i="57"/>
  <c r="Z27" i="57"/>
  <c r="Z26" i="57"/>
  <c r="Z24" i="57"/>
  <c r="Z22" i="57"/>
  <c r="Z20" i="57"/>
  <c r="Z19" i="57"/>
  <c r="Z18" i="57"/>
  <c r="Z17" i="57"/>
  <c r="Z16" i="57"/>
  <c r="Z14" i="57"/>
  <c r="Z13" i="57"/>
  <c r="Z12" i="57"/>
  <c r="Z10" i="57"/>
  <c r="Z9" i="57"/>
  <c r="Z8" i="57"/>
  <c r="V30" i="57"/>
  <c r="V29" i="57"/>
  <c r="V28" i="57"/>
  <c r="V27" i="57"/>
  <c r="V26" i="57"/>
  <c r="V24" i="57"/>
  <c r="V23" i="57"/>
  <c r="V22" i="57"/>
  <c r="V20" i="57"/>
  <c r="V19" i="57"/>
  <c r="V18" i="57"/>
  <c r="V17" i="57"/>
  <c r="V16" i="57"/>
  <c r="V14" i="57"/>
  <c r="V13" i="57"/>
  <c r="V12" i="57"/>
  <c r="V10" i="57"/>
  <c r="V9" i="57"/>
  <c r="V8" i="57"/>
  <c r="R30" i="57"/>
  <c r="R29" i="57"/>
  <c r="R28" i="57"/>
  <c r="R27" i="57"/>
  <c r="R26" i="57"/>
  <c r="R24" i="57"/>
  <c r="R23" i="57"/>
  <c r="R22" i="57"/>
  <c r="R20" i="57"/>
  <c r="R19" i="57"/>
  <c r="R18" i="57"/>
  <c r="R17" i="57"/>
  <c r="R16" i="57"/>
  <c r="R14" i="57"/>
  <c r="R13" i="57"/>
  <c r="R12" i="57"/>
  <c r="R10" i="57"/>
  <c r="R9" i="57"/>
  <c r="R8" i="57"/>
  <c r="AH25" i="57"/>
  <c r="AL8" i="57" l="1"/>
  <c r="V18" i="55"/>
  <c r="AG20" i="62"/>
  <c r="F11" i="57"/>
  <c r="AG29" i="62"/>
  <c r="J25" i="57"/>
  <c r="AD47" i="55"/>
  <c r="Z47" i="55"/>
  <c r="F15" i="57"/>
  <c r="AG9" i="62"/>
  <c r="AG46" i="62"/>
  <c r="AG32" i="62"/>
  <c r="AG15" i="62"/>
  <c r="AG49" i="62"/>
  <c r="AG48" i="62"/>
  <c r="AG47" i="62"/>
  <c r="AG45" i="62"/>
  <c r="AG44" i="62"/>
  <c r="AG43" i="62"/>
  <c r="AG42" i="62"/>
  <c r="AG41" i="62"/>
  <c r="AG14" i="62"/>
  <c r="AG31" i="62"/>
  <c r="AG19" i="62"/>
  <c r="AG13" i="62"/>
  <c r="AG30" i="62"/>
  <c r="AG18" i="62"/>
  <c r="AG12" i="62"/>
  <c r="AG11" i="62"/>
  <c r="AG28" i="62"/>
  <c r="AG10" i="62"/>
  <c r="AG27" i="62"/>
  <c r="AG37" i="62"/>
  <c r="AG25" i="62"/>
  <c r="AG36" i="62"/>
  <c r="AG24" i="62"/>
  <c r="AG35" i="62"/>
  <c r="AG23" i="62"/>
  <c r="AG17" i="62"/>
  <c r="AG34" i="62"/>
  <c r="AG22" i="62"/>
  <c r="AG16" i="62"/>
  <c r="AG33" i="62"/>
  <c r="AG21" i="62"/>
  <c r="J11" i="57"/>
  <c r="J15" i="57" s="1"/>
  <c r="F25" i="57"/>
  <c r="H7" i="66"/>
  <c r="AE10" i="70"/>
  <c r="Z21" i="55"/>
  <c r="N31" i="57"/>
  <c r="F21" i="57"/>
  <c r="N32" i="57"/>
  <c r="Z18" i="55"/>
  <c r="AD44" i="55"/>
  <c r="AD13" i="55"/>
  <c r="AD29" i="55"/>
  <c r="AD40" i="55"/>
  <c r="AD26" i="55"/>
  <c r="AD10" i="55"/>
  <c r="AD24" i="55"/>
  <c r="AD34" i="55"/>
  <c r="AD19" i="55"/>
  <c r="AD32" i="55"/>
  <c r="AD42" i="55"/>
  <c r="AD27" i="55"/>
  <c r="AD11" i="55"/>
  <c r="V41" i="55"/>
  <c r="AD17" i="55"/>
  <c r="Z41" i="55"/>
  <c r="AD30" i="55"/>
  <c r="R14" i="55"/>
  <c r="V31" i="55"/>
  <c r="V14" i="55"/>
  <c r="AD33" i="55"/>
  <c r="AD16" i="55"/>
  <c r="Z31" i="55"/>
  <c r="V21" i="55"/>
  <c r="Z14" i="55"/>
  <c r="Z37" i="55"/>
  <c r="AD36" i="55"/>
  <c r="AD39" i="55"/>
  <c r="Z8" i="51"/>
  <c r="R8" i="53"/>
  <c r="AD8" i="51"/>
  <c r="V8" i="53"/>
  <c r="Z8" i="53"/>
  <c r="J8" i="55"/>
  <c r="Z8" i="55"/>
  <c r="J7" i="56" s="1"/>
  <c r="J7" i="57" s="1"/>
  <c r="J8" i="52"/>
  <c r="AD8" i="53"/>
  <c r="AD8" i="55"/>
  <c r="N8" i="52"/>
  <c r="R8" i="52"/>
  <c r="J8" i="54"/>
  <c r="V8" i="55"/>
  <c r="F7" i="56" s="1"/>
  <c r="F7" i="57" s="1"/>
  <c r="V8" i="52"/>
  <c r="N8" i="54"/>
  <c r="R41" i="55"/>
  <c r="Z8" i="52"/>
  <c r="R8" i="54"/>
  <c r="R8" i="55"/>
  <c r="J8" i="51"/>
  <c r="AD8" i="52"/>
  <c r="V8" i="54"/>
  <c r="N8" i="51"/>
  <c r="Z8" i="54"/>
  <c r="N31" i="55"/>
  <c r="R8" i="51"/>
  <c r="J8" i="53"/>
  <c r="N8" i="55"/>
  <c r="V8" i="51"/>
  <c r="N8" i="53"/>
  <c r="AD43" i="55"/>
  <c r="AD28" i="55"/>
  <c r="AD12" i="55"/>
  <c r="N18" i="55"/>
  <c r="R31" i="55"/>
  <c r="AD25" i="55"/>
  <c r="AD9" i="55"/>
  <c r="AD38" i="55"/>
  <c r="AD22" i="55"/>
  <c r="AD35" i="55"/>
  <c r="AD20" i="55"/>
  <c r="F18" i="55"/>
  <c r="J14" i="55"/>
  <c r="J31" i="55"/>
  <c r="AD15" i="55"/>
  <c r="J21" i="57"/>
  <c r="J31" i="57" s="1"/>
  <c r="G26" i="68"/>
  <c r="G35" i="68" s="1"/>
  <c r="AI10" i="70"/>
  <c r="B48" i="71"/>
  <c r="AF10" i="70"/>
  <c r="C48" i="71"/>
  <c r="K13" i="74"/>
  <c r="J13" i="74"/>
  <c r="G22" i="68"/>
  <c r="J7" i="66"/>
  <c r="L8" i="112"/>
  <c r="E38" i="62"/>
  <c r="I9" i="67"/>
  <c r="Z25" i="57"/>
  <c r="AH21" i="57"/>
  <c r="AH31" i="57" s="1"/>
  <c r="AL19" i="57"/>
  <c r="AL23" i="57"/>
  <c r="I23" i="67" s="1"/>
  <c r="V47" i="55"/>
  <c r="N37" i="55"/>
  <c r="V37" i="55"/>
  <c r="R18" i="55"/>
  <c r="R21" i="55"/>
  <c r="R47" i="55"/>
  <c r="R37" i="55"/>
  <c r="N41" i="55"/>
  <c r="J41" i="55"/>
  <c r="N14" i="55"/>
  <c r="N21" i="55"/>
  <c r="N47" i="55"/>
  <c r="J21" i="55"/>
  <c r="J18" i="55"/>
  <c r="J37" i="55"/>
  <c r="J47" i="55"/>
  <c r="F41" i="55"/>
  <c r="F47" i="55"/>
  <c r="F14" i="55"/>
  <c r="F31" i="55"/>
  <c r="F21" i="55"/>
  <c r="F37" i="55"/>
  <c r="AD21" i="57"/>
  <c r="AD31" i="57" s="1"/>
  <c r="AD11" i="57"/>
  <c r="AD15" i="57" s="1"/>
  <c r="AH15" i="57"/>
  <c r="V21" i="57"/>
  <c r="Z11" i="57"/>
  <c r="Z15" i="57" s="1"/>
  <c r="V25" i="57"/>
  <c r="AL29" i="57"/>
  <c r="I29" i="67" s="1"/>
  <c r="R21" i="57"/>
  <c r="AL17" i="57"/>
  <c r="I19" i="67" s="1"/>
  <c r="R25" i="57"/>
  <c r="V11" i="57"/>
  <c r="V15" i="57" s="1"/>
  <c r="AL24" i="57"/>
  <c r="I24" i="67" s="1"/>
  <c r="Z21" i="57"/>
  <c r="AL30" i="57"/>
  <c r="I30" i="67" s="1"/>
  <c r="AL18" i="57"/>
  <c r="I18" i="67" s="1"/>
  <c r="AL26" i="57"/>
  <c r="I26" i="67" s="1"/>
  <c r="AL20" i="57"/>
  <c r="I20" i="67" s="1"/>
  <c r="AL13" i="57"/>
  <c r="I14" i="67" s="1"/>
  <c r="AL14" i="57"/>
  <c r="I15" i="67" s="1"/>
  <c r="AL12" i="57"/>
  <c r="I13" i="67" s="1"/>
  <c r="AL9" i="57"/>
  <c r="I10" i="67" s="1"/>
  <c r="AL10" i="57"/>
  <c r="I11" i="67" s="1"/>
  <c r="AL27" i="57"/>
  <c r="I27" i="67" s="1"/>
  <c r="AL28" i="57"/>
  <c r="I28" i="67" s="1"/>
  <c r="AL16" i="57"/>
  <c r="I17" i="67" s="1"/>
  <c r="R11" i="57"/>
  <c r="AL22" i="57"/>
  <c r="I22" i="67" s="1"/>
  <c r="H8" i="49"/>
  <c r="N8" i="49" s="1"/>
  <c r="I8" i="49"/>
  <c r="O8" i="49" s="1"/>
  <c r="J8" i="49"/>
  <c r="K8" i="49"/>
  <c r="P8" i="49"/>
  <c r="Q8" i="49"/>
  <c r="W40" i="46"/>
  <c r="U40" i="46"/>
  <c r="S40" i="46"/>
  <c r="Q40" i="46"/>
  <c r="W39" i="46"/>
  <c r="U39" i="46"/>
  <c r="S39" i="46"/>
  <c r="Q39" i="46"/>
  <c r="W38" i="46"/>
  <c r="U38" i="46"/>
  <c r="S38" i="46"/>
  <c r="Q38" i="46"/>
  <c r="W36" i="46"/>
  <c r="U36" i="46"/>
  <c r="S36" i="46"/>
  <c r="Q36" i="46"/>
  <c r="W35" i="46"/>
  <c r="U35" i="46"/>
  <c r="S35" i="46"/>
  <c r="Q35" i="46"/>
  <c r="W34" i="46"/>
  <c r="U34" i="46"/>
  <c r="S34" i="46"/>
  <c r="Q34" i="46"/>
  <c r="W32" i="46"/>
  <c r="U32" i="46"/>
  <c r="S32" i="46"/>
  <c r="Q32" i="46"/>
  <c r="W31" i="46"/>
  <c r="U31" i="46"/>
  <c r="S31" i="46"/>
  <c r="Q31" i="46"/>
  <c r="W29" i="46"/>
  <c r="U29" i="46"/>
  <c r="S29" i="46"/>
  <c r="Q29" i="46"/>
  <c r="W28" i="46"/>
  <c r="U28" i="46"/>
  <c r="S28" i="46"/>
  <c r="Q28" i="46"/>
  <c r="W27" i="46"/>
  <c r="U27" i="46"/>
  <c r="S27" i="46"/>
  <c r="Q27" i="46"/>
  <c r="W26" i="46"/>
  <c r="U26" i="46"/>
  <c r="S26" i="46"/>
  <c r="Q26" i="46"/>
  <c r="R20" i="47"/>
  <c r="S20" i="47"/>
  <c r="R13" i="47"/>
  <c r="I12" i="47" s="1"/>
  <c r="R12" i="47"/>
  <c r="R11" i="47"/>
  <c r="R6" i="47"/>
  <c r="R5" i="47"/>
  <c r="R4" i="47"/>
  <c r="S10" i="47"/>
  <c r="S4" i="47"/>
  <c r="S5" i="47"/>
  <c r="S6" i="47"/>
  <c r="S11" i="47"/>
  <c r="S12" i="47"/>
  <c r="S13" i="47"/>
  <c r="K12" i="47" s="1"/>
  <c r="N20" i="47"/>
  <c r="O20" i="47"/>
  <c r="P20" i="47"/>
  <c r="Q20" i="47"/>
  <c r="AD21" i="55" l="1"/>
  <c r="AG10" i="70"/>
  <c r="F31" i="57"/>
  <c r="F32" i="57" s="1"/>
  <c r="Z23" i="55"/>
  <c r="J32" i="57"/>
  <c r="W30" i="46"/>
  <c r="Y28" i="46"/>
  <c r="R22" i="47"/>
  <c r="I11" i="47" s="1"/>
  <c r="Y32" i="46"/>
  <c r="Y40" i="46"/>
  <c r="N7" i="56"/>
  <c r="R7" i="57" s="1"/>
  <c r="V48" i="55"/>
  <c r="V49" i="55" s="1"/>
  <c r="V23" i="55"/>
  <c r="AD18" i="55"/>
  <c r="Z48" i="55"/>
  <c r="J23" i="55"/>
  <c r="AD41" i="55"/>
  <c r="AD14" i="55"/>
  <c r="AD31" i="55"/>
  <c r="R23" i="55"/>
  <c r="R7" i="56"/>
  <c r="V7" i="57" s="1"/>
  <c r="AD37" i="55"/>
  <c r="R48" i="55"/>
  <c r="F23" i="55"/>
  <c r="N48" i="55"/>
  <c r="J48" i="55"/>
  <c r="I25" i="67"/>
  <c r="Y29" i="46"/>
  <c r="I21" i="67"/>
  <c r="I12" i="67"/>
  <c r="I16" i="67" s="1"/>
  <c r="Z31" i="57"/>
  <c r="Z32" i="57" s="1"/>
  <c r="AD32" i="57"/>
  <c r="AH32" i="57"/>
  <c r="N23" i="55"/>
  <c r="F48" i="55"/>
  <c r="R31" i="57"/>
  <c r="AL25" i="57"/>
  <c r="V31" i="57"/>
  <c r="V32" i="57" s="1"/>
  <c r="AL21" i="57"/>
  <c r="R15" i="57"/>
  <c r="AL11" i="57"/>
  <c r="AL15" i="57" s="1"/>
  <c r="S22" i="47"/>
  <c r="K11" i="47" s="1"/>
  <c r="Y36" i="46"/>
  <c r="Q33" i="46"/>
  <c r="S33" i="46"/>
  <c r="S37" i="46"/>
  <c r="Q25" i="46"/>
  <c r="U25" i="46"/>
  <c r="U33" i="46"/>
  <c r="U37" i="46"/>
  <c r="H12" i="47" s="1"/>
  <c r="R21" i="47"/>
  <c r="I10" i="47" s="1"/>
  <c r="W25" i="46"/>
  <c r="W33" i="46"/>
  <c r="Y31" i="46"/>
  <c r="Y35" i="46"/>
  <c r="S30" i="46"/>
  <c r="S14" i="47"/>
  <c r="H11" i="47"/>
  <c r="Y39" i="46"/>
  <c r="S21" i="47"/>
  <c r="K10" i="47" s="1"/>
  <c r="R23" i="47"/>
  <c r="S7" i="47"/>
  <c r="R7" i="47"/>
  <c r="S25" i="46"/>
  <c r="R14" i="47"/>
  <c r="S23" i="47"/>
  <c r="Y38" i="46"/>
  <c r="Y26" i="46"/>
  <c r="U30" i="46"/>
  <c r="Q37" i="46"/>
  <c r="H10" i="47" s="1"/>
  <c r="Y27" i="46"/>
  <c r="W37" i="46"/>
  <c r="Q30" i="46"/>
  <c r="Y34" i="46"/>
  <c r="S24" i="47" l="1"/>
  <c r="K14" i="47" s="1"/>
  <c r="Y30" i="46"/>
  <c r="R24" i="47"/>
  <c r="I14" i="47" s="1"/>
  <c r="V7" i="56"/>
  <c r="Z7" i="57" s="1"/>
  <c r="AL7" i="57" s="1"/>
  <c r="N7" i="57"/>
  <c r="Z49" i="55"/>
  <c r="N49" i="55"/>
  <c r="J49" i="55"/>
  <c r="AD23" i="55"/>
  <c r="AD48" i="55"/>
  <c r="R49" i="55"/>
  <c r="F49" i="55"/>
  <c r="I31" i="67"/>
  <c r="I32" i="67" s="1"/>
  <c r="AL31" i="57"/>
  <c r="AL32" i="57" s="1"/>
  <c r="R32" i="57"/>
  <c r="Y33" i="46"/>
  <c r="Y37" i="46"/>
  <c r="H14" i="47" s="1"/>
  <c r="Y25" i="46"/>
  <c r="AD7" i="57" l="1"/>
  <c r="AH7" i="57" s="1"/>
  <c r="AD49" i="55"/>
  <c r="E8" i="58"/>
  <c r="G10" i="44"/>
  <c r="J10" i="44" s="1"/>
  <c r="P10" i="44" s="1"/>
  <c r="F10" i="44"/>
  <c r="I10" i="44" s="1"/>
  <c r="L10" i="44" s="1"/>
  <c r="M10" i="44" l="1"/>
  <c r="S10" i="44" s="1"/>
  <c r="V10" i="44" s="1"/>
  <c r="Y10" i="44" s="1"/>
  <c r="I8" i="58"/>
  <c r="E8" i="59"/>
  <c r="E8" i="60" s="1"/>
  <c r="E8" i="61" s="1"/>
  <c r="E8" i="62" s="1"/>
  <c r="R10" i="44"/>
  <c r="U10" i="44" s="1"/>
  <c r="X10" i="44" s="1"/>
  <c r="O10" i="44"/>
  <c r="M8" i="58" l="1"/>
  <c r="I8" i="59"/>
  <c r="I8" i="60" s="1"/>
  <c r="I8" i="61" s="1"/>
  <c r="I8" i="62" s="1"/>
  <c r="C61" i="40"/>
  <c r="D61" i="40"/>
  <c r="E61" i="40"/>
  <c r="F61" i="40"/>
  <c r="G61" i="40"/>
  <c r="H61" i="40"/>
  <c r="I61" i="40"/>
  <c r="J61" i="40"/>
  <c r="K61" i="40"/>
  <c r="L61" i="40"/>
  <c r="M61" i="40"/>
  <c r="N61" i="40"/>
  <c r="O61" i="40"/>
  <c r="P61" i="40"/>
  <c r="Q61" i="40"/>
  <c r="R61" i="40"/>
  <c r="S61" i="40"/>
  <c r="T60" i="40"/>
  <c r="C11" i="40"/>
  <c r="D11" i="40"/>
  <c r="E11" i="40"/>
  <c r="F11" i="40"/>
  <c r="G11" i="40"/>
  <c r="H11" i="40"/>
  <c r="I11" i="40"/>
  <c r="J11" i="40"/>
  <c r="K11" i="40"/>
  <c r="L11" i="40"/>
  <c r="M11" i="40"/>
  <c r="N11" i="40"/>
  <c r="O11" i="40"/>
  <c r="P11" i="40"/>
  <c r="Q11" i="40"/>
  <c r="R11" i="40"/>
  <c r="S11" i="40"/>
  <c r="C12" i="40"/>
  <c r="D12" i="40"/>
  <c r="E12" i="40"/>
  <c r="F12" i="40"/>
  <c r="G12" i="40"/>
  <c r="H12" i="40"/>
  <c r="I12" i="40"/>
  <c r="J12" i="40"/>
  <c r="K12" i="40"/>
  <c r="L12" i="40"/>
  <c r="M12" i="40"/>
  <c r="N12" i="40"/>
  <c r="O12" i="40"/>
  <c r="P12" i="40"/>
  <c r="Q12" i="40"/>
  <c r="R12" i="40"/>
  <c r="S12" i="40"/>
  <c r="C13" i="40"/>
  <c r="D13" i="40"/>
  <c r="E13" i="40"/>
  <c r="F13" i="40"/>
  <c r="G13" i="40"/>
  <c r="H13" i="40"/>
  <c r="I13" i="40"/>
  <c r="J13" i="40"/>
  <c r="K13" i="40"/>
  <c r="L13" i="40"/>
  <c r="M13" i="40"/>
  <c r="N13" i="40"/>
  <c r="O13" i="40"/>
  <c r="P13" i="40"/>
  <c r="Q13" i="40"/>
  <c r="R13" i="40"/>
  <c r="S13" i="40"/>
  <c r="C14" i="40"/>
  <c r="D14" i="40"/>
  <c r="E14" i="40"/>
  <c r="F14" i="40"/>
  <c r="G14" i="40"/>
  <c r="H14" i="40"/>
  <c r="I14" i="40"/>
  <c r="J14" i="40"/>
  <c r="K14" i="40"/>
  <c r="L14" i="40"/>
  <c r="M14" i="40"/>
  <c r="N14" i="40"/>
  <c r="O14" i="40"/>
  <c r="P14" i="40"/>
  <c r="Q14" i="40"/>
  <c r="R14" i="40"/>
  <c r="S14" i="40"/>
  <c r="C15" i="40"/>
  <c r="D15" i="40"/>
  <c r="E15" i="40"/>
  <c r="F15" i="40"/>
  <c r="G15" i="40"/>
  <c r="H15" i="40"/>
  <c r="I15" i="40"/>
  <c r="J15" i="40"/>
  <c r="K15" i="40"/>
  <c r="L15" i="40"/>
  <c r="M15" i="40"/>
  <c r="N15" i="40"/>
  <c r="O15" i="40"/>
  <c r="P15" i="40"/>
  <c r="Q15" i="40"/>
  <c r="R15" i="40"/>
  <c r="S15" i="40"/>
  <c r="C16" i="40"/>
  <c r="D16" i="40"/>
  <c r="E16" i="40"/>
  <c r="F16" i="40"/>
  <c r="G16" i="40"/>
  <c r="H16" i="40"/>
  <c r="I16" i="40"/>
  <c r="J16" i="40"/>
  <c r="K16" i="40"/>
  <c r="L16" i="40"/>
  <c r="M16" i="40"/>
  <c r="N16" i="40"/>
  <c r="O16" i="40"/>
  <c r="P16" i="40"/>
  <c r="Q16" i="40"/>
  <c r="R16" i="40"/>
  <c r="S16" i="40"/>
  <c r="C17" i="40"/>
  <c r="D17" i="40"/>
  <c r="E17" i="40"/>
  <c r="F17" i="40"/>
  <c r="G17" i="40"/>
  <c r="H17" i="40"/>
  <c r="I17" i="40"/>
  <c r="J17" i="40"/>
  <c r="K17" i="40"/>
  <c r="L17" i="40"/>
  <c r="M17" i="40"/>
  <c r="N17" i="40"/>
  <c r="O17" i="40"/>
  <c r="P17" i="40"/>
  <c r="Q17" i="40"/>
  <c r="R17" i="40"/>
  <c r="S17" i="40"/>
  <c r="C18" i="40"/>
  <c r="D18" i="40"/>
  <c r="E18" i="40"/>
  <c r="F18" i="40"/>
  <c r="G18" i="40"/>
  <c r="H18" i="40"/>
  <c r="I18" i="40"/>
  <c r="J18" i="40"/>
  <c r="K18" i="40"/>
  <c r="L18" i="40"/>
  <c r="M18" i="40"/>
  <c r="N18" i="40"/>
  <c r="O18" i="40"/>
  <c r="P18" i="40"/>
  <c r="Q18" i="40"/>
  <c r="R18" i="40"/>
  <c r="S18" i="40"/>
  <c r="C19" i="40"/>
  <c r="D19" i="40"/>
  <c r="E19" i="40"/>
  <c r="F19" i="40"/>
  <c r="G19" i="40"/>
  <c r="H19" i="40"/>
  <c r="I19" i="40"/>
  <c r="J19" i="40"/>
  <c r="K19" i="40"/>
  <c r="L19" i="40"/>
  <c r="M19" i="40"/>
  <c r="N19" i="40"/>
  <c r="O19" i="40"/>
  <c r="P19" i="40"/>
  <c r="Q19" i="40"/>
  <c r="R19" i="40"/>
  <c r="S19" i="40"/>
  <c r="C20" i="40"/>
  <c r="D20" i="40"/>
  <c r="E20" i="40"/>
  <c r="F20" i="40"/>
  <c r="G20" i="40"/>
  <c r="H20" i="40"/>
  <c r="I20" i="40"/>
  <c r="J20" i="40"/>
  <c r="K20" i="40"/>
  <c r="L20" i="40"/>
  <c r="M20" i="40"/>
  <c r="N20" i="40"/>
  <c r="O20" i="40"/>
  <c r="P20" i="40"/>
  <c r="Q20" i="40"/>
  <c r="R20" i="40"/>
  <c r="S20" i="40"/>
  <c r="C21" i="40"/>
  <c r="D21" i="40"/>
  <c r="E21" i="40"/>
  <c r="F21" i="40"/>
  <c r="G21" i="40"/>
  <c r="H21" i="40"/>
  <c r="I21" i="40"/>
  <c r="J21" i="40"/>
  <c r="K21" i="40"/>
  <c r="L21" i="40"/>
  <c r="M21" i="40"/>
  <c r="N21" i="40"/>
  <c r="O21" i="40"/>
  <c r="P21" i="40"/>
  <c r="Q21" i="40"/>
  <c r="R21" i="40"/>
  <c r="S21" i="40"/>
  <c r="C22" i="40"/>
  <c r="D22" i="40"/>
  <c r="E22" i="40"/>
  <c r="F22" i="40"/>
  <c r="G22" i="40"/>
  <c r="H22" i="40"/>
  <c r="I22" i="40"/>
  <c r="J22" i="40"/>
  <c r="K22" i="40"/>
  <c r="L22" i="40"/>
  <c r="M22" i="40"/>
  <c r="N22" i="40"/>
  <c r="O22" i="40"/>
  <c r="P22" i="40"/>
  <c r="Q22" i="40"/>
  <c r="R22" i="40"/>
  <c r="S22" i="40"/>
  <c r="C23" i="40"/>
  <c r="D23" i="40"/>
  <c r="E23" i="40"/>
  <c r="F23" i="40"/>
  <c r="G23" i="40"/>
  <c r="H23" i="40"/>
  <c r="I23" i="40"/>
  <c r="J23" i="40"/>
  <c r="K23" i="40"/>
  <c r="L23" i="40"/>
  <c r="M23" i="40"/>
  <c r="N23" i="40"/>
  <c r="O23" i="40"/>
  <c r="P23" i="40"/>
  <c r="Q23" i="40"/>
  <c r="R23" i="40"/>
  <c r="S23" i="40"/>
  <c r="C24" i="40"/>
  <c r="D24" i="40"/>
  <c r="E24" i="40"/>
  <c r="F24" i="40"/>
  <c r="G24" i="40"/>
  <c r="H24" i="40"/>
  <c r="I24" i="40"/>
  <c r="J24" i="40"/>
  <c r="K24" i="40"/>
  <c r="L24" i="40"/>
  <c r="M24" i="40"/>
  <c r="N24" i="40"/>
  <c r="O24" i="40"/>
  <c r="P24" i="40"/>
  <c r="Q24" i="40"/>
  <c r="R24" i="40"/>
  <c r="S24" i="40"/>
  <c r="C10" i="40"/>
  <c r="K24" i="106"/>
  <c r="K30" i="106"/>
  <c r="T24" i="40" l="1"/>
  <c r="Q8" i="58"/>
  <c r="M8" i="59"/>
  <c r="M8" i="60" s="1"/>
  <c r="M8" i="61" s="1"/>
  <c r="M8" i="62" s="1"/>
  <c r="C20" i="38"/>
  <c r="E20" i="38"/>
  <c r="C20" i="37"/>
  <c r="E20" i="37"/>
  <c r="F20" i="37"/>
  <c r="H20" i="37"/>
  <c r="R20" i="37"/>
  <c r="B20" i="36"/>
  <c r="C20" i="36"/>
  <c r="D20" i="36"/>
  <c r="E20" i="36" s="1"/>
  <c r="J20" i="36"/>
  <c r="L20" i="36"/>
  <c r="N20" i="36"/>
  <c r="P20" i="36"/>
  <c r="T20" i="36"/>
  <c r="V20" i="36"/>
  <c r="X20" i="36"/>
  <c r="Z20" i="36"/>
  <c r="AB20" i="36"/>
  <c r="AD20" i="36"/>
  <c r="R20" i="36" l="1"/>
  <c r="F20" i="36"/>
  <c r="AG8" i="58"/>
  <c r="AG8" i="59" s="1"/>
  <c r="AG8" i="60" s="1"/>
  <c r="AG8" i="61" s="1"/>
  <c r="AG8" i="62" s="1"/>
  <c r="Q8" i="59"/>
  <c r="U8" i="58"/>
  <c r="Y8" i="58" s="1"/>
  <c r="AC8" i="58" s="1"/>
  <c r="R19" i="38"/>
  <c r="H20" i="36"/>
  <c r="E19" i="35"/>
  <c r="E20" i="35"/>
  <c r="C19" i="35"/>
  <c r="C20" i="35"/>
  <c r="F20" i="35"/>
  <c r="H20" i="35"/>
  <c r="R20" i="35"/>
  <c r="E19" i="34"/>
  <c r="E20" i="34"/>
  <c r="C19" i="34"/>
  <c r="C20" i="34"/>
  <c r="R20" i="34"/>
  <c r="F20" i="34"/>
  <c r="H20" i="34"/>
  <c r="B64" i="110"/>
  <c r="B63" i="110"/>
  <c r="B62" i="110"/>
  <c r="B61" i="110"/>
  <c r="B60" i="110"/>
  <c r="B59" i="110"/>
  <c r="B58" i="110"/>
  <c r="B57" i="110"/>
  <c r="B56" i="110"/>
  <c r="B55" i="110"/>
  <c r="B54" i="110"/>
  <c r="B53" i="110"/>
  <c r="B52" i="110"/>
  <c r="B51" i="110"/>
  <c r="B50" i="110"/>
  <c r="B49" i="110"/>
  <c r="B48" i="110"/>
  <c r="B47" i="110"/>
  <c r="B46" i="110"/>
  <c r="B45" i="110"/>
  <c r="B44" i="110"/>
  <c r="B43" i="110"/>
  <c r="B42" i="110"/>
  <c r="B41" i="110"/>
  <c r="B40" i="110"/>
  <c r="B39" i="110"/>
  <c r="B38" i="110"/>
  <c r="B37" i="110"/>
  <c r="B36" i="110"/>
  <c r="B35" i="110"/>
  <c r="B34" i="110"/>
  <c r="B33" i="110"/>
  <c r="B32" i="110"/>
  <c r="B31" i="110"/>
  <c r="B30" i="110"/>
  <c r="B29" i="110"/>
  <c r="B28" i="110"/>
  <c r="B27" i="110"/>
  <c r="B26" i="110"/>
  <c r="B25" i="110"/>
  <c r="B24" i="110"/>
  <c r="B23" i="110"/>
  <c r="B22" i="110"/>
  <c r="B21" i="110"/>
  <c r="B20" i="110"/>
  <c r="B19" i="110"/>
  <c r="B18" i="110"/>
  <c r="B17" i="110"/>
  <c r="B16" i="110"/>
  <c r="B15" i="110"/>
  <c r="B14" i="110"/>
  <c r="B13" i="110"/>
  <c r="B12" i="110"/>
  <c r="B11" i="110"/>
  <c r="B10" i="110"/>
  <c r="B9" i="110"/>
  <c r="B8" i="110"/>
  <c r="B7" i="110"/>
  <c r="B6" i="110"/>
  <c r="B5" i="110"/>
  <c r="E19" i="33"/>
  <c r="E20" i="33"/>
  <c r="C19" i="33"/>
  <c r="C20" i="33"/>
  <c r="P14" i="14"/>
  <c r="P13" i="14"/>
  <c r="P12" i="14"/>
  <c r="P11" i="14"/>
  <c r="P10" i="14"/>
  <c r="P9" i="14"/>
  <c r="P8" i="14"/>
  <c r="P7" i="14"/>
  <c r="U8" i="59" l="1"/>
  <c r="Q8" i="60"/>
  <c r="Q8" i="61" s="1"/>
  <c r="W19" i="48"/>
  <c r="V19" i="48"/>
  <c r="U19" i="48"/>
  <c r="T19" i="48"/>
  <c r="S19" i="48"/>
  <c r="R19" i="48"/>
  <c r="Q19" i="48"/>
  <c r="P19" i="48"/>
  <c r="O19" i="48"/>
  <c r="N19" i="48"/>
  <c r="M19" i="48"/>
  <c r="L19" i="48"/>
  <c r="I19" i="48"/>
  <c r="H19" i="48"/>
  <c r="G19" i="48"/>
  <c r="F19" i="48"/>
  <c r="E19" i="48"/>
  <c r="D19" i="48"/>
  <c r="C19" i="48"/>
  <c r="B19" i="48"/>
  <c r="W18" i="48"/>
  <c r="V18" i="48"/>
  <c r="U18" i="48"/>
  <c r="T18" i="48"/>
  <c r="S18" i="48"/>
  <c r="R18" i="48"/>
  <c r="Q18" i="48"/>
  <c r="P18" i="48"/>
  <c r="O18" i="48"/>
  <c r="N18" i="48"/>
  <c r="M18" i="48"/>
  <c r="L18" i="48"/>
  <c r="I18" i="48"/>
  <c r="H18" i="48"/>
  <c r="G18" i="48"/>
  <c r="F18" i="48"/>
  <c r="E18" i="48"/>
  <c r="D18" i="48"/>
  <c r="C18" i="48"/>
  <c r="B18" i="48"/>
  <c r="W17" i="48"/>
  <c r="V17" i="48"/>
  <c r="U17" i="48"/>
  <c r="T17" i="48"/>
  <c r="S17" i="48"/>
  <c r="R17" i="48"/>
  <c r="Q17" i="48"/>
  <c r="P17" i="48"/>
  <c r="O17" i="48"/>
  <c r="N17" i="48"/>
  <c r="M17" i="48"/>
  <c r="L17" i="48"/>
  <c r="I17" i="48"/>
  <c r="H17" i="48"/>
  <c r="G17" i="48"/>
  <c r="F17" i="48"/>
  <c r="E17" i="48"/>
  <c r="D17" i="48"/>
  <c r="C17" i="48"/>
  <c r="B17" i="48"/>
  <c r="W15" i="48"/>
  <c r="V15" i="48"/>
  <c r="U15" i="48"/>
  <c r="T15" i="48"/>
  <c r="S15" i="48"/>
  <c r="R15" i="48"/>
  <c r="Q15" i="48"/>
  <c r="P15" i="48"/>
  <c r="O15" i="48"/>
  <c r="N15" i="48"/>
  <c r="M15" i="48"/>
  <c r="L15" i="48"/>
  <c r="I15" i="48"/>
  <c r="H15" i="48"/>
  <c r="G15" i="48"/>
  <c r="F15" i="48"/>
  <c r="E15" i="48"/>
  <c r="D15" i="48"/>
  <c r="C15" i="48"/>
  <c r="B15" i="48"/>
  <c r="W14" i="48"/>
  <c r="V14" i="48"/>
  <c r="U14" i="48"/>
  <c r="T14" i="48"/>
  <c r="S14" i="48"/>
  <c r="R14" i="48"/>
  <c r="Q14" i="48"/>
  <c r="P14" i="48"/>
  <c r="O14" i="48"/>
  <c r="N14" i="48"/>
  <c r="M14" i="48"/>
  <c r="L14" i="48"/>
  <c r="I14" i="48"/>
  <c r="H14" i="48"/>
  <c r="G14" i="48"/>
  <c r="F14" i="48"/>
  <c r="E14" i="48"/>
  <c r="D14" i="48"/>
  <c r="C14" i="48"/>
  <c r="B14" i="48"/>
  <c r="W13" i="48"/>
  <c r="V13" i="48"/>
  <c r="U13" i="48"/>
  <c r="T13" i="48"/>
  <c r="S13" i="48"/>
  <c r="R13" i="48"/>
  <c r="Q13" i="48"/>
  <c r="P13" i="48"/>
  <c r="O13" i="48"/>
  <c r="N13" i="48"/>
  <c r="M13" i="48"/>
  <c r="L13" i="48"/>
  <c r="I13" i="48"/>
  <c r="H13" i="48"/>
  <c r="G13" i="48"/>
  <c r="F13" i="48"/>
  <c r="E13" i="48"/>
  <c r="D13" i="48"/>
  <c r="C13" i="48"/>
  <c r="B13" i="48"/>
  <c r="W12" i="48"/>
  <c r="V12" i="48"/>
  <c r="U12" i="48"/>
  <c r="T12" i="48"/>
  <c r="S12" i="48"/>
  <c r="R12" i="48"/>
  <c r="Q12" i="48"/>
  <c r="P12" i="48"/>
  <c r="O12" i="48"/>
  <c r="N12" i="48"/>
  <c r="M12" i="48"/>
  <c r="L12" i="48"/>
  <c r="I12" i="48"/>
  <c r="H12" i="48"/>
  <c r="G12" i="48"/>
  <c r="F12" i="48"/>
  <c r="E12" i="48"/>
  <c r="D12" i="48"/>
  <c r="C12" i="48"/>
  <c r="B12" i="48"/>
  <c r="W11" i="48"/>
  <c r="V11" i="48"/>
  <c r="U11" i="48"/>
  <c r="T11" i="48"/>
  <c r="S11" i="48"/>
  <c r="R11" i="48"/>
  <c r="Q11" i="48"/>
  <c r="P11" i="48"/>
  <c r="O11" i="48"/>
  <c r="N11" i="48"/>
  <c r="M11" i="48"/>
  <c r="L11" i="48"/>
  <c r="I11" i="48"/>
  <c r="H11" i="48"/>
  <c r="G11" i="48"/>
  <c r="F11" i="48"/>
  <c r="E11" i="48"/>
  <c r="D11" i="48"/>
  <c r="C11" i="48"/>
  <c r="B11" i="48"/>
  <c r="J59" i="46"/>
  <c r="I59" i="46"/>
  <c r="H59" i="46"/>
  <c r="G59" i="46"/>
  <c r="F59" i="46"/>
  <c r="E59" i="46"/>
  <c r="D59" i="46"/>
  <c r="C59" i="46"/>
  <c r="J58" i="46"/>
  <c r="I58" i="46"/>
  <c r="H58" i="46"/>
  <c r="G58" i="46"/>
  <c r="F58" i="46"/>
  <c r="E58" i="46"/>
  <c r="D58" i="46"/>
  <c r="C58" i="46"/>
  <c r="J57" i="46"/>
  <c r="I57" i="46"/>
  <c r="H57" i="46"/>
  <c r="G57" i="46"/>
  <c r="F57" i="46"/>
  <c r="E57" i="46"/>
  <c r="D57" i="46"/>
  <c r="C57" i="46"/>
  <c r="J56" i="46"/>
  <c r="I56" i="46"/>
  <c r="H56" i="46"/>
  <c r="G56" i="46"/>
  <c r="F56" i="46"/>
  <c r="E56" i="46"/>
  <c r="D56" i="46"/>
  <c r="C56" i="46"/>
  <c r="J49" i="46"/>
  <c r="I49" i="46"/>
  <c r="H49" i="46"/>
  <c r="G49" i="46"/>
  <c r="F49" i="46"/>
  <c r="E49" i="46"/>
  <c r="D49" i="46"/>
  <c r="C49" i="46"/>
  <c r="J48" i="46"/>
  <c r="I48" i="46"/>
  <c r="H48" i="46"/>
  <c r="G48" i="46"/>
  <c r="F48" i="46"/>
  <c r="E48" i="46"/>
  <c r="D48" i="46"/>
  <c r="C48" i="46"/>
  <c r="J47" i="46"/>
  <c r="I47" i="46"/>
  <c r="H47" i="46"/>
  <c r="G47" i="46"/>
  <c r="F47" i="46"/>
  <c r="E47" i="46"/>
  <c r="D47" i="46"/>
  <c r="C47" i="46"/>
  <c r="J46" i="46"/>
  <c r="I46" i="46"/>
  <c r="H46" i="46"/>
  <c r="G46" i="46"/>
  <c r="F46" i="46"/>
  <c r="E46" i="46"/>
  <c r="D46" i="46"/>
  <c r="C46" i="46"/>
  <c r="I40" i="46"/>
  <c r="G40" i="46"/>
  <c r="E40" i="46"/>
  <c r="C40" i="46"/>
  <c r="I39" i="46"/>
  <c r="G39" i="46"/>
  <c r="E39" i="46"/>
  <c r="C39" i="46"/>
  <c r="I38" i="46"/>
  <c r="G38" i="46"/>
  <c r="E38" i="46"/>
  <c r="C38" i="46"/>
  <c r="I36" i="46"/>
  <c r="G36" i="46"/>
  <c r="E36" i="46"/>
  <c r="C36" i="46"/>
  <c r="I35" i="46"/>
  <c r="G35" i="46"/>
  <c r="E35" i="46"/>
  <c r="C35" i="46"/>
  <c r="I34" i="46"/>
  <c r="G34" i="46"/>
  <c r="E34" i="46"/>
  <c r="C34" i="46"/>
  <c r="I32" i="46"/>
  <c r="G32" i="46"/>
  <c r="E32" i="46"/>
  <c r="C32" i="46"/>
  <c r="I31" i="46"/>
  <c r="G31" i="46"/>
  <c r="E31" i="46"/>
  <c r="C31" i="46"/>
  <c r="I29" i="46"/>
  <c r="G29" i="46"/>
  <c r="E29" i="46"/>
  <c r="C29" i="46"/>
  <c r="I28" i="46"/>
  <c r="G28" i="46"/>
  <c r="E28" i="46"/>
  <c r="C28" i="46"/>
  <c r="I27" i="46"/>
  <c r="G27" i="46"/>
  <c r="E27" i="46"/>
  <c r="C27" i="46"/>
  <c r="I26" i="46"/>
  <c r="G26" i="46"/>
  <c r="E26" i="46"/>
  <c r="C26" i="46"/>
  <c r="J19" i="46"/>
  <c r="I19" i="46"/>
  <c r="H19" i="46"/>
  <c r="G19" i="46"/>
  <c r="F19" i="46"/>
  <c r="E19" i="46"/>
  <c r="D19" i="46"/>
  <c r="C19" i="46"/>
  <c r="J18" i="46"/>
  <c r="I18" i="46"/>
  <c r="H18" i="46"/>
  <c r="G18" i="46"/>
  <c r="F18" i="46"/>
  <c r="E18" i="46"/>
  <c r="D18" i="46"/>
  <c r="C18" i="46"/>
  <c r="J17" i="46"/>
  <c r="I17" i="46"/>
  <c r="H17" i="46"/>
  <c r="G17" i="46"/>
  <c r="F17" i="46"/>
  <c r="E17" i="46"/>
  <c r="D17" i="46"/>
  <c r="C17" i="46"/>
  <c r="J16" i="46"/>
  <c r="I16" i="46"/>
  <c r="H16" i="46"/>
  <c r="G16" i="46"/>
  <c r="F16" i="46"/>
  <c r="E16" i="46"/>
  <c r="D16" i="46"/>
  <c r="C16" i="46"/>
  <c r="J15" i="46"/>
  <c r="I15" i="46"/>
  <c r="H15" i="46"/>
  <c r="G15" i="46"/>
  <c r="F15" i="46"/>
  <c r="E15" i="46"/>
  <c r="D15" i="46"/>
  <c r="C15" i="46"/>
  <c r="J14" i="46"/>
  <c r="I14" i="46"/>
  <c r="H14" i="46"/>
  <c r="G14" i="46"/>
  <c r="F14" i="46"/>
  <c r="E14" i="46"/>
  <c r="D14" i="46"/>
  <c r="C14" i="46"/>
  <c r="J13" i="46"/>
  <c r="I13" i="46"/>
  <c r="H13" i="46"/>
  <c r="G13" i="46"/>
  <c r="F13" i="46"/>
  <c r="E13" i="46"/>
  <c r="D13" i="46"/>
  <c r="C13" i="46"/>
  <c r="J12" i="46"/>
  <c r="I12" i="46"/>
  <c r="H12" i="46"/>
  <c r="G12" i="46"/>
  <c r="F12" i="46"/>
  <c r="E12" i="46"/>
  <c r="D12" i="46"/>
  <c r="C12" i="46"/>
  <c r="J11" i="46"/>
  <c r="I11" i="46"/>
  <c r="H11" i="46"/>
  <c r="G11" i="46"/>
  <c r="F11" i="46"/>
  <c r="E11" i="46"/>
  <c r="D11" i="46"/>
  <c r="C11" i="46"/>
  <c r="F20" i="33"/>
  <c r="H20" i="33"/>
  <c r="R20" i="33"/>
  <c r="B20" i="32"/>
  <c r="C20" i="32" s="1"/>
  <c r="D20" i="32"/>
  <c r="E20" i="32" s="1"/>
  <c r="J20" i="32"/>
  <c r="L20" i="32"/>
  <c r="N20" i="32"/>
  <c r="P20" i="32"/>
  <c r="T20" i="32"/>
  <c r="V20" i="32"/>
  <c r="X20" i="32"/>
  <c r="Z20" i="32"/>
  <c r="AB20" i="32"/>
  <c r="AD20" i="32"/>
  <c r="Y8" i="59" l="1"/>
  <c r="AC8" i="59" s="1"/>
  <c r="U8" i="60"/>
  <c r="Y8" i="60" s="1"/>
  <c r="AC8" i="60" s="1"/>
  <c r="U8" i="61"/>
  <c r="Y8" i="61" s="1"/>
  <c r="AC8" i="61" s="1"/>
  <c r="Q8" i="62"/>
  <c r="U8" i="62" s="1"/>
  <c r="Y8" i="62" s="1"/>
  <c r="AC8" i="62" s="1"/>
  <c r="R20" i="32"/>
  <c r="H20" i="32"/>
  <c r="R20" i="31"/>
  <c r="F20" i="32" l="1"/>
  <c r="H20" i="31" l="1"/>
  <c r="E18" i="31"/>
  <c r="E19" i="31"/>
  <c r="E20" i="31"/>
  <c r="C18" i="31"/>
  <c r="C19" i="31"/>
  <c r="C20" i="31"/>
  <c r="A20" i="31"/>
  <c r="A20" i="32" s="1"/>
  <c r="A20" i="33" s="1"/>
  <c r="A20" i="34" s="1"/>
  <c r="A20" i="35" s="1"/>
  <c r="A20" i="36" s="1"/>
  <c r="A20" i="37" s="1"/>
  <c r="A20" i="38" s="1"/>
  <c r="F20" i="31" l="1"/>
  <c r="M22" i="120"/>
  <c r="L22" i="120"/>
  <c r="K22" i="120"/>
  <c r="J22" i="120"/>
  <c r="I22" i="120"/>
  <c r="H22" i="120"/>
  <c r="G22" i="120"/>
  <c r="F22" i="120"/>
  <c r="E22" i="120"/>
  <c r="D22" i="120"/>
  <c r="C22" i="120"/>
  <c r="N21" i="120"/>
  <c r="N20" i="120"/>
  <c r="N19" i="120"/>
  <c r="N18" i="120"/>
  <c r="N17" i="120"/>
  <c r="M16" i="120"/>
  <c r="L16" i="120"/>
  <c r="K16" i="120"/>
  <c r="J16" i="120"/>
  <c r="I16" i="120"/>
  <c r="H16" i="120"/>
  <c r="G16" i="120"/>
  <c r="F16" i="120"/>
  <c r="E16" i="120"/>
  <c r="D16" i="120"/>
  <c r="C16" i="120"/>
  <c r="N15" i="120"/>
  <c r="N14" i="120"/>
  <c r="N16" i="120" s="1"/>
  <c r="M13" i="120"/>
  <c r="L13" i="120"/>
  <c r="K13" i="120"/>
  <c r="J13" i="120"/>
  <c r="I13" i="120"/>
  <c r="H13" i="120"/>
  <c r="G13" i="120"/>
  <c r="F13" i="120"/>
  <c r="E13" i="120"/>
  <c r="D13" i="120"/>
  <c r="C13" i="120"/>
  <c r="N12" i="120"/>
  <c r="N11" i="120"/>
  <c r="N10" i="120"/>
  <c r="N9" i="120"/>
  <c r="N8" i="120"/>
  <c r="I23" i="120" l="1"/>
  <c r="E23" i="120"/>
  <c r="K23" i="120"/>
  <c r="F23" i="120"/>
  <c r="L23" i="120"/>
  <c r="G23" i="120"/>
  <c r="M23" i="120"/>
  <c r="H23" i="120"/>
  <c r="C23" i="120"/>
  <c r="N13" i="120"/>
  <c r="J23" i="120"/>
  <c r="N22" i="120"/>
  <c r="D23" i="120"/>
  <c r="M67" i="11"/>
  <c r="M56" i="11"/>
  <c r="M43" i="11"/>
  <c r="M29" i="11"/>
  <c r="M25" i="11"/>
  <c r="M17" i="11"/>
  <c r="M9" i="11"/>
  <c r="N23" i="120" l="1"/>
  <c r="M34" i="11"/>
  <c r="N34" i="11" s="1"/>
  <c r="N10" i="11"/>
  <c r="N13" i="11"/>
  <c r="N11" i="11"/>
  <c r="N15" i="11"/>
  <c r="N14" i="11"/>
  <c r="N12" i="11"/>
  <c r="N68" i="11"/>
  <c r="N67" i="11"/>
  <c r="N71" i="11"/>
  <c r="N70" i="11"/>
  <c r="N69" i="11"/>
  <c r="N30" i="11"/>
  <c r="N32" i="11"/>
  <c r="N31" i="11"/>
  <c r="N29" i="11"/>
  <c r="N53" i="11"/>
  <c r="N54" i="11"/>
  <c r="N46" i="11"/>
  <c r="N47" i="11"/>
  <c r="N45" i="11"/>
  <c r="N52" i="11"/>
  <c r="N44" i="11"/>
  <c r="M85" i="11"/>
  <c r="N43" i="11"/>
  <c r="N49" i="11"/>
  <c r="N48" i="11"/>
  <c r="N51" i="11"/>
  <c r="N50" i="11"/>
  <c r="N20" i="11"/>
  <c r="N21" i="11"/>
  <c r="N19" i="11"/>
  <c r="N23" i="11"/>
  <c r="N22" i="11"/>
  <c r="N18" i="11"/>
  <c r="N58" i="11"/>
  <c r="N59" i="11"/>
  <c r="N56" i="11"/>
  <c r="N57" i="11"/>
  <c r="N26" i="11"/>
  <c r="N27" i="11"/>
  <c r="N25" i="11"/>
  <c r="Q23" i="121"/>
  <c r="Q22" i="121"/>
  <c r="Q21" i="121"/>
  <c r="Q20" i="121"/>
  <c r="P19" i="121"/>
  <c r="O19" i="121"/>
  <c r="N19" i="121"/>
  <c r="M19" i="121"/>
  <c r="L19" i="121"/>
  <c r="K19" i="121"/>
  <c r="J19" i="121"/>
  <c r="I19" i="121"/>
  <c r="H19" i="121"/>
  <c r="G19" i="121"/>
  <c r="F19" i="121"/>
  <c r="E19" i="121"/>
  <c r="D19" i="121"/>
  <c r="C19" i="121"/>
  <c r="Q18" i="121"/>
  <c r="Q17" i="121"/>
  <c r="Q16" i="121"/>
  <c r="Q15" i="121"/>
  <c r="Q14" i="121"/>
  <c r="Q13" i="121"/>
  <c r="Q12" i="121"/>
  <c r="P11" i="121"/>
  <c r="O11" i="121"/>
  <c r="N11" i="121"/>
  <c r="M11" i="121"/>
  <c r="L11" i="121"/>
  <c r="K11" i="121"/>
  <c r="J11" i="121"/>
  <c r="J24" i="121" s="1"/>
  <c r="I11" i="121"/>
  <c r="I24" i="121" s="1"/>
  <c r="H11" i="121"/>
  <c r="G11" i="121"/>
  <c r="F11" i="121"/>
  <c r="E11" i="121"/>
  <c r="D11" i="121"/>
  <c r="C11" i="121"/>
  <c r="Q10" i="121"/>
  <c r="Q9" i="121"/>
  <c r="Q8" i="121"/>
  <c r="E24" i="121" l="1"/>
  <c r="F24" i="121"/>
  <c r="G24" i="121"/>
  <c r="H24" i="121"/>
  <c r="Q11" i="121"/>
  <c r="J69" i="11"/>
  <c r="I69" i="11"/>
  <c r="K69" i="11"/>
  <c r="H69" i="11"/>
  <c r="G69" i="11"/>
  <c r="F69" i="11"/>
  <c r="E69" i="11"/>
  <c r="D69" i="11"/>
  <c r="L69" i="11"/>
  <c r="D18" i="11"/>
  <c r="E18" i="11"/>
  <c r="L18" i="11"/>
  <c r="K18" i="11"/>
  <c r="J18" i="11"/>
  <c r="I18" i="11"/>
  <c r="H18" i="11"/>
  <c r="G18" i="11"/>
  <c r="F18" i="11"/>
  <c r="L44" i="11"/>
  <c r="K44" i="11"/>
  <c r="J44" i="11"/>
  <c r="I44" i="11"/>
  <c r="H44" i="11"/>
  <c r="G44" i="11"/>
  <c r="F44" i="11"/>
  <c r="E44" i="11"/>
  <c r="D44" i="11"/>
  <c r="L70" i="11"/>
  <c r="K70" i="11"/>
  <c r="J70" i="11"/>
  <c r="I70" i="11"/>
  <c r="H70" i="11"/>
  <c r="G70" i="11"/>
  <c r="F70" i="11"/>
  <c r="E70" i="11"/>
  <c r="D70" i="11"/>
  <c r="J47" i="11"/>
  <c r="I47" i="11"/>
  <c r="H47" i="11"/>
  <c r="G47" i="11"/>
  <c r="F47" i="11"/>
  <c r="E47" i="11"/>
  <c r="D47" i="11"/>
  <c r="L47" i="11"/>
  <c r="K47" i="11"/>
  <c r="L52" i="11"/>
  <c r="K52" i="11"/>
  <c r="J52" i="11"/>
  <c r="I52" i="11"/>
  <c r="H52" i="11"/>
  <c r="G52" i="11"/>
  <c r="F52" i="11"/>
  <c r="E52" i="11"/>
  <c r="D52" i="11"/>
  <c r="G23" i="11"/>
  <c r="F23" i="11"/>
  <c r="I23" i="11"/>
  <c r="E23" i="11"/>
  <c r="D23" i="11"/>
  <c r="H23" i="11"/>
  <c r="L23" i="11"/>
  <c r="K23" i="11"/>
  <c r="J23" i="11"/>
  <c r="G46" i="11"/>
  <c r="F46" i="11"/>
  <c r="E46" i="11"/>
  <c r="D46" i="11"/>
  <c r="H46" i="11"/>
  <c r="L46" i="11"/>
  <c r="K46" i="11"/>
  <c r="I46" i="11"/>
  <c r="J46" i="11"/>
  <c r="G54" i="11"/>
  <c r="F54" i="11"/>
  <c r="E54" i="11"/>
  <c r="D54" i="11"/>
  <c r="I54" i="11"/>
  <c r="L54" i="11"/>
  <c r="K54" i="11"/>
  <c r="H54" i="11"/>
  <c r="J54" i="11"/>
  <c r="L14" i="11"/>
  <c r="D14" i="11"/>
  <c r="J14" i="11"/>
  <c r="K14" i="11"/>
  <c r="E14" i="11"/>
  <c r="F14" i="11"/>
  <c r="G14" i="11"/>
  <c r="H14" i="11"/>
  <c r="I14" i="11"/>
  <c r="G68" i="11"/>
  <c r="F68" i="11"/>
  <c r="E68" i="11"/>
  <c r="D68" i="11"/>
  <c r="I68" i="11"/>
  <c r="H68" i="11"/>
  <c r="L68" i="11"/>
  <c r="K68" i="11"/>
  <c r="J68" i="11"/>
  <c r="Q19" i="121"/>
  <c r="Q24" i="121" s="1"/>
  <c r="L27" i="11"/>
  <c r="K27" i="11"/>
  <c r="J27" i="11"/>
  <c r="I27" i="11"/>
  <c r="H27" i="11"/>
  <c r="G27" i="11"/>
  <c r="F27" i="11"/>
  <c r="E27" i="11"/>
  <c r="D27" i="11"/>
  <c r="G50" i="11"/>
  <c r="F50" i="11"/>
  <c r="E50" i="11"/>
  <c r="D50" i="11"/>
  <c r="I50" i="11"/>
  <c r="L50" i="11"/>
  <c r="K50" i="11"/>
  <c r="J50" i="11"/>
  <c r="H50" i="11"/>
  <c r="D53" i="11"/>
  <c r="L53" i="11"/>
  <c r="K53" i="11"/>
  <c r="J53" i="11"/>
  <c r="E53" i="11"/>
  <c r="I53" i="11"/>
  <c r="H53" i="11"/>
  <c r="F53" i="11"/>
  <c r="G53" i="11"/>
  <c r="D15" i="11"/>
  <c r="E15" i="11"/>
  <c r="F15" i="11"/>
  <c r="G15" i="11"/>
  <c r="H15" i="11"/>
  <c r="I15" i="11"/>
  <c r="J15" i="11"/>
  <c r="K15" i="11"/>
  <c r="L15" i="11"/>
  <c r="L58" i="11"/>
  <c r="K58" i="11"/>
  <c r="J58" i="11"/>
  <c r="I58" i="11"/>
  <c r="H58" i="11"/>
  <c r="G58" i="11"/>
  <c r="F58" i="11"/>
  <c r="E58" i="11"/>
  <c r="D58" i="11"/>
  <c r="G19" i="11"/>
  <c r="F19" i="11"/>
  <c r="E19" i="11"/>
  <c r="D19" i="11"/>
  <c r="H19" i="11"/>
  <c r="L19" i="11"/>
  <c r="K19" i="11"/>
  <c r="I19" i="11"/>
  <c r="J19" i="11"/>
  <c r="F12" i="11"/>
  <c r="G12" i="11"/>
  <c r="H12" i="11"/>
  <c r="I12" i="11"/>
  <c r="J12" i="11"/>
  <c r="K12" i="11"/>
  <c r="D12" i="11"/>
  <c r="L12" i="11"/>
  <c r="E12" i="11"/>
  <c r="J26" i="11"/>
  <c r="I26" i="11"/>
  <c r="H26" i="11"/>
  <c r="G26" i="11"/>
  <c r="F26" i="11"/>
  <c r="L26" i="11"/>
  <c r="E26" i="11"/>
  <c r="D26" i="11"/>
  <c r="K26" i="11"/>
  <c r="J51" i="11"/>
  <c r="I51" i="11"/>
  <c r="K51" i="11"/>
  <c r="H51" i="11"/>
  <c r="G51" i="11"/>
  <c r="F51" i="11"/>
  <c r="E51" i="11"/>
  <c r="D51" i="11"/>
  <c r="L51" i="11"/>
  <c r="D11" i="11"/>
  <c r="E11" i="11"/>
  <c r="F11" i="11"/>
  <c r="G11" i="11"/>
  <c r="H11" i="11"/>
  <c r="I11" i="11"/>
  <c r="J11" i="11"/>
  <c r="K11" i="11"/>
  <c r="L11" i="11"/>
  <c r="L21" i="11"/>
  <c r="K21" i="11"/>
  <c r="J21" i="11"/>
  <c r="I21" i="11"/>
  <c r="H21" i="11"/>
  <c r="G21" i="11"/>
  <c r="F21" i="11"/>
  <c r="E21" i="11"/>
  <c r="D21" i="11"/>
  <c r="K24" i="121"/>
  <c r="L24" i="121"/>
  <c r="N24" i="121"/>
  <c r="J57" i="11"/>
  <c r="I57" i="11"/>
  <c r="H57" i="11"/>
  <c r="G57" i="11"/>
  <c r="F57" i="11"/>
  <c r="L57" i="11"/>
  <c r="K57" i="11"/>
  <c r="E57" i="11"/>
  <c r="D57" i="11"/>
  <c r="L48" i="11"/>
  <c r="K48" i="11"/>
  <c r="J48" i="11"/>
  <c r="I48" i="11"/>
  <c r="H48" i="11"/>
  <c r="G48" i="11"/>
  <c r="F48" i="11"/>
  <c r="E48" i="11"/>
  <c r="D48" i="11"/>
  <c r="G31" i="11"/>
  <c r="F31" i="11"/>
  <c r="E31" i="11"/>
  <c r="D31" i="11"/>
  <c r="L31" i="11"/>
  <c r="K31" i="11"/>
  <c r="H31" i="11"/>
  <c r="J31" i="11"/>
  <c r="I31" i="11"/>
  <c r="I13" i="11"/>
  <c r="J13" i="11"/>
  <c r="K13" i="11"/>
  <c r="L13" i="11"/>
  <c r="G13" i="11"/>
  <c r="D13" i="11"/>
  <c r="E13" i="11"/>
  <c r="H13" i="11"/>
  <c r="F13" i="11"/>
  <c r="D22" i="11"/>
  <c r="E22" i="11"/>
  <c r="L22" i="11"/>
  <c r="K22" i="11"/>
  <c r="F22" i="11"/>
  <c r="J22" i="11"/>
  <c r="I22" i="11"/>
  <c r="H22" i="11"/>
  <c r="G22" i="11"/>
  <c r="D71" i="11"/>
  <c r="L71" i="11"/>
  <c r="K71" i="11"/>
  <c r="J71" i="11"/>
  <c r="E71" i="11"/>
  <c r="I71" i="11"/>
  <c r="H71" i="11"/>
  <c r="G71" i="11"/>
  <c r="F71" i="11"/>
  <c r="D45" i="11"/>
  <c r="E45" i="11"/>
  <c r="L45" i="11"/>
  <c r="K45" i="11"/>
  <c r="J45" i="11"/>
  <c r="I45" i="11"/>
  <c r="H45" i="11"/>
  <c r="G45" i="11"/>
  <c r="F45" i="11"/>
  <c r="J20" i="11"/>
  <c r="I20" i="11"/>
  <c r="H20" i="11"/>
  <c r="G20" i="11"/>
  <c r="F20" i="11"/>
  <c r="E20" i="11"/>
  <c r="D20" i="11"/>
  <c r="L20" i="11"/>
  <c r="K20" i="11"/>
  <c r="C24" i="121"/>
  <c r="O24" i="121"/>
  <c r="D49" i="11"/>
  <c r="E49" i="11"/>
  <c r="L49" i="11"/>
  <c r="K49" i="11"/>
  <c r="F49" i="11"/>
  <c r="J49" i="11"/>
  <c r="I49" i="11"/>
  <c r="H49" i="11"/>
  <c r="G49" i="11"/>
  <c r="J32" i="11"/>
  <c r="I32" i="11"/>
  <c r="H32" i="11"/>
  <c r="G32" i="11"/>
  <c r="F32" i="11"/>
  <c r="K32" i="11"/>
  <c r="E32" i="11"/>
  <c r="D32" i="11"/>
  <c r="L32" i="11"/>
  <c r="G10" i="11"/>
  <c r="H10" i="11"/>
  <c r="F10" i="11"/>
  <c r="I10" i="11"/>
  <c r="J10" i="11"/>
  <c r="K10" i="11"/>
  <c r="L10" i="11"/>
  <c r="E10" i="11"/>
  <c r="M24" i="121"/>
  <c r="D24" i="121"/>
  <c r="P24" i="121"/>
  <c r="D59" i="11"/>
  <c r="E59" i="11"/>
  <c r="L59" i="11"/>
  <c r="K59" i="11"/>
  <c r="J59" i="11"/>
  <c r="I59" i="11"/>
  <c r="H59" i="11"/>
  <c r="G59" i="11"/>
  <c r="F59" i="11"/>
  <c r="D30" i="11"/>
  <c r="E30" i="11"/>
  <c r="L30" i="11"/>
  <c r="K30" i="11"/>
  <c r="F30" i="11"/>
  <c r="J30" i="11"/>
  <c r="I30" i="11"/>
  <c r="H30" i="11"/>
  <c r="G30" i="11"/>
  <c r="P17" i="11"/>
  <c r="N17" i="11" s="1"/>
  <c r="B3" i="13"/>
  <c r="J20" i="22"/>
  <c r="E20" i="22"/>
  <c r="D20" i="22" l="1"/>
  <c r="E19" i="22"/>
  <c r="D22" i="10" l="1"/>
  <c r="C11" i="33" l="1"/>
  <c r="C12" i="33"/>
  <c r="C13" i="33"/>
  <c r="C14" i="33"/>
  <c r="C15" i="33"/>
  <c r="C16" i="33"/>
  <c r="C17" i="33"/>
  <c r="C18" i="33"/>
  <c r="E11" i="33"/>
  <c r="E12" i="33"/>
  <c r="E13" i="33"/>
  <c r="E14" i="33"/>
  <c r="E15" i="33"/>
  <c r="E16" i="33"/>
  <c r="E17" i="33"/>
  <c r="E18" i="33"/>
  <c r="AE11" i="31"/>
  <c r="AE12" i="31"/>
  <c r="AE13" i="31"/>
  <c r="AE14" i="31"/>
  <c r="AE15" i="31"/>
  <c r="AE16" i="31"/>
  <c r="AE17" i="31"/>
  <c r="AE18" i="31"/>
  <c r="AC11" i="31"/>
  <c r="AC12" i="31"/>
  <c r="AC13" i="31"/>
  <c r="AC14" i="31"/>
  <c r="AC15" i="31"/>
  <c r="AC16" i="31"/>
  <c r="AC17" i="31"/>
  <c r="AC18" i="31"/>
  <c r="AA11" i="31"/>
  <c r="AA12" i="31"/>
  <c r="AA13" i="31"/>
  <c r="AA14" i="31"/>
  <c r="AA15" i="31"/>
  <c r="AA16" i="31"/>
  <c r="AA17" i="31"/>
  <c r="AA18" i="31"/>
  <c r="Y11" i="31"/>
  <c r="Y12" i="31"/>
  <c r="Y13" i="31"/>
  <c r="Y14" i="31"/>
  <c r="Y15" i="31"/>
  <c r="Y16" i="31"/>
  <c r="Y17" i="31"/>
  <c r="Y18" i="31"/>
  <c r="W11" i="31"/>
  <c r="W12" i="31"/>
  <c r="W13" i="31"/>
  <c r="W14" i="31"/>
  <c r="W15" i="31"/>
  <c r="W16" i="31"/>
  <c r="W17" i="31"/>
  <c r="W18" i="31"/>
  <c r="U11" i="31"/>
  <c r="U12" i="31"/>
  <c r="U13" i="31"/>
  <c r="U14" i="31"/>
  <c r="U15" i="31"/>
  <c r="U16" i="31"/>
  <c r="U17" i="31"/>
  <c r="U18" i="31"/>
  <c r="S11" i="31"/>
  <c r="S12" i="31"/>
  <c r="S13" i="31"/>
  <c r="S14" i="31"/>
  <c r="S15" i="31"/>
  <c r="S16" i="31"/>
  <c r="S17" i="31"/>
  <c r="Q11" i="31"/>
  <c r="Q12" i="31"/>
  <c r="Q13" i="31"/>
  <c r="Q14" i="31"/>
  <c r="Q15" i="31"/>
  <c r="Q16" i="31"/>
  <c r="Q17" i="31"/>
  <c r="Q18" i="31"/>
  <c r="O11" i="31"/>
  <c r="O12" i="31"/>
  <c r="O13" i="31"/>
  <c r="O14" i="31"/>
  <c r="O15" i="31"/>
  <c r="O16" i="31"/>
  <c r="O17" i="31"/>
  <c r="O18" i="31"/>
  <c r="M11" i="31"/>
  <c r="M12" i="31"/>
  <c r="M13" i="31"/>
  <c r="M14" i="31"/>
  <c r="M15" i="31"/>
  <c r="M16" i="31"/>
  <c r="M17" i="31"/>
  <c r="M18" i="31"/>
  <c r="K11" i="31"/>
  <c r="K12" i="31"/>
  <c r="K13" i="31"/>
  <c r="K14" i="31"/>
  <c r="K15" i="31"/>
  <c r="K16" i="31"/>
  <c r="K17" i="31"/>
  <c r="K18" i="31"/>
  <c r="AE11" i="32"/>
  <c r="AE12" i="32"/>
  <c r="AE13" i="32"/>
  <c r="AE14" i="32"/>
  <c r="AE15" i="32"/>
  <c r="AE16" i="32"/>
  <c r="AE17" i="32"/>
  <c r="AE18" i="32"/>
  <c r="AC11" i="32"/>
  <c r="AC12" i="32"/>
  <c r="AC13" i="32"/>
  <c r="AC14" i="32"/>
  <c r="AC15" i="32"/>
  <c r="AC16" i="32"/>
  <c r="AC17" i="32"/>
  <c r="AC18" i="32"/>
  <c r="AA11" i="32"/>
  <c r="AA12" i="32"/>
  <c r="AA13" i="32"/>
  <c r="AA14" i="32"/>
  <c r="AA15" i="32"/>
  <c r="AA16" i="32"/>
  <c r="AA17" i="32"/>
  <c r="AA18" i="32"/>
  <c r="Y11" i="32"/>
  <c r="Y12" i="32"/>
  <c r="Y13" i="32"/>
  <c r="Y14" i="32"/>
  <c r="Y15" i="32"/>
  <c r="Y16" i="32"/>
  <c r="Y17" i="32"/>
  <c r="Y18" i="32"/>
  <c r="W11" i="32"/>
  <c r="W12" i="32"/>
  <c r="W13" i="32"/>
  <c r="W14" i="32"/>
  <c r="W15" i="32"/>
  <c r="W16" i="32"/>
  <c r="W17" i="32"/>
  <c r="W18" i="32"/>
  <c r="U11" i="32"/>
  <c r="U12" i="32"/>
  <c r="U13" i="32"/>
  <c r="U14" i="32"/>
  <c r="U15" i="32"/>
  <c r="U16" i="32"/>
  <c r="U17" i="32"/>
  <c r="U18" i="32"/>
  <c r="S11" i="32"/>
  <c r="S12" i="32"/>
  <c r="S13" i="32"/>
  <c r="S14" i="32"/>
  <c r="S15" i="32"/>
  <c r="S16" i="32"/>
  <c r="S17" i="32"/>
  <c r="Q11" i="32"/>
  <c r="Q12" i="32"/>
  <c r="Q13" i="32"/>
  <c r="Q14" i="32"/>
  <c r="Q15" i="32"/>
  <c r="Q16" i="32"/>
  <c r="Q17" i="32"/>
  <c r="Q18" i="32"/>
  <c r="O11" i="32"/>
  <c r="O12" i="32"/>
  <c r="O13" i="32"/>
  <c r="O14" i="32"/>
  <c r="O15" i="32"/>
  <c r="O16" i="32"/>
  <c r="O17" i="32"/>
  <c r="O18" i="32"/>
  <c r="M11" i="32"/>
  <c r="M12" i="32"/>
  <c r="M13" i="32"/>
  <c r="M14" i="32"/>
  <c r="M15" i="32"/>
  <c r="M16" i="32"/>
  <c r="M17" i="32"/>
  <c r="M18" i="32"/>
  <c r="G11" i="32"/>
  <c r="G12" i="32"/>
  <c r="G13" i="32"/>
  <c r="G14" i="32"/>
  <c r="G15" i="32"/>
  <c r="G16" i="32"/>
  <c r="G17" i="32"/>
  <c r="I11" i="32"/>
  <c r="I12" i="32"/>
  <c r="I13" i="32"/>
  <c r="I14" i="32"/>
  <c r="I15" i="32"/>
  <c r="I16" i="32"/>
  <c r="I17" i="32"/>
  <c r="K11" i="32"/>
  <c r="K12" i="32"/>
  <c r="K13" i="32"/>
  <c r="K14" i="32"/>
  <c r="K15" i="32"/>
  <c r="K16" i="32"/>
  <c r="K17" i="32"/>
  <c r="K18" i="32"/>
  <c r="G11" i="33"/>
  <c r="G12" i="33"/>
  <c r="G13" i="33"/>
  <c r="G14" i="33"/>
  <c r="G15" i="33"/>
  <c r="G16" i="33"/>
  <c r="G17" i="33"/>
  <c r="I11" i="33"/>
  <c r="I12" i="33"/>
  <c r="I13" i="33"/>
  <c r="I14" i="33"/>
  <c r="I15" i="33"/>
  <c r="I16" i="33"/>
  <c r="I17" i="33"/>
  <c r="K11" i="33"/>
  <c r="K12" i="33"/>
  <c r="K13" i="33"/>
  <c r="K14" i="33"/>
  <c r="K15" i="33"/>
  <c r="K16" i="33"/>
  <c r="K17" i="33"/>
  <c r="K18" i="33"/>
  <c r="M11" i="33"/>
  <c r="M12" i="33"/>
  <c r="M13" i="33"/>
  <c r="M14" i="33"/>
  <c r="M15" i="33"/>
  <c r="M16" i="33"/>
  <c r="M17" i="33"/>
  <c r="M18" i="33"/>
  <c r="O11" i="33"/>
  <c r="O12" i="33"/>
  <c r="O13" i="33"/>
  <c r="O14" i="33"/>
  <c r="O15" i="33"/>
  <c r="O16" i="33"/>
  <c r="O17" i="33"/>
  <c r="O18" i="33"/>
  <c r="Q11" i="33"/>
  <c r="Q12" i="33"/>
  <c r="Q13" i="33"/>
  <c r="Q14" i="33"/>
  <c r="Q15" i="33"/>
  <c r="Q16" i="33"/>
  <c r="Q17" i="33"/>
  <c r="Q18" i="33"/>
  <c r="S11" i="33"/>
  <c r="S12" i="33"/>
  <c r="S13" i="33"/>
  <c r="S14" i="33"/>
  <c r="S15" i="33"/>
  <c r="S16" i="33"/>
  <c r="S17" i="33"/>
  <c r="U11" i="33"/>
  <c r="U12" i="33"/>
  <c r="U13" i="33"/>
  <c r="U14" i="33"/>
  <c r="U15" i="33"/>
  <c r="U16" i="33"/>
  <c r="U17" i="33"/>
  <c r="U18" i="33"/>
  <c r="W11" i="33"/>
  <c r="W12" i="33"/>
  <c r="W13" i="33"/>
  <c r="W14" i="33"/>
  <c r="W15" i="33"/>
  <c r="W16" i="33"/>
  <c r="W17" i="33"/>
  <c r="W18" i="33"/>
  <c r="Y11" i="33"/>
  <c r="Y12" i="33"/>
  <c r="Y13" i="33"/>
  <c r="Y14" i="33"/>
  <c r="Y15" i="33"/>
  <c r="Y16" i="33"/>
  <c r="Y17" i="33"/>
  <c r="Y18" i="33"/>
  <c r="AA11" i="33"/>
  <c r="AA12" i="33"/>
  <c r="AA13" i="33"/>
  <c r="AA14" i="33"/>
  <c r="AA15" i="33"/>
  <c r="AA16" i="33"/>
  <c r="AA17" i="33"/>
  <c r="AA18" i="33"/>
  <c r="AC11" i="33"/>
  <c r="AC12" i="33"/>
  <c r="AC13" i="33"/>
  <c r="AC14" i="33"/>
  <c r="AC15" i="33"/>
  <c r="AC16" i="33"/>
  <c r="AC17" i="33"/>
  <c r="AC18" i="33"/>
  <c r="AE11" i="33"/>
  <c r="AE12" i="33"/>
  <c r="AE13" i="33"/>
  <c r="AE14" i="33"/>
  <c r="AE15" i="33"/>
  <c r="AE16" i="33"/>
  <c r="AE17" i="33"/>
  <c r="AE18" i="33"/>
  <c r="Q11" i="34"/>
  <c r="Q12" i="34"/>
  <c r="Q13" i="34"/>
  <c r="Q14" i="34"/>
  <c r="Q15" i="34"/>
  <c r="Q16" i="34"/>
  <c r="Q17" i="34"/>
  <c r="Q18" i="34"/>
  <c r="I11" i="34"/>
  <c r="I12" i="34"/>
  <c r="I13" i="34"/>
  <c r="I14" i="34"/>
  <c r="I15" i="34"/>
  <c r="I16" i="34"/>
  <c r="I17" i="34"/>
  <c r="K11" i="34"/>
  <c r="K12" i="34"/>
  <c r="K13" i="34"/>
  <c r="K14" i="34"/>
  <c r="K15" i="34"/>
  <c r="K16" i="34"/>
  <c r="K17" i="34"/>
  <c r="K18" i="34"/>
  <c r="AE11" i="36"/>
  <c r="AE12" i="36"/>
  <c r="AE13" i="36"/>
  <c r="AE14" i="36"/>
  <c r="AE15" i="36"/>
  <c r="AE16" i="36"/>
  <c r="AE17" i="36"/>
  <c r="AE18" i="36"/>
  <c r="AC11" i="36"/>
  <c r="AC12" i="36"/>
  <c r="AC13" i="36"/>
  <c r="AC14" i="36"/>
  <c r="AC15" i="36"/>
  <c r="AC16" i="36"/>
  <c r="AC17" i="36"/>
  <c r="AC18" i="36"/>
  <c r="AA11" i="36"/>
  <c r="AA12" i="36"/>
  <c r="AA13" i="36"/>
  <c r="AA14" i="36"/>
  <c r="AA15" i="36"/>
  <c r="AA16" i="36"/>
  <c r="AA17" i="36"/>
  <c r="AA18" i="36"/>
  <c r="Y11" i="36"/>
  <c r="Y12" i="36"/>
  <c r="Y13" i="36"/>
  <c r="Y14" i="36"/>
  <c r="Y15" i="36"/>
  <c r="Y16" i="36"/>
  <c r="Y17" i="36"/>
  <c r="Y18" i="36"/>
  <c r="W11" i="36"/>
  <c r="W12" i="36"/>
  <c r="W13" i="36"/>
  <c r="W14" i="36"/>
  <c r="W15" i="36"/>
  <c r="W16" i="36"/>
  <c r="W17" i="36"/>
  <c r="W18" i="36"/>
  <c r="U11" i="36"/>
  <c r="U12" i="36"/>
  <c r="U13" i="36"/>
  <c r="U14" i="36"/>
  <c r="U15" i="36"/>
  <c r="U16" i="36"/>
  <c r="U17" i="36"/>
  <c r="U18" i="36"/>
  <c r="S11" i="36"/>
  <c r="S12" i="36"/>
  <c r="S13" i="36"/>
  <c r="S14" i="36"/>
  <c r="S15" i="36"/>
  <c r="S16" i="36"/>
  <c r="S17" i="36"/>
  <c r="Q11" i="36"/>
  <c r="Q12" i="36"/>
  <c r="Q13" i="36"/>
  <c r="Q14" i="36"/>
  <c r="Q15" i="36"/>
  <c r="Q16" i="36"/>
  <c r="Q17" i="36"/>
  <c r="Q18" i="36"/>
  <c r="O11" i="36"/>
  <c r="O12" i="36"/>
  <c r="O13" i="36"/>
  <c r="O14" i="36"/>
  <c r="O15" i="36"/>
  <c r="O16" i="36"/>
  <c r="O17" i="36"/>
  <c r="O18" i="36"/>
  <c r="M11" i="36"/>
  <c r="M12" i="36"/>
  <c r="M13" i="36"/>
  <c r="M14" i="36"/>
  <c r="M15" i="36"/>
  <c r="M16" i="36"/>
  <c r="M17" i="36"/>
  <c r="M18" i="36"/>
  <c r="K11" i="36"/>
  <c r="K12" i="36"/>
  <c r="K13" i="36"/>
  <c r="K14" i="36"/>
  <c r="K15" i="36"/>
  <c r="K16" i="36"/>
  <c r="K17" i="36"/>
  <c r="K18" i="36"/>
  <c r="I11" i="36"/>
  <c r="I12" i="36"/>
  <c r="I13" i="36"/>
  <c r="I14" i="36"/>
  <c r="I15" i="36"/>
  <c r="I16" i="36"/>
  <c r="I17" i="36"/>
  <c r="G11" i="36"/>
  <c r="G12" i="36"/>
  <c r="G13" i="36"/>
  <c r="G14" i="36"/>
  <c r="G15" i="36"/>
  <c r="G16" i="36"/>
  <c r="G17" i="36"/>
  <c r="E11" i="36"/>
  <c r="E12" i="36"/>
  <c r="E13" i="36"/>
  <c r="E14" i="36"/>
  <c r="E15" i="36"/>
  <c r="E16" i="36"/>
  <c r="E17" i="36"/>
  <c r="E18" i="36"/>
  <c r="C11" i="36"/>
  <c r="C12" i="36"/>
  <c r="C13" i="36"/>
  <c r="C14" i="36"/>
  <c r="C15" i="36"/>
  <c r="C16" i="36"/>
  <c r="C17" i="36"/>
  <c r="C18" i="36"/>
  <c r="AE11" i="37"/>
  <c r="AE12" i="37"/>
  <c r="AE13" i="37"/>
  <c r="AE14" i="37"/>
  <c r="AE15" i="37"/>
  <c r="AE16" i="37"/>
  <c r="AE17" i="37"/>
  <c r="AE18" i="37"/>
  <c r="AC11" i="37"/>
  <c r="AC12" i="37"/>
  <c r="AC13" i="37"/>
  <c r="AC14" i="37"/>
  <c r="AC15" i="37"/>
  <c r="AC16" i="37"/>
  <c r="AC17" i="37"/>
  <c r="AC18" i="37"/>
  <c r="AA11" i="37"/>
  <c r="AA12" i="37"/>
  <c r="AA13" i="37"/>
  <c r="AA14" i="37"/>
  <c r="AA15" i="37"/>
  <c r="AA16" i="37"/>
  <c r="AA17" i="37"/>
  <c r="AA18" i="37"/>
  <c r="Y11" i="37"/>
  <c r="Y12" i="37"/>
  <c r="Y13" i="37"/>
  <c r="Y14" i="37"/>
  <c r="Y15" i="37"/>
  <c r="Y16" i="37"/>
  <c r="Y17" i="37"/>
  <c r="Y18" i="37"/>
  <c r="W11" i="37"/>
  <c r="W12" i="37"/>
  <c r="W13" i="37"/>
  <c r="W14" i="37"/>
  <c r="W15" i="37"/>
  <c r="W16" i="37"/>
  <c r="W17" i="37"/>
  <c r="W18" i="37"/>
  <c r="U11" i="37"/>
  <c r="U12" i="37"/>
  <c r="U13" i="37"/>
  <c r="U14" i="37"/>
  <c r="U15" i="37"/>
  <c r="U16" i="37"/>
  <c r="U17" i="37"/>
  <c r="U18" i="37"/>
  <c r="S11" i="37"/>
  <c r="S12" i="37"/>
  <c r="S13" i="37"/>
  <c r="S14" i="37"/>
  <c r="S15" i="37"/>
  <c r="S16" i="37"/>
  <c r="S17" i="37"/>
  <c r="Q11" i="37"/>
  <c r="Q12" i="37"/>
  <c r="Q13" i="37"/>
  <c r="Q14" i="37"/>
  <c r="Q15" i="37"/>
  <c r="Q16" i="37"/>
  <c r="Q17" i="37"/>
  <c r="Q18" i="37"/>
  <c r="O11" i="37"/>
  <c r="O12" i="37"/>
  <c r="O13" i="37"/>
  <c r="O14" i="37"/>
  <c r="O15" i="37"/>
  <c r="O16" i="37"/>
  <c r="O17" i="37"/>
  <c r="O18" i="37"/>
  <c r="M11" i="37"/>
  <c r="M12" i="37"/>
  <c r="M13" i="37"/>
  <c r="M14" i="37"/>
  <c r="M15" i="37"/>
  <c r="M16" i="37"/>
  <c r="M17" i="37"/>
  <c r="M18" i="37"/>
  <c r="K11" i="37"/>
  <c r="K12" i="37"/>
  <c r="K13" i="37"/>
  <c r="K14" i="37"/>
  <c r="K15" i="37"/>
  <c r="K16" i="37"/>
  <c r="K17" i="37"/>
  <c r="K18" i="37"/>
  <c r="I11" i="37"/>
  <c r="I12" i="37"/>
  <c r="I13" i="37"/>
  <c r="I14" i="37"/>
  <c r="I15" i="37"/>
  <c r="I16" i="37"/>
  <c r="I17" i="37"/>
  <c r="G11" i="37"/>
  <c r="G12" i="37"/>
  <c r="G13" i="37"/>
  <c r="G14" i="37"/>
  <c r="G15" i="37"/>
  <c r="G16" i="37"/>
  <c r="G17" i="37"/>
  <c r="AE11" i="38"/>
  <c r="AE12" i="38"/>
  <c r="AE13" i="38"/>
  <c r="AE14" i="38"/>
  <c r="AE15" i="38"/>
  <c r="AE16" i="38"/>
  <c r="AE17" i="38"/>
  <c r="AE18" i="38"/>
  <c r="AC11" i="38"/>
  <c r="AC12" i="38"/>
  <c r="AC13" i="38"/>
  <c r="AC14" i="38"/>
  <c r="AC15" i="38"/>
  <c r="AC16" i="38"/>
  <c r="AC17" i="38"/>
  <c r="AC18" i="38"/>
  <c r="AA11" i="38"/>
  <c r="AA12" i="38"/>
  <c r="AA13" i="38"/>
  <c r="AA14" i="38"/>
  <c r="AA15" i="38"/>
  <c r="AA16" i="38"/>
  <c r="AA17" i="38"/>
  <c r="AA18" i="38"/>
  <c r="Y11" i="38"/>
  <c r="Y12" i="38"/>
  <c r="Y13" i="38"/>
  <c r="Y14" i="38"/>
  <c r="Y15" i="38"/>
  <c r="Y16" i="38"/>
  <c r="Y17" i="38"/>
  <c r="Y18" i="38"/>
  <c r="W11" i="38"/>
  <c r="W12" i="38"/>
  <c r="W13" i="38"/>
  <c r="W14" i="38"/>
  <c r="W15" i="38"/>
  <c r="W16" i="38"/>
  <c r="W17" i="38"/>
  <c r="W18" i="38"/>
  <c r="U11" i="38"/>
  <c r="U12" i="38"/>
  <c r="U13" i="38"/>
  <c r="U14" i="38"/>
  <c r="U15" i="38"/>
  <c r="U16" i="38"/>
  <c r="U17" i="38"/>
  <c r="U18" i="38"/>
  <c r="Q11" i="38"/>
  <c r="Q12" i="38"/>
  <c r="Q13" i="38"/>
  <c r="Q14" i="38"/>
  <c r="Q15" i="38"/>
  <c r="Q16" i="38"/>
  <c r="Q17" i="38"/>
  <c r="Q18" i="38"/>
  <c r="O11" i="38"/>
  <c r="O12" i="38"/>
  <c r="O13" i="38"/>
  <c r="O14" i="38"/>
  <c r="O15" i="38"/>
  <c r="O16" i="38"/>
  <c r="O17" i="38"/>
  <c r="O18" i="38"/>
  <c r="M11" i="38"/>
  <c r="M12" i="38"/>
  <c r="M13" i="38"/>
  <c r="M14" i="38"/>
  <c r="M15" i="38"/>
  <c r="M16" i="38"/>
  <c r="M17" i="38"/>
  <c r="M18" i="38"/>
  <c r="K11" i="38"/>
  <c r="K12" i="38"/>
  <c r="K13" i="38"/>
  <c r="K14" i="38"/>
  <c r="K15" i="38"/>
  <c r="K16" i="38"/>
  <c r="K17" i="38"/>
  <c r="K18" i="38"/>
  <c r="C11" i="38"/>
  <c r="C12" i="38"/>
  <c r="C13" i="38"/>
  <c r="C14" i="38"/>
  <c r="C15" i="38"/>
  <c r="C16" i="38"/>
  <c r="C17" i="38"/>
  <c r="C18" i="38"/>
  <c r="E11" i="38"/>
  <c r="E12" i="38"/>
  <c r="E13" i="38"/>
  <c r="E14" i="38"/>
  <c r="E15" i="38"/>
  <c r="E16" i="38"/>
  <c r="E17" i="38"/>
  <c r="E18" i="38"/>
  <c r="E19" i="38"/>
  <c r="AE18" i="34"/>
  <c r="AE17" i="34"/>
  <c r="AE16" i="34"/>
  <c r="AE15" i="34"/>
  <c r="AE14" i="34"/>
  <c r="AE13" i="34"/>
  <c r="AE12" i="34"/>
  <c r="AE11" i="34"/>
  <c r="AC18" i="34"/>
  <c r="AC17" i="34"/>
  <c r="AC16" i="34"/>
  <c r="AC15" i="34"/>
  <c r="AC14" i="34"/>
  <c r="AC13" i="34"/>
  <c r="AC12" i="34"/>
  <c r="AC11" i="34"/>
  <c r="AA18" i="34"/>
  <c r="AA17" i="34"/>
  <c r="AA16" i="34"/>
  <c r="AA15" i="34"/>
  <c r="AA14" i="34"/>
  <c r="AA13" i="34"/>
  <c r="AA12" i="34"/>
  <c r="AA11" i="34"/>
  <c r="Y18" i="34"/>
  <c r="Y17" i="34"/>
  <c r="Y16" i="34"/>
  <c r="Y15" i="34"/>
  <c r="Y14" i="34"/>
  <c r="Y13" i="34"/>
  <c r="Y12" i="34"/>
  <c r="Y11" i="34"/>
  <c r="W18" i="34"/>
  <c r="W17" i="34"/>
  <c r="W16" i="34"/>
  <c r="W15" i="34"/>
  <c r="W14" i="34"/>
  <c r="W13" i="34"/>
  <c r="W12" i="34"/>
  <c r="W11" i="34"/>
  <c r="U18" i="34"/>
  <c r="U17" i="34"/>
  <c r="U16" i="34"/>
  <c r="U15" i="34"/>
  <c r="U14" i="34"/>
  <c r="U13" i="34"/>
  <c r="U12" i="34"/>
  <c r="U11" i="34"/>
  <c r="S17" i="34"/>
  <c r="S16" i="34"/>
  <c r="S15" i="34"/>
  <c r="S14" i="34"/>
  <c r="S13" i="34"/>
  <c r="S12" i="34"/>
  <c r="S11" i="34"/>
  <c r="O18" i="34"/>
  <c r="O17" i="34"/>
  <c r="O16" i="34"/>
  <c r="O15" i="34"/>
  <c r="O14" i="34"/>
  <c r="O13" i="34"/>
  <c r="O12" i="34"/>
  <c r="O11" i="34"/>
  <c r="M18" i="34"/>
  <c r="M17" i="34"/>
  <c r="M16" i="34"/>
  <c r="M15" i="34"/>
  <c r="M14" i="34"/>
  <c r="M13" i="34"/>
  <c r="M12" i="34"/>
  <c r="M11" i="34"/>
  <c r="C18" i="34"/>
  <c r="C17" i="34"/>
  <c r="C16" i="34"/>
  <c r="C15" i="34"/>
  <c r="C14" i="34"/>
  <c r="C13" i="34"/>
  <c r="C12" i="34"/>
  <c r="C11" i="34"/>
  <c r="E13" i="34"/>
  <c r="E14" i="34"/>
  <c r="E15" i="34"/>
  <c r="E16" i="34"/>
  <c r="E17" i="34"/>
  <c r="E18" i="34"/>
  <c r="E12" i="34"/>
  <c r="E11" i="34"/>
  <c r="G17" i="34"/>
  <c r="G16" i="34"/>
  <c r="G15" i="34"/>
  <c r="G14" i="34"/>
  <c r="G13" i="34"/>
  <c r="G12" i="34"/>
  <c r="G11" i="34"/>
  <c r="P16" i="79" l="1"/>
  <c r="P17" i="79"/>
  <c r="P18" i="79"/>
  <c r="AA23" i="112" l="1"/>
  <c r="K39" i="112"/>
  <c r="J39" i="112"/>
  <c r="P41" i="62" l="1"/>
  <c r="P42" i="62"/>
  <c r="P43" i="62"/>
  <c r="P44" i="62"/>
  <c r="P45" i="62"/>
  <c r="P46" i="62"/>
  <c r="P47" i="62"/>
  <c r="P48" i="62"/>
  <c r="P49" i="62"/>
  <c r="AB23" i="61" l="1"/>
  <c r="AF23" i="61" s="1"/>
  <c r="AB23" i="60"/>
  <c r="AF23" i="60" l="1"/>
  <c r="AB38" i="60"/>
  <c r="AB23" i="59"/>
  <c r="AB23" i="58"/>
  <c r="AF23" i="59" l="1"/>
  <c r="AB38" i="59"/>
  <c r="AC18" i="57"/>
  <c r="AG18" i="57"/>
  <c r="AG16" i="57"/>
  <c r="AC30" i="57"/>
  <c r="Y30" i="57"/>
  <c r="U30" i="57"/>
  <c r="Q30" i="57"/>
  <c r="I30" i="57"/>
  <c r="E30" i="57"/>
  <c r="Y29" i="57"/>
  <c r="U29" i="57"/>
  <c r="Q29" i="57"/>
  <c r="I29" i="57"/>
  <c r="E29" i="57"/>
  <c r="AG28" i="57"/>
  <c r="AC28" i="57"/>
  <c r="Y28" i="57"/>
  <c r="U28" i="57"/>
  <c r="Q28" i="57"/>
  <c r="I28" i="57"/>
  <c r="E28" i="57"/>
  <c r="AC27" i="57"/>
  <c r="Y27" i="57"/>
  <c r="U27" i="57"/>
  <c r="Q27" i="57"/>
  <c r="I27" i="57"/>
  <c r="E27" i="57"/>
  <c r="Y26" i="57"/>
  <c r="U26" i="57"/>
  <c r="Q26" i="57"/>
  <c r="I26" i="57"/>
  <c r="E26" i="57"/>
  <c r="Y24" i="57"/>
  <c r="U24" i="57"/>
  <c r="Q24" i="57"/>
  <c r="I24" i="57"/>
  <c r="E24" i="57"/>
  <c r="U23" i="57"/>
  <c r="Q23" i="57"/>
  <c r="AC22" i="57"/>
  <c r="Y22" i="57"/>
  <c r="U22" i="57"/>
  <c r="Q22" i="57"/>
  <c r="I22" i="57"/>
  <c r="E22" i="57"/>
  <c r="AG20" i="57"/>
  <c r="AC20" i="57"/>
  <c r="Y20" i="57"/>
  <c r="U20" i="57"/>
  <c r="Q20" i="57"/>
  <c r="I20" i="57"/>
  <c r="E20" i="57"/>
  <c r="Y19" i="57"/>
  <c r="U19" i="57"/>
  <c r="Q19" i="57"/>
  <c r="I19" i="57"/>
  <c r="E19" i="57"/>
  <c r="Y18" i="57"/>
  <c r="U18" i="57"/>
  <c r="Q18" i="57"/>
  <c r="I18" i="57"/>
  <c r="E18" i="57"/>
  <c r="Y17" i="57"/>
  <c r="U17" i="57"/>
  <c r="Q17" i="57"/>
  <c r="I17" i="57"/>
  <c r="E17" i="57"/>
  <c r="AC16" i="57"/>
  <c r="Y16" i="57"/>
  <c r="U16" i="57"/>
  <c r="Q16" i="57"/>
  <c r="I16" i="57"/>
  <c r="E16" i="57"/>
  <c r="AG14" i="57"/>
  <c r="AC14" i="57"/>
  <c r="Y14" i="57"/>
  <c r="U14" i="57"/>
  <c r="Q14" i="57"/>
  <c r="I14" i="57"/>
  <c r="E14" i="57"/>
  <c r="AG13" i="57"/>
  <c r="AC13" i="57"/>
  <c r="Y13" i="57"/>
  <c r="U13" i="57"/>
  <c r="Q13" i="57"/>
  <c r="I13" i="57"/>
  <c r="E13" i="57"/>
  <c r="AG12" i="57"/>
  <c r="AC12" i="57"/>
  <c r="Y12" i="57"/>
  <c r="U12" i="57"/>
  <c r="Q12" i="57"/>
  <c r="I12" i="57"/>
  <c r="E12" i="57"/>
  <c r="Y10" i="57"/>
  <c r="U10" i="57"/>
  <c r="Q10" i="57"/>
  <c r="I10" i="57"/>
  <c r="E10" i="57"/>
  <c r="AC9" i="57"/>
  <c r="Y9" i="57"/>
  <c r="U9" i="57"/>
  <c r="Q9" i="57"/>
  <c r="I9" i="57"/>
  <c r="E9" i="57"/>
  <c r="AG8" i="57"/>
  <c r="AC8" i="57"/>
  <c r="Y8" i="57"/>
  <c r="U8" i="57"/>
  <c r="Q8" i="57"/>
  <c r="I8" i="57"/>
  <c r="E8" i="57"/>
  <c r="AI19" i="57"/>
  <c r="AJ19" i="57"/>
  <c r="E11" i="37" l="1"/>
  <c r="E12" i="37"/>
  <c r="E13" i="37"/>
  <c r="E14" i="37"/>
  <c r="E15" i="37"/>
  <c r="E16" i="37"/>
  <c r="E17" i="37"/>
  <c r="E18" i="37"/>
  <c r="E19" i="37"/>
  <c r="C11" i="37"/>
  <c r="C12" i="37"/>
  <c r="C13" i="37"/>
  <c r="C14" i="37"/>
  <c r="C15" i="37"/>
  <c r="C16" i="37"/>
  <c r="C17" i="37"/>
  <c r="C18" i="37"/>
  <c r="C19" i="37"/>
  <c r="D11" i="32"/>
  <c r="E11" i="32" s="1"/>
  <c r="D12" i="32"/>
  <c r="E12" i="32" s="1"/>
  <c r="D13" i="32"/>
  <c r="E13" i="32" s="1"/>
  <c r="D14" i="32"/>
  <c r="E14" i="32" s="1"/>
  <c r="D15" i="32"/>
  <c r="E15" i="32" s="1"/>
  <c r="D16" i="32"/>
  <c r="E16" i="32" s="1"/>
  <c r="D17" i="32"/>
  <c r="E17" i="32" s="1"/>
  <c r="D18" i="32"/>
  <c r="E18" i="32" s="1"/>
  <c r="B11" i="32"/>
  <c r="C11" i="32" s="1"/>
  <c r="B12" i="32"/>
  <c r="C12" i="32" s="1"/>
  <c r="B13" i="32"/>
  <c r="C13" i="32" s="1"/>
  <c r="B14" i="32"/>
  <c r="C14" i="32" s="1"/>
  <c r="B15" i="32"/>
  <c r="C15" i="32" s="1"/>
  <c r="B16" i="32"/>
  <c r="C16" i="32" s="1"/>
  <c r="B17" i="32"/>
  <c r="C17" i="32" s="1"/>
  <c r="B18" i="32"/>
  <c r="C18" i="32" s="1"/>
  <c r="E11" i="31"/>
  <c r="E12" i="31"/>
  <c r="E13" i="31"/>
  <c r="E14" i="31"/>
  <c r="E15" i="31"/>
  <c r="E16" i="31"/>
  <c r="E17" i="31"/>
  <c r="C11" i="31"/>
  <c r="C12" i="31"/>
  <c r="C13" i="31"/>
  <c r="C14" i="31"/>
  <c r="C15" i="31"/>
  <c r="C16" i="31"/>
  <c r="C17" i="31"/>
  <c r="H18" i="30"/>
  <c r="R18" i="30"/>
  <c r="F18" i="30"/>
  <c r="M16" i="14"/>
  <c r="M15" i="14"/>
  <c r="M14" i="14"/>
  <c r="M12" i="14"/>
  <c r="M11" i="14"/>
  <c r="M10" i="14"/>
  <c r="M9" i="14"/>
  <c r="M8" i="14"/>
  <c r="M7" i="14"/>
  <c r="F41" i="68"/>
  <c r="F40" i="68"/>
  <c r="F24" i="68"/>
  <c r="F23" i="68"/>
  <c r="F30" i="68" s="1"/>
  <c r="F21" i="68"/>
  <c r="F20" i="68"/>
  <c r="F19" i="68"/>
  <c r="F18" i="68"/>
  <c r="F28" i="68" s="1"/>
  <c r="F16" i="68"/>
  <c r="F15" i="68"/>
  <c r="F14" i="68"/>
  <c r="F13" i="68"/>
  <c r="F12" i="68"/>
  <c r="F10" i="68"/>
  <c r="F9" i="68"/>
  <c r="F8" i="68"/>
  <c r="F7" i="68"/>
  <c r="AD25" i="70"/>
  <c r="AC25" i="70"/>
  <c r="AB25" i="70"/>
  <c r="AA25" i="70"/>
  <c r="Z25" i="70"/>
  <c r="Y25" i="70"/>
  <c r="X25" i="70"/>
  <c r="W25" i="70"/>
  <c r="V25" i="70"/>
  <c r="U25" i="70"/>
  <c r="T25" i="70"/>
  <c r="S25" i="70"/>
  <c r="R25" i="70"/>
  <c r="Q25" i="70"/>
  <c r="P25" i="70"/>
  <c r="O25" i="70"/>
  <c r="N25" i="70"/>
  <c r="M25" i="70"/>
  <c r="L25" i="70"/>
  <c r="K25" i="70"/>
  <c r="J25" i="70"/>
  <c r="I25" i="70"/>
  <c r="H25" i="70"/>
  <c r="G25" i="70"/>
  <c r="F25" i="70"/>
  <c r="E25" i="70"/>
  <c r="D25" i="70"/>
  <c r="AD15" i="70"/>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I48" i="72"/>
  <c r="L18" i="73"/>
  <c r="L17" i="73"/>
  <c r="L15" i="73"/>
  <c r="L14" i="73"/>
  <c r="L30" i="73"/>
  <c r="L29" i="73"/>
  <c r="L27" i="73"/>
  <c r="L26" i="73"/>
  <c r="J41" i="73"/>
  <c r="J39" i="73"/>
  <c r="J42" i="73"/>
  <c r="J38" i="73"/>
  <c r="I42" i="73"/>
  <c r="I41" i="73"/>
  <c r="I38" i="73"/>
  <c r="H42" i="73"/>
  <c r="H41" i="73"/>
  <c r="H39" i="73"/>
  <c r="H38" i="73"/>
  <c r="G42" i="73"/>
  <c r="G41" i="73"/>
  <c r="G40" i="73"/>
  <c r="G39" i="73"/>
  <c r="G38" i="73"/>
  <c r="F42" i="73"/>
  <c r="F41" i="73"/>
  <c r="F39" i="73"/>
  <c r="F38" i="73"/>
  <c r="E42" i="73"/>
  <c r="E41" i="73"/>
  <c r="E39" i="73"/>
  <c r="E38" i="73"/>
  <c r="D42" i="73"/>
  <c r="D41" i="73"/>
  <c r="D40" i="73"/>
  <c r="D39" i="73"/>
  <c r="D38" i="73"/>
  <c r="C40" i="73"/>
  <c r="C42" i="73"/>
  <c r="C41" i="73"/>
  <c r="C39" i="73"/>
  <c r="C38" i="73"/>
  <c r="D15" i="76"/>
  <c r="C15" i="76"/>
  <c r="Q68" i="78"/>
  <c r="Q67" i="78"/>
  <c r="E24" i="107"/>
  <c r="F24" i="107" s="1"/>
  <c r="Q32" i="78"/>
  <c r="Q31" i="78"/>
  <c r="F75" i="12"/>
  <c r="F76" i="12"/>
  <c r="F77" i="12"/>
  <c r="F78" i="12"/>
  <c r="F79" i="12"/>
  <c r="F80" i="12"/>
  <c r="F81" i="12"/>
  <c r="F82" i="12"/>
  <c r="F83" i="12"/>
  <c r="F74" i="12"/>
  <c r="E75" i="12"/>
  <c r="E76" i="12"/>
  <c r="E77" i="12"/>
  <c r="E78" i="12"/>
  <c r="E79" i="12"/>
  <c r="E80" i="12"/>
  <c r="E81" i="12"/>
  <c r="E82" i="12"/>
  <c r="E83" i="12"/>
  <c r="E74" i="12"/>
  <c r="D74" i="12"/>
  <c r="D75" i="12"/>
  <c r="D76" i="12"/>
  <c r="D77" i="12"/>
  <c r="D78" i="12"/>
  <c r="D79" i="12"/>
  <c r="D80" i="12"/>
  <c r="D81" i="12"/>
  <c r="D82" i="12"/>
  <c r="D83" i="12"/>
  <c r="J70" i="12"/>
  <c r="J69" i="12"/>
  <c r="J71" i="12"/>
  <c r="J68" i="12"/>
  <c r="I69" i="12"/>
  <c r="I70" i="12"/>
  <c r="I71" i="12"/>
  <c r="I68" i="12"/>
  <c r="H69" i="12"/>
  <c r="H70" i="12"/>
  <c r="H71" i="12"/>
  <c r="H68" i="12"/>
  <c r="G69" i="12"/>
  <c r="G70" i="12"/>
  <c r="G71" i="12"/>
  <c r="G68" i="12"/>
  <c r="F70" i="12"/>
  <c r="F71" i="12"/>
  <c r="F69" i="12"/>
  <c r="F68" i="12"/>
  <c r="I64" i="12"/>
  <c r="I65" i="12"/>
  <c r="I63" i="12"/>
  <c r="I62" i="12"/>
  <c r="H62" i="12"/>
  <c r="H63" i="12"/>
  <c r="H64" i="12"/>
  <c r="H65" i="12"/>
  <c r="G63" i="12"/>
  <c r="G64" i="12"/>
  <c r="G65" i="12"/>
  <c r="G62" i="12"/>
  <c r="E62" i="12"/>
  <c r="E63" i="12"/>
  <c r="E64" i="12"/>
  <c r="E65" i="12"/>
  <c r="D62" i="12"/>
  <c r="D57" i="12"/>
  <c r="D58" i="12"/>
  <c r="D59" i="12"/>
  <c r="H57" i="12"/>
  <c r="J59" i="12"/>
  <c r="J58" i="12"/>
  <c r="J57" i="12"/>
  <c r="I58" i="12"/>
  <c r="I59" i="12"/>
  <c r="I57" i="12"/>
  <c r="H58" i="12"/>
  <c r="H59" i="12"/>
  <c r="G57" i="12"/>
  <c r="G58" i="12"/>
  <c r="G59" i="12"/>
  <c r="F57" i="12"/>
  <c r="J45" i="12"/>
  <c r="J46" i="12"/>
  <c r="J47" i="12"/>
  <c r="J48" i="12"/>
  <c r="J49" i="12"/>
  <c r="J50" i="12"/>
  <c r="J51" i="12"/>
  <c r="J52" i="12"/>
  <c r="J53" i="12"/>
  <c r="J54" i="12"/>
  <c r="J44" i="12"/>
  <c r="I44" i="12"/>
  <c r="I45" i="12"/>
  <c r="I46" i="12"/>
  <c r="I47" i="12"/>
  <c r="I48" i="12"/>
  <c r="I49" i="12"/>
  <c r="I50" i="12"/>
  <c r="I51" i="12"/>
  <c r="I52" i="12"/>
  <c r="I53" i="12"/>
  <c r="I54" i="12"/>
  <c r="H45" i="12"/>
  <c r="H46" i="12"/>
  <c r="H47" i="12"/>
  <c r="H48" i="12"/>
  <c r="H49" i="12"/>
  <c r="H50" i="12"/>
  <c r="H51" i="12"/>
  <c r="H52" i="12"/>
  <c r="H53" i="12"/>
  <c r="H54" i="12"/>
  <c r="H44" i="12"/>
  <c r="G44" i="12"/>
  <c r="G45" i="12"/>
  <c r="G46" i="12"/>
  <c r="G47" i="12"/>
  <c r="G48" i="12"/>
  <c r="G49" i="12"/>
  <c r="G50" i="12"/>
  <c r="G51" i="12"/>
  <c r="G52" i="12"/>
  <c r="G53" i="12"/>
  <c r="G54" i="12"/>
  <c r="F46" i="12"/>
  <c r="F47" i="12"/>
  <c r="F48" i="12"/>
  <c r="F49" i="12"/>
  <c r="F50" i="12"/>
  <c r="F51" i="12"/>
  <c r="F52" i="12"/>
  <c r="F53" i="12"/>
  <c r="F54" i="12"/>
  <c r="F45" i="12"/>
  <c r="E46" i="12"/>
  <c r="E47" i="12"/>
  <c r="E48" i="12"/>
  <c r="E49" i="12"/>
  <c r="E50" i="12"/>
  <c r="E51" i="12"/>
  <c r="E52" i="12"/>
  <c r="E53" i="12"/>
  <c r="E54" i="12"/>
  <c r="E45" i="12"/>
  <c r="D44" i="12"/>
  <c r="D45" i="12"/>
  <c r="D46" i="12"/>
  <c r="D47" i="12"/>
  <c r="D48" i="12"/>
  <c r="D49" i="12"/>
  <c r="D50" i="12"/>
  <c r="D51" i="12"/>
  <c r="D52" i="12"/>
  <c r="D53" i="12"/>
  <c r="D54" i="12"/>
  <c r="D38" i="12"/>
  <c r="I38" i="12"/>
  <c r="J39" i="12"/>
  <c r="J40" i="12"/>
  <c r="J41" i="12"/>
  <c r="J38" i="12"/>
  <c r="I39" i="12"/>
  <c r="I40" i="12"/>
  <c r="I41" i="12"/>
  <c r="H39" i="12"/>
  <c r="H38" i="12"/>
  <c r="H40" i="12"/>
  <c r="H41" i="12"/>
  <c r="G39" i="12"/>
  <c r="G38" i="12"/>
  <c r="G40" i="12"/>
  <c r="G41" i="12"/>
  <c r="F39" i="12"/>
  <c r="F40" i="12"/>
  <c r="F41" i="12"/>
  <c r="F38" i="12"/>
  <c r="E38" i="12"/>
  <c r="E40" i="12"/>
  <c r="E41" i="12"/>
  <c r="E39" i="12"/>
  <c r="I26" i="12"/>
  <c r="J27" i="12"/>
  <c r="J26" i="12"/>
  <c r="J25" i="12" s="1"/>
  <c r="I27" i="12"/>
  <c r="H27" i="12"/>
  <c r="H26" i="12"/>
  <c r="G26" i="12"/>
  <c r="G27" i="12"/>
  <c r="F26" i="12"/>
  <c r="D26" i="12"/>
  <c r="J21" i="12"/>
  <c r="J20" i="12"/>
  <c r="J19" i="12"/>
  <c r="J18" i="12"/>
  <c r="I20" i="12"/>
  <c r="I19" i="12"/>
  <c r="I18" i="12"/>
  <c r="I21" i="12"/>
  <c r="I22" i="12"/>
  <c r="I23" i="12"/>
  <c r="H22" i="12"/>
  <c r="H23" i="12"/>
  <c r="H21" i="12"/>
  <c r="H19" i="12"/>
  <c r="H20" i="12"/>
  <c r="H18" i="12"/>
  <c r="G20" i="12"/>
  <c r="G19" i="12"/>
  <c r="D19" i="12"/>
  <c r="G14" i="12"/>
  <c r="H14" i="12"/>
  <c r="H15" i="12"/>
  <c r="H13" i="12"/>
  <c r="I10" i="12"/>
  <c r="J11" i="12"/>
  <c r="J12" i="12"/>
  <c r="J13" i="12"/>
  <c r="J14" i="12"/>
  <c r="J15" i="12"/>
  <c r="J10" i="12"/>
  <c r="I12" i="12"/>
  <c r="I11" i="12"/>
  <c r="I13" i="12"/>
  <c r="I14" i="12"/>
  <c r="I15" i="12"/>
  <c r="H12" i="12"/>
  <c r="H11" i="12"/>
  <c r="H10" i="12"/>
  <c r="G13" i="12"/>
  <c r="G12" i="12"/>
  <c r="G11" i="12"/>
  <c r="F12" i="12"/>
  <c r="F11" i="12"/>
  <c r="D10" i="12"/>
  <c r="J18" i="22"/>
  <c r="E18" i="22"/>
  <c r="J17" i="22"/>
  <c r="S17" i="38" s="1"/>
  <c r="E17" i="22"/>
  <c r="I17" i="38" s="1"/>
  <c r="J16" i="22"/>
  <c r="S16" i="38" s="1"/>
  <c r="E16" i="22"/>
  <c r="I16" i="38" s="1"/>
  <c r="J15" i="22"/>
  <c r="S15" i="38" s="1"/>
  <c r="E15" i="22"/>
  <c r="I15" i="38" s="1"/>
  <c r="J14" i="22"/>
  <c r="S14" i="38" s="1"/>
  <c r="E14" i="22"/>
  <c r="I14" i="38" s="1"/>
  <c r="J13" i="22"/>
  <c r="S13" i="38" s="1"/>
  <c r="E13" i="22"/>
  <c r="I13" i="38" s="1"/>
  <c r="J12" i="22"/>
  <c r="S12" i="38" s="1"/>
  <c r="E12" i="22"/>
  <c r="I12" i="38" s="1"/>
  <c r="J11" i="22"/>
  <c r="S11" i="38" s="1"/>
  <c r="E11" i="22"/>
  <c r="I11" i="38" s="1"/>
  <c r="AE18" i="35"/>
  <c r="AC18" i="35"/>
  <c r="AA18" i="35"/>
  <c r="Y18" i="35"/>
  <c r="W18" i="35"/>
  <c r="U18" i="35"/>
  <c r="R18" i="35"/>
  <c r="Q18" i="35"/>
  <c r="O18" i="35"/>
  <c r="M18" i="35"/>
  <c r="K18" i="35"/>
  <c r="H18" i="35"/>
  <c r="F18" i="35"/>
  <c r="E18" i="35"/>
  <c r="C18" i="35"/>
  <c r="AE17" i="35"/>
  <c r="AC17" i="35"/>
  <c r="AA17" i="35"/>
  <c r="Y17" i="35"/>
  <c r="W17" i="35"/>
  <c r="U17" i="35"/>
  <c r="R17" i="35"/>
  <c r="S17" i="35"/>
  <c r="Q17" i="35"/>
  <c r="O17" i="35"/>
  <c r="M17" i="35"/>
  <c r="K17" i="35"/>
  <c r="H17" i="35"/>
  <c r="I17" i="35" s="1"/>
  <c r="F17" i="35"/>
  <c r="G17" i="35" s="1"/>
  <c r="E17" i="35"/>
  <c r="C17" i="35"/>
  <c r="AE16" i="35"/>
  <c r="AC16" i="35"/>
  <c r="AA16" i="35"/>
  <c r="Y16" i="35"/>
  <c r="W16" i="35"/>
  <c r="U16" i="35"/>
  <c r="R16" i="35"/>
  <c r="S16" i="35" s="1"/>
  <c r="Q16" i="35"/>
  <c r="O16" i="35"/>
  <c r="M16" i="35"/>
  <c r="K16" i="35"/>
  <c r="H16" i="35"/>
  <c r="I16" i="35" s="1"/>
  <c r="F16" i="35"/>
  <c r="G16" i="35" s="1"/>
  <c r="E16" i="35"/>
  <c r="C16" i="35"/>
  <c r="AE15" i="35"/>
  <c r="AC15" i="35"/>
  <c r="AA15" i="35"/>
  <c r="Y15" i="35"/>
  <c r="W15" i="35"/>
  <c r="U15" i="35"/>
  <c r="R15" i="35"/>
  <c r="S15" i="35" s="1"/>
  <c r="Q15" i="35"/>
  <c r="O15" i="35"/>
  <c r="M15" i="35"/>
  <c r="K15" i="35"/>
  <c r="H15" i="35"/>
  <c r="I15" i="35" s="1"/>
  <c r="F15" i="35"/>
  <c r="G15" i="35" s="1"/>
  <c r="E15" i="35"/>
  <c r="C15" i="35"/>
  <c r="AE14" i="35"/>
  <c r="AC14" i="35"/>
  <c r="AA14" i="35"/>
  <c r="Y14" i="35"/>
  <c r="W14" i="35"/>
  <c r="U14" i="35"/>
  <c r="R14" i="35"/>
  <c r="S14" i="35" s="1"/>
  <c r="Q14" i="35"/>
  <c r="O14" i="35"/>
  <c r="M14" i="35"/>
  <c r="K14" i="35"/>
  <c r="H14" i="35"/>
  <c r="I14" i="35" s="1"/>
  <c r="F14" i="35"/>
  <c r="G14" i="35" s="1"/>
  <c r="E14" i="35"/>
  <c r="C14" i="35"/>
  <c r="AE13" i="35"/>
  <c r="AC13" i="35"/>
  <c r="AA13" i="35"/>
  <c r="Y13" i="35"/>
  <c r="W13" i="35"/>
  <c r="U13" i="35"/>
  <c r="R13" i="35"/>
  <c r="S13" i="35" s="1"/>
  <c r="Q13" i="35"/>
  <c r="O13" i="35"/>
  <c r="M13" i="35"/>
  <c r="K13" i="35"/>
  <c r="H13" i="35"/>
  <c r="I13" i="35" s="1"/>
  <c r="F13" i="35"/>
  <c r="G13" i="35" s="1"/>
  <c r="E13" i="35"/>
  <c r="C13" i="35"/>
  <c r="AE12" i="35"/>
  <c r="AC12" i="35"/>
  <c r="AA12" i="35"/>
  <c r="Y12" i="35"/>
  <c r="W12" i="35"/>
  <c r="U12" i="35"/>
  <c r="R12" i="35"/>
  <c r="S12" i="35" s="1"/>
  <c r="Q12" i="35"/>
  <c r="O12" i="35"/>
  <c r="M12" i="35"/>
  <c r="K12" i="35"/>
  <c r="H12" i="35"/>
  <c r="I12" i="35" s="1"/>
  <c r="F12" i="35"/>
  <c r="G12" i="35" s="1"/>
  <c r="E12" i="35"/>
  <c r="C12" i="35"/>
  <c r="AE11" i="35"/>
  <c r="AC11" i="35"/>
  <c r="AA11" i="35"/>
  <c r="Y11" i="35"/>
  <c r="W11" i="35"/>
  <c r="U11" i="35"/>
  <c r="R11" i="35"/>
  <c r="S11" i="35" s="1"/>
  <c r="Q11" i="35"/>
  <c r="O11" i="35"/>
  <c r="M11" i="35"/>
  <c r="K11" i="35"/>
  <c r="H11" i="35"/>
  <c r="I11" i="35" s="1"/>
  <c r="F11" i="35"/>
  <c r="G11" i="35" s="1"/>
  <c r="E11" i="35"/>
  <c r="C11" i="35"/>
  <c r="K59" i="46"/>
  <c r="C60" i="46"/>
  <c r="H60" i="46"/>
  <c r="E60" i="46"/>
  <c r="D60" i="46"/>
  <c r="I50" i="46"/>
  <c r="H50" i="46"/>
  <c r="K47" i="46"/>
  <c r="G37" i="46"/>
  <c r="J12" i="47" s="1"/>
  <c r="E37" i="46"/>
  <c r="J11" i="47" s="1"/>
  <c r="E33" i="46"/>
  <c r="G30" i="46"/>
  <c r="E30" i="46"/>
  <c r="C30" i="46"/>
  <c r="K29" i="46"/>
  <c r="E25" i="46"/>
  <c r="I25" i="46"/>
  <c r="K26" i="46"/>
  <c r="C25" i="46"/>
  <c r="L18" i="46"/>
  <c r="L16" i="46"/>
  <c r="K15" i="46"/>
  <c r="K13" i="46"/>
  <c r="H20" i="46"/>
  <c r="L12" i="46"/>
  <c r="K11" i="46"/>
  <c r="X19" i="48"/>
  <c r="K19" i="48"/>
  <c r="J18" i="48"/>
  <c r="J15" i="48"/>
  <c r="K15" i="48"/>
  <c r="K14" i="48"/>
  <c r="W16" i="48"/>
  <c r="W20" i="48" s="1"/>
  <c r="L16" i="48"/>
  <c r="L20" i="48" s="1"/>
  <c r="T20" i="30" s="1"/>
  <c r="I16" i="48"/>
  <c r="I20" i="48" s="1"/>
  <c r="S16" i="48"/>
  <c r="S20" i="48" s="1"/>
  <c r="F16" i="48"/>
  <c r="F20" i="48" s="1"/>
  <c r="K12" i="48"/>
  <c r="P16" i="48"/>
  <c r="P20" i="48" s="1"/>
  <c r="X20" i="30" s="1"/>
  <c r="Y11" i="48"/>
  <c r="G16" i="48"/>
  <c r="G20" i="48" s="1"/>
  <c r="C16" i="48"/>
  <c r="C20" i="48" s="1"/>
  <c r="B16" i="48"/>
  <c r="B20" i="48" s="1"/>
  <c r="J20" i="30" s="1"/>
  <c r="C48" i="51"/>
  <c r="C49" i="51" s="1"/>
  <c r="D47" i="51"/>
  <c r="D41" i="51"/>
  <c r="D37" i="51"/>
  <c r="D31" i="51"/>
  <c r="D21" i="51"/>
  <c r="D18" i="51"/>
  <c r="D14" i="51"/>
  <c r="AE38" i="59"/>
  <c r="K38" i="61"/>
  <c r="Y9" i="112"/>
  <c r="Z9" i="112"/>
  <c r="AA9" i="112"/>
  <c r="Y22" i="112"/>
  <c r="Z22" i="112"/>
  <c r="AA22" i="112"/>
  <c r="Y23" i="112"/>
  <c r="Z23" i="112"/>
  <c r="Y24" i="112"/>
  <c r="Z24" i="112"/>
  <c r="AA24" i="112"/>
  <c r="Y25" i="112"/>
  <c r="Z25" i="112"/>
  <c r="AA25" i="112"/>
  <c r="Y26" i="112"/>
  <c r="Z26" i="112"/>
  <c r="AA26" i="112"/>
  <c r="Y27" i="112"/>
  <c r="Z27" i="112"/>
  <c r="AA27" i="112"/>
  <c r="Y28" i="112"/>
  <c r="Z28" i="112"/>
  <c r="AA28" i="112"/>
  <c r="Y29" i="112"/>
  <c r="Z29" i="112"/>
  <c r="AA29" i="112"/>
  <c r="Y30" i="112"/>
  <c r="Z30" i="112"/>
  <c r="AA30" i="112"/>
  <c r="Y31" i="112"/>
  <c r="Z31" i="112"/>
  <c r="AA31" i="112"/>
  <c r="Y32" i="112"/>
  <c r="Z32" i="112"/>
  <c r="AA32" i="112"/>
  <c r="Y33" i="112"/>
  <c r="Z33" i="112"/>
  <c r="AA33" i="112"/>
  <c r="Y34" i="112"/>
  <c r="Z34" i="112"/>
  <c r="AA34" i="112"/>
  <c r="Y35" i="112"/>
  <c r="Z35" i="112"/>
  <c r="AA35" i="112"/>
  <c r="Y36" i="112"/>
  <c r="Z36" i="112"/>
  <c r="AA36" i="112"/>
  <c r="Y37" i="112"/>
  <c r="Z37" i="112"/>
  <c r="AA37" i="112"/>
  <c r="Y38" i="112"/>
  <c r="Z38" i="112"/>
  <c r="AA38" i="112"/>
  <c r="Y11" i="112"/>
  <c r="Z11" i="112"/>
  <c r="AA11" i="112"/>
  <c r="Y12" i="112"/>
  <c r="Z12" i="112"/>
  <c r="AA12" i="112"/>
  <c r="Y13" i="112"/>
  <c r="Z13" i="112"/>
  <c r="AA13" i="112"/>
  <c r="Y14" i="112"/>
  <c r="Z14" i="112"/>
  <c r="AA14" i="112"/>
  <c r="Y15" i="112"/>
  <c r="Z15" i="112"/>
  <c r="AA15" i="112"/>
  <c r="Y16" i="112"/>
  <c r="Z16" i="112"/>
  <c r="AA16" i="112"/>
  <c r="Y17" i="112"/>
  <c r="Z17" i="112"/>
  <c r="AA17" i="112"/>
  <c r="Y18" i="112"/>
  <c r="Z18" i="112"/>
  <c r="AA18" i="112"/>
  <c r="Y19" i="112"/>
  <c r="Z19" i="112"/>
  <c r="AA19" i="112"/>
  <c r="Y20" i="112"/>
  <c r="Z20" i="112"/>
  <c r="AA20" i="112"/>
  <c r="Y21" i="112"/>
  <c r="Z21" i="112"/>
  <c r="AA21" i="112"/>
  <c r="Y10" i="112"/>
  <c r="Z10" i="112"/>
  <c r="AA10" i="112"/>
  <c r="M19" i="111"/>
  <c r="M20" i="111"/>
  <c r="M21" i="111"/>
  <c r="M22" i="111"/>
  <c r="M23" i="111"/>
  <c r="M25" i="111"/>
  <c r="M26" i="111"/>
  <c r="C49" i="72"/>
  <c r="D49" i="72"/>
  <c r="E49" i="72"/>
  <c r="D79" i="72" s="1"/>
  <c r="F49" i="72"/>
  <c r="E79" i="72" s="1"/>
  <c r="G49" i="72"/>
  <c r="C25" i="72"/>
  <c r="D25" i="72"/>
  <c r="E25" i="72"/>
  <c r="F25" i="72"/>
  <c r="G25" i="72"/>
  <c r="P68" i="78"/>
  <c r="P67" i="78"/>
  <c r="B16" i="88"/>
  <c r="B19" i="21"/>
  <c r="B18" i="21"/>
  <c r="B17" i="21"/>
  <c r="B16" i="21"/>
  <c r="B15" i="21"/>
  <c r="B14" i="21"/>
  <c r="B11" i="21"/>
  <c r="B10" i="21"/>
  <c r="B9" i="21"/>
  <c r="C20" i="21"/>
  <c r="C19" i="21"/>
  <c r="C18" i="21"/>
  <c r="C17" i="21"/>
  <c r="C16" i="21"/>
  <c r="C15" i="21"/>
  <c r="C14" i="21"/>
  <c r="C11" i="21"/>
  <c r="C10" i="21"/>
  <c r="C9" i="21"/>
  <c r="D19" i="21"/>
  <c r="D18" i="21"/>
  <c r="D17" i="21"/>
  <c r="D16" i="21"/>
  <c r="D15" i="21"/>
  <c r="D14" i="21"/>
  <c r="D11" i="21"/>
  <c r="D10" i="21"/>
  <c r="D9" i="21"/>
  <c r="E19" i="21"/>
  <c r="E18" i="21"/>
  <c r="E17" i="21"/>
  <c r="E16" i="21"/>
  <c r="E15" i="21"/>
  <c r="E14" i="21"/>
  <c r="E11" i="21"/>
  <c r="E10" i="21"/>
  <c r="E9" i="21"/>
  <c r="F19" i="21"/>
  <c r="F18" i="21"/>
  <c r="F17" i="21"/>
  <c r="F16" i="21"/>
  <c r="F15" i="21"/>
  <c r="F14" i="21"/>
  <c r="F11" i="21"/>
  <c r="F10" i="21"/>
  <c r="F9" i="21"/>
  <c r="G19" i="21"/>
  <c r="G18" i="21"/>
  <c r="G17" i="21"/>
  <c r="G16" i="21"/>
  <c r="G15" i="21"/>
  <c r="G14" i="21"/>
  <c r="G12" i="21"/>
  <c r="G11" i="21"/>
  <c r="G10" i="21"/>
  <c r="G9" i="21"/>
  <c r="H20" i="21"/>
  <c r="H19" i="21"/>
  <c r="H18" i="21"/>
  <c r="H17" i="21"/>
  <c r="H16" i="21"/>
  <c r="H15" i="21"/>
  <c r="H14" i="21"/>
  <c r="H12" i="21"/>
  <c r="H11" i="21"/>
  <c r="H10" i="21"/>
  <c r="H9" i="21"/>
  <c r="I19" i="21"/>
  <c r="I18" i="21"/>
  <c r="I17" i="21"/>
  <c r="I16" i="21"/>
  <c r="I15" i="21"/>
  <c r="I14" i="21"/>
  <c r="I11" i="21"/>
  <c r="I10" i="21"/>
  <c r="I9" i="21"/>
  <c r="B8" i="21"/>
  <c r="C8" i="21"/>
  <c r="D8" i="21"/>
  <c r="E8" i="21"/>
  <c r="F8" i="21"/>
  <c r="G8" i="21"/>
  <c r="H8" i="21"/>
  <c r="I8" i="21"/>
  <c r="X12" i="55"/>
  <c r="F19" i="37"/>
  <c r="H19" i="37"/>
  <c r="R19" i="37"/>
  <c r="M16" i="39"/>
  <c r="N16" i="39"/>
  <c r="C16" i="39"/>
  <c r="D16" i="39"/>
  <c r="Y46" i="39"/>
  <c r="Z46" i="39"/>
  <c r="F12" i="102"/>
  <c r="F14" i="102"/>
  <c r="F15" i="102"/>
  <c r="F18" i="102"/>
  <c r="F17" i="102"/>
  <c r="F16" i="102"/>
  <c r="F13" i="102"/>
  <c r="F11" i="102"/>
  <c r="J62" i="12"/>
  <c r="J63" i="12"/>
  <c r="J64" i="12"/>
  <c r="J65" i="12"/>
  <c r="J30" i="12"/>
  <c r="J31" i="12"/>
  <c r="J32" i="12"/>
  <c r="J22" i="12"/>
  <c r="J23" i="12"/>
  <c r="I75" i="12"/>
  <c r="I76" i="12"/>
  <c r="I77" i="12"/>
  <c r="I78" i="12"/>
  <c r="I79" i="12"/>
  <c r="I80" i="12"/>
  <c r="I81" i="12"/>
  <c r="I82" i="12"/>
  <c r="I83" i="12"/>
  <c r="I74" i="12"/>
  <c r="I31" i="12"/>
  <c r="I30" i="12"/>
  <c r="H80" i="12"/>
  <c r="H81" i="12"/>
  <c r="H82" i="12"/>
  <c r="H83" i="12"/>
  <c r="H77" i="12"/>
  <c r="H78" i="12"/>
  <c r="H79" i="12"/>
  <c r="H75" i="12"/>
  <c r="H76" i="12"/>
  <c r="H74" i="12"/>
  <c r="H31" i="12"/>
  <c r="H32" i="12"/>
  <c r="H30" i="12"/>
  <c r="G75" i="12"/>
  <c r="G76" i="12"/>
  <c r="G77" i="12"/>
  <c r="G78" i="12"/>
  <c r="G79" i="12"/>
  <c r="G80" i="12"/>
  <c r="G81" i="12"/>
  <c r="G82" i="12"/>
  <c r="G83" i="12"/>
  <c r="G74" i="12"/>
  <c r="G31" i="12"/>
  <c r="G32" i="12"/>
  <c r="G30" i="12"/>
  <c r="G18" i="12"/>
  <c r="G21" i="12"/>
  <c r="G22" i="12"/>
  <c r="G23" i="12"/>
  <c r="G10" i="12"/>
  <c r="G15" i="12"/>
  <c r="F44" i="12"/>
  <c r="F62" i="12"/>
  <c r="F63" i="12"/>
  <c r="F64" i="12"/>
  <c r="F65" i="12"/>
  <c r="F58" i="12"/>
  <c r="F59" i="12"/>
  <c r="F31" i="12"/>
  <c r="F32" i="12"/>
  <c r="F30" i="12"/>
  <c r="F27" i="12"/>
  <c r="F19" i="12"/>
  <c r="F20" i="12"/>
  <c r="F21" i="12"/>
  <c r="F22" i="12"/>
  <c r="F23" i="12"/>
  <c r="F18" i="12"/>
  <c r="F10" i="12"/>
  <c r="E68" i="12"/>
  <c r="E44" i="12"/>
  <c r="E31" i="12"/>
  <c r="E32" i="12"/>
  <c r="E30" i="12"/>
  <c r="E27" i="12"/>
  <c r="E26" i="12"/>
  <c r="E11" i="12"/>
  <c r="E12" i="12"/>
  <c r="E13" i="12"/>
  <c r="E14" i="12"/>
  <c r="E15" i="12"/>
  <c r="E10" i="12"/>
  <c r="D68" i="12"/>
  <c r="D69" i="12"/>
  <c r="D70" i="12"/>
  <c r="D71" i="12"/>
  <c r="D63" i="12"/>
  <c r="D64" i="12"/>
  <c r="D65" i="12"/>
  <c r="D30" i="12"/>
  <c r="D31" i="12"/>
  <c r="D18" i="12"/>
  <c r="I15" i="76"/>
  <c r="H15" i="76"/>
  <c r="F15" i="76"/>
  <c r="B25" i="114"/>
  <c r="B33" i="114"/>
  <c r="B31" i="114"/>
  <c r="B30" i="114"/>
  <c r="B26" i="114"/>
  <c r="B32" i="114"/>
  <c r="D15" i="114"/>
  <c r="E15" i="114"/>
  <c r="F15" i="114"/>
  <c r="G15" i="114"/>
  <c r="H15" i="114"/>
  <c r="I15" i="114"/>
  <c r="J15" i="114"/>
  <c r="K15" i="114"/>
  <c r="L15" i="114"/>
  <c r="M15" i="114"/>
  <c r="N15" i="114"/>
  <c r="C15" i="114"/>
  <c r="D14" i="114"/>
  <c r="E14" i="114"/>
  <c r="F14" i="114"/>
  <c r="G14" i="114"/>
  <c r="H14" i="114"/>
  <c r="I14" i="114"/>
  <c r="J14" i="114"/>
  <c r="K14" i="114"/>
  <c r="L14" i="114"/>
  <c r="M14" i="114"/>
  <c r="E31" i="114" s="1"/>
  <c r="N14" i="114"/>
  <c r="C14" i="114"/>
  <c r="D13" i="114"/>
  <c r="E13" i="114"/>
  <c r="F13" i="114"/>
  <c r="G13" i="114"/>
  <c r="H13" i="114"/>
  <c r="I13" i="114"/>
  <c r="J13" i="114"/>
  <c r="K13" i="114"/>
  <c r="L13" i="114"/>
  <c r="M13" i="114"/>
  <c r="N13" i="114"/>
  <c r="C13" i="114"/>
  <c r="D9" i="114"/>
  <c r="E9" i="114"/>
  <c r="F9" i="114"/>
  <c r="G9" i="114"/>
  <c r="H9" i="114"/>
  <c r="I9" i="114"/>
  <c r="J9" i="114"/>
  <c r="K9" i="114"/>
  <c r="L9" i="114"/>
  <c r="M9" i="114"/>
  <c r="E26" i="114" s="1"/>
  <c r="N9" i="114"/>
  <c r="C9" i="114"/>
  <c r="D8" i="114"/>
  <c r="E8" i="114"/>
  <c r="F8" i="114"/>
  <c r="G8" i="114"/>
  <c r="H8" i="114"/>
  <c r="I8" i="114"/>
  <c r="J8" i="114"/>
  <c r="K8" i="114"/>
  <c r="L8" i="114"/>
  <c r="M8" i="114"/>
  <c r="E25" i="114" s="1"/>
  <c r="N8" i="114"/>
  <c r="C8" i="114"/>
  <c r="E23" i="109"/>
  <c r="E22" i="109"/>
  <c r="F22" i="109" s="1"/>
  <c r="B22" i="109"/>
  <c r="B23" i="109"/>
  <c r="B24" i="107"/>
  <c r="C24" i="107"/>
  <c r="C23" i="109"/>
  <c r="R19" i="35"/>
  <c r="R18" i="38"/>
  <c r="H18" i="38"/>
  <c r="F18" i="38"/>
  <c r="I37" i="46"/>
  <c r="I33" i="46"/>
  <c r="L19" i="46"/>
  <c r="AB23" i="62"/>
  <c r="AB38" i="62" s="1"/>
  <c r="AA23" i="62"/>
  <c r="AA38" i="62" s="1"/>
  <c r="AC21" i="57"/>
  <c r="AK27" i="57"/>
  <c r="H27" i="67" s="1"/>
  <c r="AC25" i="57"/>
  <c r="Y25" i="57"/>
  <c r="Q25" i="57"/>
  <c r="I25" i="57"/>
  <c r="AG21" i="57"/>
  <c r="Y21" i="57"/>
  <c r="AK16" i="57"/>
  <c r="H17" i="67" s="1"/>
  <c r="C11" i="102" s="1"/>
  <c r="AK13" i="57"/>
  <c r="H14" i="67" s="1"/>
  <c r="C9" i="102" s="1"/>
  <c r="Y11" i="57"/>
  <c r="Y15" i="57" s="1"/>
  <c r="AK9" i="57"/>
  <c r="H10" i="67" s="1"/>
  <c r="C7" i="102" s="1"/>
  <c r="AG11" i="57"/>
  <c r="AG15" i="57" s="1"/>
  <c r="AC11" i="57"/>
  <c r="AC15" i="57" s="1"/>
  <c r="L19" i="111"/>
  <c r="L20" i="111"/>
  <c r="L21" i="111"/>
  <c r="L22" i="111"/>
  <c r="L23" i="111"/>
  <c r="L25" i="111"/>
  <c r="L26" i="111"/>
  <c r="J40" i="73"/>
  <c r="F40" i="73"/>
  <c r="E40" i="73"/>
  <c r="G37" i="73"/>
  <c r="F37" i="73"/>
  <c r="E37" i="73"/>
  <c r="D37" i="73"/>
  <c r="G31" i="73"/>
  <c r="F31" i="73"/>
  <c r="E31" i="73"/>
  <c r="D31" i="73"/>
  <c r="G25" i="73"/>
  <c r="F25" i="73"/>
  <c r="E25" i="73"/>
  <c r="D25" i="73"/>
  <c r="G19" i="73"/>
  <c r="F19" i="73"/>
  <c r="E19" i="73"/>
  <c r="D19" i="73"/>
  <c r="B42" i="78"/>
  <c r="C9" i="86"/>
  <c r="D9" i="86"/>
  <c r="E9" i="86"/>
  <c r="C10" i="86"/>
  <c r="D10" i="86"/>
  <c r="E10" i="86"/>
  <c r="C11" i="86"/>
  <c r="D11" i="86"/>
  <c r="E11" i="86"/>
  <c r="C12" i="86"/>
  <c r="D12" i="86"/>
  <c r="E12" i="86"/>
  <c r="C13" i="86"/>
  <c r="D13" i="86"/>
  <c r="E13" i="86"/>
  <c r="C14" i="86"/>
  <c r="D14" i="86"/>
  <c r="E14" i="86"/>
  <c r="C15" i="86"/>
  <c r="D15" i="86"/>
  <c r="E15" i="86"/>
  <c r="C16" i="86"/>
  <c r="D16" i="86"/>
  <c r="E16" i="86"/>
  <c r="E34" i="55"/>
  <c r="G15" i="76"/>
  <c r="E15" i="76"/>
  <c r="K19" i="111"/>
  <c r="K20" i="111"/>
  <c r="K21" i="111"/>
  <c r="K22" i="111"/>
  <c r="K23" i="111"/>
  <c r="K25" i="111"/>
  <c r="K26" i="111"/>
  <c r="G59" i="110"/>
  <c r="G60" i="110"/>
  <c r="G61" i="110"/>
  <c r="Z23" i="62"/>
  <c r="Z38" i="62" s="1"/>
  <c r="X23" i="62"/>
  <c r="X38" i="62" s="1"/>
  <c r="Z49" i="62"/>
  <c r="Z48" i="62"/>
  <c r="Z47" i="62"/>
  <c r="Z46" i="62"/>
  <c r="Z45" i="62"/>
  <c r="Z44" i="62"/>
  <c r="Z43" i="62"/>
  <c r="Z42" i="62"/>
  <c r="Z41" i="62"/>
  <c r="B36" i="62"/>
  <c r="AD36" i="62" s="1"/>
  <c r="C36" i="62"/>
  <c r="D36" i="62"/>
  <c r="AF36" i="62" s="1"/>
  <c r="W23" i="62"/>
  <c r="W38" i="62" s="1"/>
  <c r="V23" i="62"/>
  <c r="V38" i="62" s="1"/>
  <c r="S38" i="61"/>
  <c r="O38" i="61"/>
  <c r="AB42" i="52"/>
  <c r="AA44" i="52"/>
  <c r="AB44" i="52"/>
  <c r="AC44" i="52"/>
  <c r="AA35" i="52"/>
  <c r="AB35" i="52"/>
  <c r="AA27" i="52"/>
  <c r="AB27" i="52"/>
  <c r="AA28" i="52"/>
  <c r="AB28" i="52"/>
  <c r="AA29" i="52"/>
  <c r="AB29" i="52"/>
  <c r="AA12" i="52"/>
  <c r="AB12" i="52"/>
  <c r="C19" i="38"/>
  <c r="D19" i="32"/>
  <c r="E19" i="32" s="1"/>
  <c r="T57" i="40"/>
  <c r="T58" i="40"/>
  <c r="Y50" i="39"/>
  <c r="AA50" i="39" s="1"/>
  <c r="Z50" i="39"/>
  <c r="Y51" i="39"/>
  <c r="Z51" i="39"/>
  <c r="I24" i="106"/>
  <c r="H24" i="106"/>
  <c r="G24" i="106"/>
  <c r="F24" i="106"/>
  <c r="E24" i="106"/>
  <c r="D24" i="106"/>
  <c r="C24" i="106"/>
  <c r="J24" i="106"/>
  <c r="M13" i="14"/>
  <c r="B42" i="13"/>
  <c r="C42" i="13"/>
  <c r="J75" i="12"/>
  <c r="J76" i="12"/>
  <c r="J77" i="12"/>
  <c r="J78" i="12"/>
  <c r="J79" i="12"/>
  <c r="J80" i="12"/>
  <c r="J81" i="12"/>
  <c r="J82" i="12"/>
  <c r="J83" i="12"/>
  <c r="J74" i="12"/>
  <c r="E71" i="12"/>
  <c r="E70" i="12"/>
  <c r="E69" i="12"/>
  <c r="E58" i="12"/>
  <c r="E59" i="12"/>
  <c r="E57" i="12"/>
  <c r="D39" i="12"/>
  <c r="D40" i="12"/>
  <c r="D41" i="12"/>
  <c r="E18" i="12"/>
  <c r="E19" i="12"/>
  <c r="E20" i="12"/>
  <c r="E21" i="12"/>
  <c r="E22" i="12"/>
  <c r="E23" i="12"/>
  <c r="D20" i="12"/>
  <c r="D21" i="12"/>
  <c r="D22" i="12"/>
  <c r="D23" i="12"/>
  <c r="D11" i="12"/>
  <c r="D12" i="12"/>
  <c r="D13" i="12"/>
  <c r="D14" i="12"/>
  <c r="D15" i="12"/>
  <c r="F13" i="12"/>
  <c r="F14" i="12"/>
  <c r="F15" i="12"/>
  <c r="L73" i="11"/>
  <c r="D43" i="11"/>
  <c r="E43" i="11"/>
  <c r="F43" i="11"/>
  <c r="G43" i="11"/>
  <c r="H43" i="11"/>
  <c r="C20" i="39"/>
  <c r="AA20" i="39" s="1"/>
  <c r="D20" i="39"/>
  <c r="AB20" i="39" s="1"/>
  <c r="M20" i="39"/>
  <c r="N20" i="39"/>
  <c r="C21" i="39"/>
  <c r="D21" i="39"/>
  <c r="M21" i="39"/>
  <c r="N21" i="39"/>
  <c r="AB21" i="39" s="1"/>
  <c r="AA8" i="112"/>
  <c r="Z8" i="112"/>
  <c r="Y8" i="112"/>
  <c r="Z38" i="61"/>
  <c r="AD38" i="61" s="1"/>
  <c r="T42" i="56"/>
  <c r="E18" i="51"/>
  <c r="B19" i="32"/>
  <c r="C19" i="32" s="1"/>
  <c r="B19" i="36"/>
  <c r="C19" i="36" s="1"/>
  <c r="D19" i="36"/>
  <c r="E19" i="36" s="1"/>
  <c r="H19" i="31"/>
  <c r="J19" i="32"/>
  <c r="L19" i="32"/>
  <c r="N19" i="32"/>
  <c r="P19" i="32"/>
  <c r="T19" i="32"/>
  <c r="V19" i="32"/>
  <c r="X19" i="32"/>
  <c r="Z19" i="32"/>
  <c r="AB19" i="32"/>
  <c r="AD19" i="32"/>
  <c r="AC12" i="52"/>
  <c r="U42" i="56"/>
  <c r="C61" i="72"/>
  <c r="D61" i="72"/>
  <c r="E61" i="72"/>
  <c r="F61" i="72"/>
  <c r="C62" i="72"/>
  <c r="D62" i="72"/>
  <c r="E62" i="72"/>
  <c r="F62" i="72"/>
  <c r="C63" i="72"/>
  <c r="D63" i="72"/>
  <c r="E63" i="72"/>
  <c r="F63" i="72"/>
  <c r="C64" i="72"/>
  <c r="D64" i="72"/>
  <c r="E64" i="72"/>
  <c r="F64" i="72"/>
  <c r="C65" i="72"/>
  <c r="D65" i="72"/>
  <c r="E65" i="72"/>
  <c r="F65" i="72"/>
  <c r="C66" i="72"/>
  <c r="D66" i="72"/>
  <c r="E66" i="72"/>
  <c r="F66" i="72"/>
  <c r="C67" i="72"/>
  <c r="D67" i="72"/>
  <c r="E67" i="72"/>
  <c r="F67" i="72"/>
  <c r="C68" i="72"/>
  <c r="D68" i="72"/>
  <c r="E68" i="72"/>
  <c r="F68" i="72"/>
  <c r="C69" i="72"/>
  <c r="D69" i="72"/>
  <c r="E69" i="72"/>
  <c r="F69" i="72"/>
  <c r="C70" i="72"/>
  <c r="D70" i="72"/>
  <c r="E70" i="72"/>
  <c r="F70" i="72"/>
  <c r="C71" i="72"/>
  <c r="D71" i="72"/>
  <c r="E71" i="72"/>
  <c r="F71" i="72"/>
  <c r="C72" i="72"/>
  <c r="D72" i="72"/>
  <c r="E72" i="72"/>
  <c r="F72" i="72"/>
  <c r="C73" i="72"/>
  <c r="D73" i="72"/>
  <c r="E73" i="72"/>
  <c r="F73" i="72"/>
  <c r="C74" i="72"/>
  <c r="D74" i="72"/>
  <c r="E74" i="72"/>
  <c r="F74" i="72"/>
  <c r="C75" i="72"/>
  <c r="D75" i="72"/>
  <c r="E75" i="72"/>
  <c r="F75" i="72"/>
  <c r="C76" i="72"/>
  <c r="D76" i="72"/>
  <c r="E76" i="72"/>
  <c r="F76" i="72"/>
  <c r="C77" i="72"/>
  <c r="D77" i="72"/>
  <c r="E77" i="72"/>
  <c r="F77" i="72"/>
  <c r="C78" i="72"/>
  <c r="D78" i="72"/>
  <c r="E78" i="72"/>
  <c r="F78" i="72"/>
  <c r="J26" i="111"/>
  <c r="J25" i="111"/>
  <c r="J23" i="111"/>
  <c r="J22" i="111"/>
  <c r="J21" i="111"/>
  <c r="J20" i="111"/>
  <c r="J19" i="111"/>
  <c r="P35" i="67"/>
  <c r="P21" i="67"/>
  <c r="P22" i="67"/>
  <c r="P24" i="67"/>
  <c r="P25" i="67"/>
  <c r="P26" i="67"/>
  <c r="P27" i="67"/>
  <c r="P28" i="67"/>
  <c r="P30" i="67"/>
  <c r="P31" i="67"/>
  <c r="P32" i="67"/>
  <c r="P33" i="67"/>
  <c r="P34" i="67"/>
  <c r="AF49" i="61"/>
  <c r="AF48" i="61"/>
  <c r="AF47" i="61"/>
  <c r="AF46" i="61"/>
  <c r="AF45" i="61"/>
  <c r="AF44" i="61"/>
  <c r="AF43" i="61"/>
  <c r="AF42" i="61"/>
  <c r="AF41" i="61"/>
  <c r="AF49" i="59"/>
  <c r="AF48" i="59"/>
  <c r="AF47" i="59"/>
  <c r="AF46" i="59"/>
  <c r="AF45" i="59"/>
  <c r="AF44" i="59"/>
  <c r="AF43" i="59"/>
  <c r="AF42" i="59"/>
  <c r="AF41" i="59"/>
  <c r="AB49" i="62"/>
  <c r="AB48" i="62"/>
  <c r="AB47" i="62"/>
  <c r="AB46" i="62"/>
  <c r="AB45" i="62"/>
  <c r="AB44" i="62"/>
  <c r="AB43" i="62"/>
  <c r="AB42" i="62"/>
  <c r="AB41" i="62"/>
  <c r="O49" i="62"/>
  <c r="O48" i="62"/>
  <c r="O47" i="62"/>
  <c r="O46" i="62"/>
  <c r="O45" i="62"/>
  <c r="O44" i="62"/>
  <c r="O43" i="62"/>
  <c r="O42" i="62"/>
  <c r="O41" i="62"/>
  <c r="O37" i="62"/>
  <c r="O36" i="62"/>
  <c r="O35" i="62"/>
  <c r="O34" i="62"/>
  <c r="O33" i="62"/>
  <c r="O32" i="62"/>
  <c r="O31" i="62"/>
  <c r="O30" i="62"/>
  <c r="O29" i="62"/>
  <c r="O28" i="62"/>
  <c r="O27" i="62"/>
  <c r="O26" i="62"/>
  <c r="O25" i="62"/>
  <c r="O24" i="62"/>
  <c r="O23" i="62"/>
  <c r="O22" i="62"/>
  <c r="O21" i="62"/>
  <c r="O20" i="62"/>
  <c r="O19" i="62"/>
  <c r="O18" i="62"/>
  <c r="O17" i="62"/>
  <c r="O16" i="62"/>
  <c r="O15" i="62"/>
  <c r="O14" i="62"/>
  <c r="O13" i="62"/>
  <c r="O12" i="62"/>
  <c r="O11" i="62"/>
  <c r="O10" i="62"/>
  <c r="O9" i="62"/>
  <c r="AI26" i="57"/>
  <c r="AI27" i="57"/>
  <c r="AE32" i="57"/>
  <c r="C33" i="55"/>
  <c r="G33" i="55"/>
  <c r="K33" i="55"/>
  <c r="O33" i="55"/>
  <c r="S33" i="55"/>
  <c r="W33" i="55"/>
  <c r="C12" i="55"/>
  <c r="D12" i="55"/>
  <c r="W12" i="55"/>
  <c r="S12" i="55"/>
  <c r="T12" i="55"/>
  <c r="O12" i="55"/>
  <c r="P12" i="55"/>
  <c r="Q12" i="55"/>
  <c r="K12" i="55"/>
  <c r="L12" i="55"/>
  <c r="M12" i="55"/>
  <c r="G12" i="55"/>
  <c r="H12" i="55"/>
  <c r="I12" i="55"/>
  <c r="AA33" i="52"/>
  <c r="AA46" i="51"/>
  <c r="S31" i="56"/>
  <c r="S24" i="56"/>
  <c r="S25" i="56"/>
  <c r="S11" i="56"/>
  <c r="T11" i="56"/>
  <c r="E21" i="54"/>
  <c r="AA33" i="54"/>
  <c r="AA27" i="54"/>
  <c r="AA28" i="54"/>
  <c r="AA29" i="54"/>
  <c r="AA12" i="54"/>
  <c r="AB12" i="54"/>
  <c r="AA33" i="53"/>
  <c r="AA27" i="53"/>
  <c r="AA28" i="53"/>
  <c r="AA29" i="53"/>
  <c r="AA12" i="53"/>
  <c r="AB12" i="53"/>
  <c r="E14" i="53"/>
  <c r="E18" i="53"/>
  <c r="E21" i="53"/>
  <c r="E31" i="53"/>
  <c r="E37" i="53"/>
  <c r="E41" i="53"/>
  <c r="AC45" i="51"/>
  <c r="AA33" i="51"/>
  <c r="AA27" i="51"/>
  <c r="AA28" i="51"/>
  <c r="AA29" i="51"/>
  <c r="AA12" i="51"/>
  <c r="AB12" i="51"/>
  <c r="AA12" i="50"/>
  <c r="AA27" i="50"/>
  <c r="AB27" i="50"/>
  <c r="AA28" i="50"/>
  <c r="AB28" i="50"/>
  <c r="AA29" i="50"/>
  <c r="AB29" i="50"/>
  <c r="AA33" i="50"/>
  <c r="AB12" i="50"/>
  <c r="D32" i="12"/>
  <c r="I32" i="12"/>
  <c r="D27" i="12"/>
  <c r="D29" i="11"/>
  <c r="R19" i="31"/>
  <c r="E12" i="55"/>
  <c r="U12" i="55"/>
  <c r="Y12" i="55"/>
  <c r="AC12" i="54"/>
  <c r="AC12" i="53"/>
  <c r="AC12" i="51"/>
  <c r="AC9" i="51"/>
  <c r="AC10" i="51"/>
  <c r="AC11" i="51"/>
  <c r="AC13" i="51"/>
  <c r="AC12" i="50"/>
  <c r="U11" i="56"/>
  <c r="AB38" i="61"/>
  <c r="AJ9" i="57"/>
  <c r="AI9" i="57"/>
  <c r="G13" i="110"/>
  <c r="G14" i="110"/>
  <c r="G15" i="110"/>
  <c r="G20" i="110"/>
  <c r="G27" i="110"/>
  <c r="G30" i="110"/>
  <c r="G31" i="110"/>
  <c r="G32" i="110"/>
  <c r="G33" i="110"/>
  <c r="G35" i="110"/>
  <c r="G36" i="110"/>
  <c r="G37" i="110"/>
  <c r="G38" i="110"/>
  <c r="G42" i="110"/>
  <c r="G45" i="110"/>
  <c r="G46" i="110"/>
  <c r="G49" i="110"/>
  <c r="G52" i="110"/>
  <c r="G53" i="110"/>
  <c r="G57" i="110"/>
  <c r="G28" i="110"/>
  <c r="G29" i="110"/>
  <c r="G34" i="110"/>
  <c r="G39" i="110"/>
  <c r="G40" i="110"/>
  <c r="G41" i="110"/>
  <c r="G43" i="110"/>
  <c r="G44" i="110"/>
  <c r="G47" i="110"/>
  <c r="G48" i="110"/>
  <c r="G50" i="110"/>
  <c r="G51" i="110"/>
  <c r="G54" i="110"/>
  <c r="G55" i="110"/>
  <c r="G56" i="110"/>
  <c r="G58" i="110"/>
  <c r="G62" i="110"/>
  <c r="G63" i="110"/>
  <c r="G64" i="110"/>
  <c r="AI23" i="57"/>
  <c r="AI13" i="57"/>
  <c r="AI17" i="57"/>
  <c r="AJ17" i="57"/>
  <c r="T31" i="56"/>
  <c r="T24" i="56"/>
  <c r="T25" i="56"/>
  <c r="X33" i="55"/>
  <c r="T33" i="55"/>
  <c r="P33" i="55"/>
  <c r="L33" i="55"/>
  <c r="H33" i="55"/>
  <c r="D33" i="55"/>
  <c r="C27" i="55"/>
  <c r="D27" i="55"/>
  <c r="C28" i="55"/>
  <c r="D28" i="55"/>
  <c r="C29" i="55"/>
  <c r="D29" i="55"/>
  <c r="G27" i="55"/>
  <c r="H27" i="55"/>
  <c r="G28" i="55"/>
  <c r="H28" i="55"/>
  <c r="G29" i="55"/>
  <c r="H29" i="55"/>
  <c r="K27" i="55"/>
  <c r="L27" i="55"/>
  <c r="K28" i="55"/>
  <c r="L28" i="55"/>
  <c r="K29" i="55"/>
  <c r="L29" i="55"/>
  <c r="O27" i="55"/>
  <c r="P27" i="55"/>
  <c r="O28" i="55"/>
  <c r="P28" i="55"/>
  <c r="O29" i="55"/>
  <c r="P29" i="55"/>
  <c r="S27" i="55"/>
  <c r="T27" i="55"/>
  <c r="S28" i="55"/>
  <c r="T28" i="55"/>
  <c r="S29" i="55"/>
  <c r="T29" i="55"/>
  <c r="W27" i="55"/>
  <c r="X27" i="55"/>
  <c r="W28" i="55"/>
  <c r="X28" i="55"/>
  <c r="W29" i="55"/>
  <c r="X29" i="55"/>
  <c r="AB33" i="54"/>
  <c r="AB27" i="54"/>
  <c r="AB28" i="54"/>
  <c r="AB29" i="54"/>
  <c r="AB33" i="53"/>
  <c r="AB27" i="53"/>
  <c r="AB28" i="53"/>
  <c r="AB29" i="53"/>
  <c r="AB33" i="52"/>
  <c r="AB33" i="51"/>
  <c r="AB27" i="51"/>
  <c r="AB28" i="51"/>
  <c r="AB29" i="51"/>
  <c r="AB33" i="50"/>
  <c r="I19" i="111"/>
  <c r="I20" i="111"/>
  <c r="I21" i="111"/>
  <c r="I22" i="111"/>
  <c r="I23" i="111"/>
  <c r="I25" i="111"/>
  <c r="I26" i="111"/>
  <c r="E53" i="39"/>
  <c r="G53" i="39"/>
  <c r="I53" i="39"/>
  <c r="K53" i="39"/>
  <c r="M53" i="39"/>
  <c r="O53" i="39"/>
  <c r="Q53" i="39"/>
  <c r="S53" i="39"/>
  <c r="U53" i="39"/>
  <c r="W53" i="39"/>
  <c r="F53" i="39"/>
  <c r="H53" i="39"/>
  <c r="J53" i="39"/>
  <c r="L53" i="39"/>
  <c r="N53" i="39"/>
  <c r="P53" i="39"/>
  <c r="R53" i="39"/>
  <c r="T53" i="39"/>
  <c r="V53" i="39"/>
  <c r="X53" i="39"/>
  <c r="Y52" i="39"/>
  <c r="Z52" i="39"/>
  <c r="AA52" i="39" s="1"/>
  <c r="Y49" i="39"/>
  <c r="Z49" i="39"/>
  <c r="Y48" i="39"/>
  <c r="Z48" i="39"/>
  <c r="Y47" i="39"/>
  <c r="Z47" i="39"/>
  <c r="Y45" i="39"/>
  <c r="Z45" i="39"/>
  <c r="Y44" i="39"/>
  <c r="Z44" i="39"/>
  <c r="Y43" i="39"/>
  <c r="Z43" i="39"/>
  <c r="Y42" i="39"/>
  <c r="Z42" i="39"/>
  <c r="AA42" i="39" s="1"/>
  <c r="Y41" i="39"/>
  <c r="Z41" i="39"/>
  <c r="Y40" i="39"/>
  <c r="Z40" i="39"/>
  <c r="Y39" i="39"/>
  <c r="Z39" i="39"/>
  <c r="Y38" i="39"/>
  <c r="Z38" i="39"/>
  <c r="Y23" i="39"/>
  <c r="Z23" i="39"/>
  <c r="D53" i="39"/>
  <c r="F23" i="39"/>
  <c r="G23" i="39"/>
  <c r="H23" i="39"/>
  <c r="I23" i="39"/>
  <c r="J23" i="39"/>
  <c r="K23" i="39"/>
  <c r="L23" i="39"/>
  <c r="P23" i="39"/>
  <c r="Q23" i="39"/>
  <c r="R23" i="39"/>
  <c r="S23" i="39"/>
  <c r="T23" i="39"/>
  <c r="U23" i="39"/>
  <c r="V23" i="39"/>
  <c r="W23" i="39"/>
  <c r="X23" i="39"/>
  <c r="N11" i="39"/>
  <c r="N12" i="39"/>
  <c r="N13" i="39"/>
  <c r="N14" i="39"/>
  <c r="N15" i="39"/>
  <c r="N17" i="39"/>
  <c r="N18" i="39"/>
  <c r="N19" i="39"/>
  <c r="N22" i="39"/>
  <c r="N10" i="39"/>
  <c r="N8" i="39"/>
  <c r="N9" i="39"/>
  <c r="M11" i="39"/>
  <c r="M12" i="39"/>
  <c r="M13" i="39"/>
  <c r="M14" i="39"/>
  <c r="M15" i="39"/>
  <c r="M17" i="39"/>
  <c r="M18" i="39"/>
  <c r="M19" i="39"/>
  <c r="M22" i="39"/>
  <c r="M10" i="39"/>
  <c r="M8" i="39"/>
  <c r="M9" i="39"/>
  <c r="D11" i="39"/>
  <c r="D12" i="39"/>
  <c r="AB12" i="39" s="1"/>
  <c r="D13" i="39"/>
  <c r="D14" i="39"/>
  <c r="AB14" i="39" s="1"/>
  <c r="D15" i="39"/>
  <c r="D17" i="39"/>
  <c r="D18" i="39"/>
  <c r="AB18" i="39" s="1"/>
  <c r="D19" i="39"/>
  <c r="AB19" i="39"/>
  <c r="D22" i="39"/>
  <c r="AB22" i="39" s="1"/>
  <c r="D10" i="39"/>
  <c r="D8" i="39"/>
  <c r="D9" i="39"/>
  <c r="C11" i="39"/>
  <c r="C12" i="39"/>
  <c r="C13" i="39"/>
  <c r="C14" i="39"/>
  <c r="C15" i="39"/>
  <c r="C17" i="39"/>
  <c r="C18" i="39"/>
  <c r="C19" i="39"/>
  <c r="AA19" i="39" s="1"/>
  <c r="C22" i="39"/>
  <c r="C10" i="39"/>
  <c r="C8" i="39"/>
  <c r="C9" i="39"/>
  <c r="AC27" i="52"/>
  <c r="AC28" i="52"/>
  <c r="AC27" i="51"/>
  <c r="AC28" i="51"/>
  <c r="AC27" i="50"/>
  <c r="AC28" i="50"/>
  <c r="Y27" i="55"/>
  <c r="Y28" i="55"/>
  <c r="Q27" i="55"/>
  <c r="Q28" i="55"/>
  <c r="M27" i="55"/>
  <c r="M28" i="55"/>
  <c r="I27" i="55"/>
  <c r="I28" i="55"/>
  <c r="U27" i="55"/>
  <c r="U28" i="55"/>
  <c r="E28" i="55"/>
  <c r="AC27" i="53"/>
  <c r="AC28" i="53"/>
  <c r="AC27" i="54"/>
  <c r="AC28" i="54"/>
  <c r="E27" i="55"/>
  <c r="AC29" i="54"/>
  <c r="AC29" i="53"/>
  <c r="AC29" i="52"/>
  <c r="AC29" i="51"/>
  <c r="AC29" i="50"/>
  <c r="Y29" i="55"/>
  <c r="U29" i="55"/>
  <c r="Q29" i="55"/>
  <c r="M29" i="55"/>
  <c r="I29" i="55"/>
  <c r="E29" i="55"/>
  <c r="F39" i="68"/>
  <c r="C19" i="30"/>
  <c r="E25" i="93"/>
  <c r="E19" i="93"/>
  <c r="F19" i="93"/>
  <c r="F16" i="93"/>
  <c r="G17" i="93"/>
  <c r="G24" i="93"/>
  <c r="X38" i="61"/>
  <c r="L23" i="62"/>
  <c r="H23" i="62"/>
  <c r="D23" i="62"/>
  <c r="T23" i="62"/>
  <c r="Y33" i="55"/>
  <c r="U33" i="55"/>
  <c r="Q33" i="55"/>
  <c r="M33" i="55"/>
  <c r="I33" i="55"/>
  <c r="E33" i="55"/>
  <c r="AC33" i="54"/>
  <c r="AC33" i="53"/>
  <c r="AC33" i="52"/>
  <c r="AC34" i="52"/>
  <c r="AC35" i="52"/>
  <c r="AC33" i="51"/>
  <c r="AC33" i="50"/>
  <c r="U31" i="56"/>
  <c r="U25" i="56"/>
  <c r="U36" i="56"/>
  <c r="U37" i="56"/>
  <c r="U38" i="56"/>
  <c r="U24" i="56"/>
  <c r="B28" i="62"/>
  <c r="C28" i="62"/>
  <c r="D28" i="62"/>
  <c r="F28" i="62"/>
  <c r="G28" i="62"/>
  <c r="H28" i="62"/>
  <c r="J28" i="62"/>
  <c r="K28" i="62"/>
  <c r="L28" i="62"/>
  <c r="N28" i="62"/>
  <c r="P28" i="62"/>
  <c r="R28" i="62"/>
  <c r="S28" i="62"/>
  <c r="T28" i="62"/>
  <c r="D18" i="90"/>
  <c r="F18" i="90"/>
  <c r="I13" i="76"/>
  <c r="I14" i="76"/>
  <c r="G13" i="76"/>
  <c r="H13" i="76"/>
  <c r="G14" i="76"/>
  <c r="H14" i="76"/>
  <c r="AB19" i="36"/>
  <c r="D39" i="68"/>
  <c r="E39" i="68"/>
  <c r="C39" i="68"/>
  <c r="C30" i="106"/>
  <c r="D30" i="106"/>
  <c r="E30" i="106"/>
  <c r="F30" i="106"/>
  <c r="G30" i="106"/>
  <c r="H30" i="106"/>
  <c r="I30" i="106"/>
  <c r="B27" i="107"/>
  <c r="E27" i="107"/>
  <c r="H19" i="33"/>
  <c r="K79" i="73"/>
  <c r="AJ23" i="57"/>
  <c r="D16" i="114"/>
  <c r="E16" i="114"/>
  <c r="F16" i="114"/>
  <c r="G16" i="114"/>
  <c r="H16" i="114"/>
  <c r="I16" i="114"/>
  <c r="J16" i="114"/>
  <c r="K16" i="114"/>
  <c r="L16" i="114"/>
  <c r="M16" i="114"/>
  <c r="N16" i="114"/>
  <c r="C16" i="114"/>
  <c r="B16" i="114" s="1"/>
  <c r="C33" i="114" s="1"/>
  <c r="D10" i="114"/>
  <c r="E10" i="114"/>
  <c r="F10" i="114"/>
  <c r="G10" i="114"/>
  <c r="H10" i="114"/>
  <c r="I10" i="114"/>
  <c r="J10" i="114"/>
  <c r="K10" i="114"/>
  <c r="L10" i="114"/>
  <c r="M10" i="114"/>
  <c r="N10" i="114"/>
  <c r="B31" i="107"/>
  <c r="E20" i="80"/>
  <c r="F20" i="80"/>
  <c r="G20" i="80"/>
  <c r="H20" i="80"/>
  <c r="I20" i="80"/>
  <c r="J20" i="80"/>
  <c r="L20" i="80"/>
  <c r="M20" i="80"/>
  <c r="N20" i="80"/>
  <c r="Q20" i="80"/>
  <c r="R20" i="80"/>
  <c r="S20" i="80"/>
  <c r="T20" i="80"/>
  <c r="U20" i="80"/>
  <c r="E31" i="107"/>
  <c r="F31" i="107" s="1"/>
  <c r="C31" i="107"/>
  <c r="C20" i="80"/>
  <c r="H19" i="111"/>
  <c r="H20" i="111"/>
  <c r="H21" i="111"/>
  <c r="H22" i="111"/>
  <c r="H23" i="111"/>
  <c r="H25" i="111"/>
  <c r="H26" i="111"/>
  <c r="AI12" i="57"/>
  <c r="AI14" i="57"/>
  <c r="AI16" i="57"/>
  <c r="AI18" i="57"/>
  <c r="C35" i="55"/>
  <c r="G35" i="55"/>
  <c r="K35" i="55"/>
  <c r="W35" i="55"/>
  <c r="S35" i="55"/>
  <c r="O35" i="55"/>
  <c r="AA44" i="50"/>
  <c r="G8" i="112"/>
  <c r="J8" i="112" s="1"/>
  <c r="H8" i="112"/>
  <c r="F8" i="112"/>
  <c r="M8" i="112" s="1"/>
  <c r="Q8" i="112" s="1"/>
  <c r="U8" i="112" s="1"/>
  <c r="AF31" i="57"/>
  <c r="AF32" i="57" s="1"/>
  <c r="AB31" i="57"/>
  <c r="AB32" i="57" s="1"/>
  <c r="AA31" i="57"/>
  <c r="AA32" i="57" s="1"/>
  <c r="X31" i="57"/>
  <c r="X32" i="57" s="1"/>
  <c r="W31" i="57"/>
  <c r="W32" i="57" s="1"/>
  <c r="T31" i="57"/>
  <c r="T32" i="57" s="1"/>
  <c r="S31" i="57"/>
  <c r="S32" i="57" s="1"/>
  <c r="P31" i="57"/>
  <c r="P32" i="57" s="1"/>
  <c r="O31" i="57"/>
  <c r="O32" i="57" s="1"/>
  <c r="H31" i="57"/>
  <c r="H32" i="57" s="1"/>
  <c r="G31" i="57"/>
  <c r="G32" i="57" s="1"/>
  <c r="C31" i="57"/>
  <c r="C32" i="57" s="1"/>
  <c r="D31" i="57"/>
  <c r="D32" i="57" s="1"/>
  <c r="AA44" i="51"/>
  <c r="AA35" i="51"/>
  <c r="AA35" i="50"/>
  <c r="B95" i="46"/>
  <c r="B96" i="46"/>
  <c r="B97" i="46"/>
  <c r="B98" i="46"/>
  <c r="B99" i="46"/>
  <c r="R19" i="33"/>
  <c r="J30" i="106"/>
  <c r="L30" i="106"/>
  <c r="T55" i="40"/>
  <c r="C13" i="80"/>
  <c r="D13" i="80"/>
  <c r="E13" i="80"/>
  <c r="F13" i="80"/>
  <c r="G13" i="80"/>
  <c r="H13" i="80"/>
  <c r="I13" i="80"/>
  <c r="J13" i="80"/>
  <c r="L13" i="80"/>
  <c r="M13" i="80"/>
  <c r="N13" i="80"/>
  <c r="Q13" i="80"/>
  <c r="R13" i="80"/>
  <c r="S13" i="80"/>
  <c r="T13" i="80"/>
  <c r="U13" i="80"/>
  <c r="C14" i="80"/>
  <c r="G26" i="111"/>
  <c r="F26" i="111"/>
  <c r="E26" i="111"/>
  <c r="D26" i="111"/>
  <c r="G25" i="111"/>
  <c r="F25" i="111"/>
  <c r="E25" i="111"/>
  <c r="D25" i="111"/>
  <c r="E24" i="111"/>
  <c r="D24" i="111"/>
  <c r="C24" i="111"/>
  <c r="G23" i="111"/>
  <c r="F23" i="111"/>
  <c r="E23" i="111"/>
  <c r="D23" i="111"/>
  <c r="C23" i="111"/>
  <c r="G22" i="111"/>
  <c r="F22" i="111"/>
  <c r="E22" i="111"/>
  <c r="D22" i="111"/>
  <c r="C22" i="111"/>
  <c r="G21" i="111"/>
  <c r="F21" i="111"/>
  <c r="E21" i="111"/>
  <c r="D21" i="111"/>
  <c r="C21" i="111"/>
  <c r="G20" i="111"/>
  <c r="F20" i="111"/>
  <c r="E20" i="111"/>
  <c r="D20" i="111"/>
  <c r="C20" i="111"/>
  <c r="G19" i="111"/>
  <c r="F19" i="111"/>
  <c r="E19" i="111"/>
  <c r="D19" i="111"/>
  <c r="C19" i="111"/>
  <c r="B20" i="111"/>
  <c r="B21" i="111"/>
  <c r="B22" i="111"/>
  <c r="B23" i="111"/>
  <c r="B24" i="111"/>
  <c r="B19" i="111"/>
  <c r="B35" i="114"/>
  <c r="B34" i="114"/>
  <c r="B29" i="114"/>
  <c r="B28" i="114"/>
  <c r="B27" i="114"/>
  <c r="B24" i="114"/>
  <c r="D39" i="112"/>
  <c r="B39" i="112"/>
  <c r="C39" i="112"/>
  <c r="F39" i="112"/>
  <c r="G39" i="112"/>
  <c r="H39" i="112"/>
  <c r="D18" i="114"/>
  <c r="E18" i="114"/>
  <c r="F18" i="114"/>
  <c r="G18" i="114"/>
  <c r="H18" i="114"/>
  <c r="I18" i="114"/>
  <c r="J18" i="114"/>
  <c r="K18" i="114"/>
  <c r="L18" i="114"/>
  <c r="M18" i="114"/>
  <c r="E35" i="114" s="1"/>
  <c r="N18" i="114"/>
  <c r="C18" i="114"/>
  <c r="D17" i="114"/>
  <c r="E17" i="114"/>
  <c r="F17" i="114"/>
  <c r="G17" i="114"/>
  <c r="H17" i="114"/>
  <c r="I17" i="114"/>
  <c r="J17" i="114"/>
  <c r="K17" i="114"/>
  <c r="L17" i="114"/>
  <c r="M17" i="114"/>
  <c r="N17" i="114"/>
  <c r="E34" i="114" s="1"/>
  <c r="C17" i="114"/>
  <c r="D12" i="114"/>
  <c r="E12" i="114"/>
  <c r="F12" i="114"/>
  <c r="G12" i="114"/>
  <c r="H12" i="114"/>
  <c r="I12" i="114"/>
  <c r="J12" i="114"/>
  <c r="K12" i="114"/>
  <c r="L12" i="114"/>
  <c r="M12" i="114"/>
  <c r="N12" i="114"/>
  <c r="C12" i="114"/>
  <c r="D11" i="114"/>
  <c r="E11" i="114"/>
  <c r="F11" i="114"/>
  <c r="G11" i="114"/>
  <c r="H11" i="114"/>
  <c r="I11" i="114"/>
  <c r="J11" i="114"/>
  <c r="K11" i="114"/>
  <c r="L11" i="114"/>
  <c r="M11" i="114"/>
  <c r="N11" i="114"/>
  <c r="C11" i="114"/>
  <c r="C10" i="114"/>
  <c r="D7" i="114"/>
  <c r="E7" i="114"/>
  <c r="F7" i="114"/>
  <c r="G7" i="114"/>
  <c r="H7" i="114"/>
  <c r="I7" i="114"/>
  <c r="J7" i="114"/>
  <c r="K7" i="114"/>
  <c r="L7" i="114"/>
  <c r="L19" i="114" s="1"/>
  <c r="M7" i="114"/>
  <c r="N7" i="114"/>
  <c r="C7" i="114"/>
  <c r="A3" i="114"/>
  <c r="D38" i="61"/>
  <c r="J65" i="110"/>
  <c r="I65" i="110"/>
  <c r="H65" i="110"/>
  <c r="G8" i="110"/>
  <c r="G9" i="110"/>
  <c r="G10" i="110"/>
  <c r="G11" i="110"/>
  <c r="G12" i="110"/>
  <c r="G16" i="110"/>
  <c r="G17" i="110"/>
  <c r="G18" i="110"/>
  <c r="G19" i="110"/>
  <c r="G22" i="110"/>
  <c r="G23" i="110"/>
  <c r="G24" i="110"/>
  <c r="G25" i="110"/>
  <c r="G26" i="110"/>
  <c r="G7" i="110"/>
  <c r="G6" i="110"/>
  <c r="G5" i="110"/>
  <c r="AE49" i="59"/>
  <c r="D38" i="59"/>
  <c r="D38" i="60"/>
  <c r="H38" i="61"/>
  <c r="AI20" i="57"/>
  <c r="B33" i="107"/>
  <c r="B32" i="107"/>
  <c r="B26" i="107"/>
  <c r="B28" i="107"/>
  <c r="B29" i="107"/>
  <c r="B30" i="107"/>
  <c r="B25" i="107"/>
  <c r="B23" i="107"/>
  <c r="E26" i="107"/>
  <c r="E28" i="107"/>
  <c r="F28" i="107" s="1"/>
  <c r="E29" i="107"/>
  <c r="F29" i="107" s="1"/>
  <c r="E30" i="107"/>
  <c r="F30" i="107" s="1"/>
  <c r="E32" i="107"/>
  <c r="F32" i="107" s="1"/>
  <c r="E33" i="107"/>
  <c r="F33" i="107" s="1"/>
  <c r="E25" i="107"/>
  <c r="F23" i="107"/>
  <c r="B26" i="109"/>
  <c r="B25" i="109"/>
  <c r="B24" i="109"/>
  <c r="B21" i="109"/>
  <c r="B20" i="109"/>
  <c r="E21" i="109"/>
  <c r="F21" i="109" s="1"/>
  <c r="E24" i="109"/>
  <c r="F24" i="109" s="1"/>
  <c r="E25" i="109"/>
  <c r="F25" i="109" s="1"/>
  <c r="E26" i="109"/>
  <c r="F26" i="109" s="1"/>
  <c r="E20" i="109"/>
  <c r="F20" i="109" s="1"/>
  <c r="C26" i="109"/>
  <c r="D26" i="109" s="1"/>
  <c r="C24" i="109"/>
  <c r="C21" i="109"/>
  <c r="C20" i="109"/>
  <c r="A3" i="109"/>
  <c r="C33" i="107"/>
  <c r="C32" i="107"/>
  <c r="C30" i="107"/>
  <c r="C29" i="107"/>
  <c r="C28" i="107"/>
  <c r="C27" i="107"/>
  <c r="C25" i="107"/>
  <c r="D25" i="107" s="1"/>
  <c r="C23" i="107"/>
  <c r="D23" i="107" s="1"/>
  <c r="A3" i="107"/>
  <c r="C44" i="55"/>
  <c r="D44" i="55"/>
  <c r="G44" i="55"/>
  <c r="H44" i="55"/>
  <c r="K44" i="55"/>
  <c r="L44" i="55"/>
  <c r="O44" i="55"/>
  <c r="S44" i="55"/>
  <c r="W44" i="55"/>
  <c r="AA35" i="54"/>
  <c r="AB35" i="54"/>
  <c r="AA44" i="54"/>
  <c r="AB44" i="54"/>
  <c r="AA44" i="53"/>
  <c r="AA35" i="53"/>
  <c r="AB35" i="53"/>
  <c r="AB44" i="53"/>
  <c r="AB35" i="51"/>
  <c r="AB44" i="51"/>
  <c r="AJ12" i="57"/>
  <c r="AJ14" i="57"/>
  <c r="AJ18" i="57"/>
  <c r="AJ26" i="57"/>
  <c r="AJ28" i="57"/>
  <c r="AJ30" i="57"/>
  <c r="AJ10" i="57"/>
  <c r="AJ13" i="57"/>
  <c r="AJ16" i="57"/>
  <c r="AJ20" i="57"/>
  <c r="AJ24" i="57"/>
  <c r="AJ27" i="57"/>
  <c r="AJ29" i="57"/>
  <c r="AJ8" i="57"/>
  <c r="AJ22" i="57"/>
  <c r="F19" i="33"/>
  <c r="T54" i="40"/>
  <c r="T52" i="40"/>
  <c r="T51" i="40"/>
  <c r="AA13" i="54"/>
  <c r="AA20" i="54"/>
  <c r="AA16" i="54"/>
  <c r="AA17" i="54"/>
  <c r="AA15" i="54"/>
  <c r="AA34" i="54"/>
  <c r="AA40" i="54"/>
  <c r="AA46" i="54"/>
  <c r="AA46" i="53"/>
  <c r="AA40" i="53"/>
  <c r="AA34" i="53"/>
  <c r="AA13" i="53"/>
  <c r="AA16" i="53"/>
  <c r="AA17" i="53"/>
  <c r="AA20" i="53"/>
  <c r="E47" i="54"/>
  <c r="E47" i="53"/>
  <c r="E41" i="54"/>
  <c r="Y48" i="54"/>
  <c r="Y49" i="54" s="1"/>
  <c r="U48" i="54"/>
  <c r="U49" i="54" s="1"/>
  <c r="Q48" i="54"/>
  <c r="Q49" i="54" s="1"/>
  <c r="M48" i="54"/>
  <c r="M49" i="54" s="1"/>
  <c r="I48" i="54"/>
  <c r="I49" i="54" s="1"/>
  <c r="E37" i="54"/>
  <c r="E31" i="54"/>
  <c r="E31" i="52"/>
  <c r="E18" i="54"/>
  <c r="E14" i="54"/>
  <c r="AA13" i="52"/>
  <c r="AA20" i="52"/>
  <c r="AA16" i="52"/>
  <c r="AA17" i="52"/>
  <c r="AA34" i="52"/>
  <c r="AA40" i="52"/>
  <c r="AA46" i="52"/>
  <c r="AA34" i="51"/>
  <c r="AA13" i="51"/>
  <c r="AA20" i="51"/>
  <c r="AA16" i="51"/>
  <c r="AA17" i="51"/>
  <c r="AA40" i="51"/>
  <c r="AB35" i="50"/>
  <c r="AB44" i="50"/>
  <c r="E41" i="52"/>
  <c r="E41" i="51"/>
  <c r="E41" i="50"/>
  <c r="X35" i="55"/>
  <c r="X44" i="55"/>
  <c r="Y44" i="55"/>
  <c r="P44" i="55"/>
  <c r="T44" i="55"/>
  <c r="T35" i="55"/>
  <c r="P35" i="55"/>
  <c r="L35" i="55"/>
  <c r="H35" i="55"/>
  <c r="D35" i="55"/>
  <c r="H38" i="55"/>
  <c r="I46" i="55"/>
  <c r="I45" i="55"/>
  <c r="I44" i="55"/>
  <c r="I43" i="55"/>
  <c r="I42" i="55"/>
  <c r="I40" i="55"/>
  <c r="I39" i="55"/>
  <c r="I38" i="55"/>
  <c r="I36" i="55"/>
  <c r="I35" i="55"/>
  <c r="I34" i="55"/>
  <c r="I32" i="55"/>
  <c r="I30" i="55"/>
  <c r="I26" i="55"/>
  <c r="I25" i="55"/>
  <c r="I24" i="55"/>
  <c r="I22" i="55"/>
  <c r="I20" i="55"/>
  <c r="I19" i="55"/>
  <c r="I17" i="55"/>
  <c r="I16" i="55"/>
  <c r="I15" i="55"/>
  <c r="I13" i="55"/>
  <c r="I11" i="55"/>
  <c r="I10" i="55"/>
  <c r="I9" i="55"/>
  <c r="U44" i="55"/>
  <c r="Q44" i="55"/>
  <c r="M44" i="55"/>
  <c r="E44" i="55"/>
  <c r="AC44" i="54"/>
  <c r="AC44" i="53"/>
  <c r="AC44" i="51"/>
  <c r="AC44" i="50"/>
  <c r="Y35" i="55"/>
  <c r="U35" i="55"/>
  <c r="Q35" i="55"/>
  <c r="M35" i="55"/>
  <c r="E35" i="55"/>
  <c r="AC35" i="54"/>
  <c r="AC35" i="53"/>
  <c r="AC35" i="50"/>
  <c r="AC35" i="51"/>
  <c r="C18" i="80"/>
  <c r="D18" i="80"/>
  <c r="E18" i="80"/>
  <c r="F18" i="80"/>
  <c r="G18" i="80"/>
  <c r="H18" i="80"/>
  <c r="I18" i="80"/>
  <c r="J18" i="80"/>
  <c r="L18" i="80"/>
  <c r="M18" i="80"/>
  <c r="N18" i="80"/>
  <c r="Q18" i="80"/>
  <c r="R18" i="80"/>
  <c r="S18" i="80"/>
  <c r="T18" i="80"/>
  <c r="U18" i="80"/>
  <c r="J19" i="36"/>
  <c r="D43" i="62"/>
  <c r="D44" i="62"/>
  <c r="D45" i="62"/>
  <c r="D46" i="62"/>
  <c r="D47" i="62"/>
  <c r="D48" i="62"/>
  <c r="D49" i="62"/>
  <c r="D42" i="62"/>
  <c r="D41" i="62"/>
  <c r="AD41" i="61"/>
  <c r="AD42" i="61"/>
  <c r="AD43" i="61"/>
  <c r="AD44" i="61"/>
  <c r="AD45" i="61"/>
  <c r="AD46" i="61"/>
  <c r="AD47" i="61"/>
  <c r="AD48" i="61"/>
  <c r="AD49" i="61"/>
  <c r="AE49" i="61"/>
  <c r="S41" i="62"/>
  <c r="S42" i="62"/>
  <c r="S43" i="62"/>
  <c r="S44" i="62"/>
  <c r="S45" i="62"/>
  <c r="S46" i="62"/>
  <c r="S47" i="62"/>
  <c r="S48" i="62"/>
  <c r="S49" i="62"/>
  <c r="S9" i="62"/>
  <c r="S10" i="62"/>
  <c r="S11" i="62"/>
  <c r="S12" i="62"/>
  <c r="S13" i="62"/>
  <c r="S14" i="62"/>
  <c r="S15" i="62"/>
  <c r="S16" i="62"/>
  <c r="S17" i="62"/>
  <c r="S18" i="62"/>
  <c r="S19" i="62"/>
  <c r="S20" i="62"/>
  <c r="S21" i="62"/>
  <c r="S22" i="62"/>
  <c r="S23" i="62"/>
  <c r="S24" i="62"/>
  <c r="S25" i="62"/>
  <c r="S26" i="62"/>
  <c r="S27" i="62"/>
  <c r="S29" i="62"/>
  <c r="S30" i="62"/>
  <c r="S31" i="62"/>
  <c r="S32" i="62"/>
  <c r="S33" i="62"/>
  <c r="S34" i="62"/>
  <c r="S35" i="62"/>
  <c r="S37" i="62"/>
  <c r="AI29" i="57"/>
  <c r="S10" i="56"/>
  <c r="S44" i="56"/>
  <c r="S38" i="56"/>
  <c r="S32" i="56"/>
  <c r="S33" i="56"/>
  <c r="S19" i="56"/>
  <c r="S16" i="56"/>
  <c r="S15" i="56"/>
  <c r="AA16" i="50"/>
  <c r="AA15" i="50"/>
  <c r="AA17" i="50"/>
  <c r="AA20" i="50"/>
  <c r="AA21" i="50"/>
  <c r="AA40" i="50"/>
  <c r="AA46" i="50"/>
  <c r="AA34" i="50"/>
  <c r="AA13" i="50"/>
  <c r="AA9" i="50"/>
  <c r="AA10" i="50"/>
  <c r="AA11" i="50"/>
  <c r="U21" i="56"/>
  <c r="A3" i="98"/>
  <c r="A34" i="98" s="1"/>
  <c r="A3" i="97"/>
  <c r="A34" i="97" s="1"/>
  <c r="A3" i="96"/>
  <c r="A34" i="96" s="1"/>
  <c r="A3" i="95"/>
  <c r="A34" i="95" s="1"/>
  <c r="A3" i="94"/>
  <c r="A34" i="94" s="1"/>
  <c r="A37" i="92"/>
  <c r="B17" i="89"/>
  <c r="B17" i="88"/>
  <c r="A4" i="87"/>
  <c r="A4" i="88" s="1"/>
  <c r="A4" i="89" s="1"/>
  <c r="A4" i="90" s="1"/>
  <c r="A4" i="91" s="1"/>
  <c r="B17" i="87"/>
  <c r="E27" i="80"/>
  <c r="H27" i="80"/>
  <c r="I27" i="80"/>
  <c r="J27" i="80"/>
  <c r="L27" i="80"/>
  <c r="R27" i="80"/>
  <c r="T27" i="80"/>
  <c r="A3" i="81"/>
  <c r="A3" i="85" s="1"/>
  <c r="D18" i="87"/>
  <c r="D14" i="80"/>
  <c r="E14" i="80"/>
  <c r="F14" i="80"/>
  <c r="G14" i="80"/>
  <c r="H14" i="80"/>
  <c r="I14" i="80"/>
  <c r="J14" i="80"/>
  <c r="L14" i="80"/>
  <c r="M14" i="80"/>
  <c r="N14" i="80"/>
  <c r="Q14" i="80"/>
  <c r="R14" i="80"/>
  <c r="S14" i="80"/>
  <c r="V14" i="80" s="1"/>
  <c r="T14" i="80"/>
  <c r="U14" i="80"/>
  <c r="C15" i="80"/>
  <c r="D15" i="80"/>
  <c r="E15" i="80"/>
  <c r="F15" i="80"/>
  <c r="G15" i="80"/>
  <c r="H15" i="80"/>
  <c r="I15" i="80"/>
  <c r="J15" i="80"/>
  <c r="L15" i="80"/>
  <c r="M15" i="80"/>
  <c r="N15" i="80"/>
  <c r="Q15" i="80"/>
  <c r="R15" i="80"/>
  <c r="S15" i="80"/>
  <c r="T15" i="80"/>
  <c r="U15" i="80"/>
  <c r="C16" i="80"/>
  <c r="D16" i="80"/>
  <c r="E16" i="80"/>
  <c r="F16" i="80"/>
  <c r="G16" i="80"/>
  <c r="H16" i="80"/>
  <c r="I16" i="80"/>
  <c r="J16" i="80"/>
  <c r="L16" i="80"/>
  <c r="M16" i="80"/>
  <c r="N16" i="80"/>
  <c r="Q16" i="80"/>
  <c r="R16" i="80"/>
  <c r="S16" i="80"/>
  <c r="T16" i="80"/>
  <c r="U16" i="80"/>
  <c r="C17" i="80"/>
  <c r="D17" i="80"/>
  <c r="E17" i="80"/>
  <c r="F17" i="80"/>
  <c r="G17" i="80"/>
  <c r="H17" i="80"/>
  <c r="I17" i="80"/>
  <c r="J17" i="80"/>
  <c r="L17" i="80"/>
  <c r="M17" i="80"/>
  <c r="N17" i="80"/>
  <c r="Q17" i="80"/>
  <c r="R17" i="80"/>
  <c r="S17" i="80"/>
  <c r="V17" i="80" s="1"/>
  <c r="T17" i="80"/>
  <c r="U17" i="80"/>
  <c r="C19" i="80"/>
  <c r="D19" i="80"/>
  <c r="E19" i="80"/>
  <c r="F19" i="80"/>
  <c r="G19" i="80"/>
  <c r="H19" i="80"/>
  <c r="I19" i="80"/>
  <c r="J19" i="80"/>
  <c r="L19" i="80"/>
  <c r="M19" i="80"/>
  <c r="N19" i="80"/>
  <c r="Q19" i="80"/>
  <c r="R19" i="80"/>
  <c r="S19" i="80"/>
  <c r="T19" i="80"/>
  <c r="U19" i="80"/>
  <c r="D21" i="80"/>
  <c r="E21" i="80"/>
  <c r="F21" i="80"/>
  <c r="G21" i="80"/>
  <c r="H21" i="80"/>
  <c r="I21" i="80"/>
  <c r="J21" i="80"/>
  <c r="L21" i="80"/>
  <c r="M21" i="80"/>
  <c r="N21" i="80"/>
  <c r="Q21" i="80"/>
  <c r="R21" i="80"/>
  <c r="S21" i="80"/>
  <c r="T21" i="80"/>
  <c r="U21" i="80"/>
  <c r="C22" i="80"/>
  <c r="D22" i="80"/>
  <c r="E22" i="80"/>
  <c r="F22" i="80"/>
  <c r="G22" i="80"/>
  <c r="H22" i="80"/>
  <c r="I22" i="80"/>
  <c r="J22" i="80"/>
  <c r="L22" i="80"/>
  <c r="M22" i="80"/>
  <c r="N22" i="80"/>
  <c r="Q22" i="80"/>
  <c r="R22" i="80"/>
  <c r="S22" i="80"/>
  <c r="T22" i="80"/>
  <c r="U22" i="80"/>
  <c r="C23" i="80"/>
  <c r="D23" i="80"/>
  <c r="E23" i="80"/>
  <c r="F23" i="80"/>
  <c r="G23" i="80"/>
  <c r="H23" i="80"/>
  <c r="I23" i="80"/>
  <c r="J23" i="80"/>
  <c r="L23" i="80"/>
  <c r="M23" i="80"/>
  <c r="N23" i="80"/>
  <c r="Q23" i="80"/>
  <c r="R23" i="80"/>
  <c r="S23" i="80"/>
  <c r="T23" i="80"/>
  <c r="U23" i="80"/>
  <c r="C24" i="80"/>
  <c r="D24" i="80"/>
  <c r="E24" i="80"/>
  <c r="F24" i="80"/>
  <c r="G24" i="80"/>
  <c r="H24" i="80"/>
  <c r="I24" i="80"/>
  <c r="J24" i="80"/>
  <c r="L24" i="80"/>
  <c r="M24" i="80"/>
  <c r="N24" i="80"/>
  <c r="Q24" i="80"/>
  <c r="R24" i="80"/>
  <c r="S24" i="80"/>
  <c r="T24" i="80"/>
  <c r="U24" i="80"/>
  <c r="C25" i="80"/>
  <c r="D25" i="80"/>
  <c r="E25" i="80"/>
  <c r="F25" i="80"/>
  <c r="G25" i="80"/>
  <c r="H25" i="80"/>
  <c r="I25" i="80"/>
  <c r="J25" i="80"/>
  <c r="L25" i="80"/>
  <c r="M25" i="80"/>
  <c r="N25" i="80"/>
  <c r="Q25" i="80"/>
  <c r="R25" i="80"/>
  <c r="S25" i="80"/>
  <c r="T25" i="80"/>
  <c r="U25" i="80"/>
  <c r="C26" i="80"/>
  <c r="D26" i="80"/>
  <c r="E26" i="80"/>
  <c r="F26" i="80"/>
  <c r="G26" i="80"/>
  <c r="H26" i="80"/>
  <c r="I26" i="80"/>
  <c r="J26" i="80"/>
  <c r="L26" i="80"/>
  <c r="M26" i="80"/>
  <c r="N26" i="80"/>
  <c r="Q26" i="80"/>
  <c r="R26" i="80"/>
  <c r="S26" i="80"/>
  <c r="T26" i="80"/>
  <c r="U26" i="80"/>
  <c r="D42" i="78"/>
  <c r="E8" i="78"/>
  <c r="E42" i="78" s="1"/>
  <c r="C42" i="78"/>
  <c r="A63" i="77"/>
  <c r="B16" i="75"/>
  <c r="C16" i="75"/>
  <c r="D16" i="75"/>
  <c r="E16" i="75"/>
  <c r="F16" i="75"/>
  <c r="L16" i="73"/>
  <c r="C19" i="73"/>
  <c r="H19" i="73"/>
  <c r="L22" i="73"/>
  <c r="C25" i="73"/>
  <c r="H25" i="73"/>
  <c r="J25" i="73"/>
  <c r="L28" i="73"/>
  <c r="C31" i="73"/>
  <c r="H31" i="73"/>
  <c r="J31" i="73"/>
  <c r="L34" i="73"/>
  <c r="C37" i="73"/>
  <c r="H37" i="73"/>
  <c r="J37" i="73"/>
  <c r="K40" i="73"/>
  <c r="H50" i="73"/>
  <c r="J50" i="73"/>
  <c r="K50" i="73"/>
  <c r="I8" i="72"/>
  <c r="I9" i="72"/>
  <c r="I11" i="72"/>
  <c r="I14" i="72"/>
  <c r="I16" i="72"/>
  <c r="I17" i="72"/>
  <c r="I20" i="72"/>
  <c r="I24" i="72"/>
  <c r="I29" i="72"/>
  <c r="H60" i="72" s="1"/>
  <c r="C60" i="72"/>
  <c r="D60" i="72"/>
  <c r="E60" i="72"/>
  <c r="F60" i="72"/>
  <c r="A2" i="71"/>
  <c r="AH35" i="70"/>
  <c r="N22" i="67"/>
  <c r="O22" i="67"/>
  <c r="Q22" i="67"/>
  <c r="N24" i="67"/>
  <c r="O24" i="67"/>
  <c r="Q24" i="67"/>
  <c r="N25" i="67"/>
  <c r="O25" i="67"/>
  <c r="Q25" i="67"/>
  <c r="N26" i="67"/>
  <c r="O26" i="67"/>
  <c r="Q26" i="67"/>
  <c r="N27" i="67"/>
  <c r="O27" i="67"/>
  <c r="Q27" i="67"/>
  <c r="N28" i="67"/>
  <c r="O28" i="67"/>
  <c r="Q28" i="67"/>
  <c r="N30" i="67"/>
  <c r="O30" i="67"/>
  <c r="Q30" i="67"/>
  <c r="O35" i="67"/>
  <c r="Q21" i="67"/>
  <c r="N31" i="67"/>
  <c r="O31" i="67"/>
  <c r="Q31" i="67"/>
  <c r="N32" i="67"/>
  <c r="O32" i="67"/>
  <c r="Q32" i="67"/>
  <c r="N33" i="67"/>
  <c r="O33" i="67"/>
  <c r="Q33" i="67"/>
  <c r="N34" i="67"/>
  <c r="O34" i="67"/>
  <c r="Q34" i="67"/>
  <c r="A136" i="67"/>
  <c r="A209" i="67" s="1"/>
  <c r="B9" i="62"/>
  <c r="C9" i="62"/>
  <c r="D9" i="62"/>
  <c r="F9" i="62"/>
  <c r="G9" i="62"/>
  <c r="H9" i="62"/>
  <c r="J9" i="62"/>
  <c r="K9" i="62"/>
  <c r="L9" i="62"/>
  <c r="N9" i="62"/>
  <c r="P9" i="62"/>
  <c r="R9" i="62"/>
  <c r="T9" i="62"/>
  <c r="B10" i="62"/>
  <c r="C10" i="62"/>
  <c r="D10" i="62"/>
  <c r="F10" i="62"/>
  <c r="G10" i="62"/>
  <c r="H10" i="62"/>
  <c r="J10" i="62"/>
  <c r="K10" i="62"/>
  <c r="L10" i="62"/>
  <c r="N10" i="62"/>
  <c r="P10" i="62"/>
  <c r="R10" i="62"/>
  <c r="T10" i="62"/>
  <c r="B11" i="62"/>
  <c r="C11" i="62"/>
  <c r="D11" i="62"/>
  <c r="F11" i="62"/>
  <c r="G11" i="62"/>
  <c r="H11" i="62"/>
  <c r="J11" i="62"/>
  <c r="K11" i="62"/>
  <c r="L11" i="62"/>
  <c r="N11" i="62"/>
  <c r="P11" i="62"/>
  <c r="R11" i="62"/>
  <c r="T11" i="62"/>
  <c r="B12" i="62"/>
  <c r="C12" i="62"/>
  <c r="D12" i="62"/>
  <c r="F12" i="62"/>
  <c r="G12" i="62"/>
  <c r="H12" i="62"/>
  <c r="J12" i="62"/>
  <c r="K12" i="62"/>
  <c r="L12" i="62"/>
  <c r="N12" i="62"/>
  <c r="P12" i="62"/>
  <c r="R12" i="62"/>
  <c r="T12" i="62"/>
  <c r="B13" i="62"/>
  <c r="C13" i="62"/>
  <c r="D13" i="62"/>
  <c r="F13" i="62"/>
  <c r="G13" i="62"/>
  <c r="H13" i="62"/>
  <c r="J13" i="62"/>
  <c r="K13" i="62"/>
  <c r="L13" i="62"/>
  <c r="N13" i="62"/>
  <c r="P13" i="62"/>
  <c r="R13" i="62"/>
  <c r="T13" i="62"/>
  <c r="B14" i="62"/>
  <c r="C14" i="62"/>
  <c r="D14" i="62"/>
  <c r="F14" i="62"/>
  <c r="G14" i="62"/>
  <c r="H14" i="62"/>
  <c r="J14" i="62"/>
  <c r="K14" i="62"/>
  <c r="L14" i="62"/>
  <c r="N14" i="62"/>
  <c r="P14" i="62"/>
  <c r="R14" i="62"/>
  <c r="T14" i="62"/>
  <c r="B15" i="62"/>
  <c r="C15" i="62"/>
  <c r="D15" i="62"/>
  <c r="F15" i="62"/>
  <c r="G15" i="62"/>
  <c r="H15" i="62"/>
  <c r="J15" i="62"/>
  <c r="K15" i="62"/>
  <c r="L15" i="62"/>
  <c r="N15" i="62"/>
  <c r="P15" i="62"/>
  <c r="R15" i="62"/>
  <c r="T15" i="62"/>
  <c r="B16" i="62"/>
  <c r="C16" i="62"/>
  <c r="D16" i="62"/>
  <c r="F16" i="62"/>
  <c r="G16" i="62"/>
  <c r="H16" i="62"/>
  <c r="J16" i="62"/>
  <c r="K16" i="62"/>
  <c r="L16" i="62"/>
  <c r="N16" i="62"/>
  <c r="P16" i="62"/>
  <c r="R16" i="62"/>
  <c r="T16" i="62"/>
  <c r="B17" i="62"/>
  <c r="C17" i="62"/>
  <c r="D17" i="62"/>
  <c r="F17" i="62"/>
  <c r="G17" i="62"/>
  <c r="H17" i="62"/>
  <c r="J17" i="62"/>
  <c r="K17" i="62"/>
  <c r="L17" i="62"/>
  <c r="N17" i="62"/>
  <c r="P17" i="62"/>
  <c r="R17" i="62"/>
  <c r="T17" i="62"/>
  <c r="B18" i="62"/>
  <c r="C18" i="62"/>
  <c r="D18" i="62"/>
  <c r="F18" i="62"/>
  <c r="G18" i="62"/>
  <c r="H18" i="62"/>
  <c r="J18" i="62"/>
  <c r="K18" i="62"/>
  <c r="L18" i="62"/>
  <c r="N18" i="62"/>
  <c r="P18" i="62"/>
  <c r="R18" i="62"/>
  <c r="T18" i="62"/>
  <c r="B19" i="62"/>
  <c r="C19" i="62"/>
  <c r="D19" i="62"/>
  <c r="F19" i="62"/>
  <c r="G19" i="62"/>
  <c r="H19" i="62"/>
  <c r="J19" i="62"/>
  <c r="K19" i="62"/>
  <c r="L19" i="62"/>
  <c r="N19" i="62"/>
  <c r="P19" i="62"/>
  <c r="R19" i="62"/>
  <c r="T19" i="62"/>
  <c r="B20" i="62"/>
  <c r="C20" i="62"/>
  <c r="D20" i="62"/>
  <c r="F20" i="62"/>
  <c r="G20" i="62"/>
  <c r="H20" i="62"/>
  <c r="J20" i="62"/>
  <c r="K20" i="62"/>
  <c r="L20" i="62"/>
  <c r="N20" i="62"/>
  <c r="P20" i="62"/>
  <c r="R20" i="62"/>
  <c r="T20" i="62"/>
  <c r="B21" i="62"/>
  <c r="C21" i="62"/>
  <c r="D21" i="62"/>
  <c r="F21" i="62"/>
  <c r="G21" i="62"/>
  <c r="H21" i="62"/>
  <c r="J21" i="62"/>
  <c r="K21" i="62"/>
  <c r="L21" i="62"/>
  <c r="N21" i="62"/>
  <c r="P21" i="62"/>
  <c r="R21" i="62"/>
  <c r="T21" i="62"/>
  <c r="B22" i="62"/>
  <c r="C22" i="62"/>
  <c r="D22" i="62"/>
  <c r="F22" i="62"/>
  <c r="G22" i="62"/>
  <c r="H22" i="62"/>
  <c r="J22" i="62"/>
  <c r="K22" i="62"/>
  <c r="L22" i="62"/>
  <c r="N22" i="62"/>
  <c r="P22" i="62"/>
  <c r="R22" i="62"/>
  <c r="T22" i="62"/>
  <c r="B23" i="62"/>
  <c r="C23" i="62"/>
  <c r="F23" i="62"/>
  <c r="G23" i="62"/>
  <c r="J23" i="62"/>
  <c r="K23" i="62"/>
  <c r="N23" i="62"/>
  <c r="P23" i="62"/>
  <c r="R23" i="62"/>
  <c r="B24" i="62"/>
  <c r="C24" i="62"/>
  <c r="D24" i="62"/>
  <c r="F24" i="62"/>
  <c r="G24" i="62"/>
  <c r="H24" i="62"/>
  <c r="J24" i="62"/>
  <c r="K24" i="62"/>
  <c r="L24" i="62"/>
  <c r="N24" i="62"/>
  <c r="P24" i="62"/>
  <c r="R24" i="62"/>
  <c r="T24" i="62"/>
  <c r="B25" i="62"/>
  <c r="C25" i="62"/>
  <c r="D25" i="62"/>
  <c r="F25" i="62"/>
  <c r="G25" i="62"/>
  <c r="H25" i="62"/>
  <c r="J25" i="62"/>
  <c r="K25" i="62"/>
  <c r="L25" i="62"/>
  <c r="N25" i="62"/>
  <c r="P25" i="62"/>
  <c r="R25" i="62"/>
  <c r="T25" i="62"/>
  <c r="B26" i="62"/>
  <c r="C26" i="62"/>
  <c r="D26" i="62"/>
  <c r="F26" i="62"/>
  <c r="G26" i="62"/>
  <c r="H26" i="62"/>
  <c r="J26" i="62"/>
  <c r="K26" i="62"/>
  <c r="L26" i="62"/>
  <c r="N26" i="62"/>
  <c r="P26" i="62"/>
  <c r="R26" i="62"/>
  <c r="T26" i="62"/>
  <c r="B27" i="62"/>
  <c r="C27" i="62"/>
  <c r="D27" i="62"/>
  <c r="F27" i="62"/>
  <c r="G27" i="62"/>
  <c r="H27" i="62"/>
  <c r="J27" i="62"/>
  <c r="K27" i="62"/>
  <c r="L27" i="62"/>
  <c r="N27" i="62"/>
  <c r="P27" i="62"/>
  <c r="R27" i="62"/>
  <c r="T27" i="62"/>
  <c r="B29" i="62"/>
  <c r="C29" i="62"/>
  <c r="D29" i="62"/>
  <c r="F29" i="62"/>
  <c r="G29" i="62"/>
  <c r="H29" i="62"/>
  <c r="J29" i="62"/>
  <c r="K29" i="62"/>
  <c r="L29" i="62"/>
  <c r="N29" i="62"/>
  <c r="P29" i="62"/>
  <c r="R29" i="62"/>
  <c r="T29" i="62"/>
  <c r="B30" i="62"/>
  <c r="C30" i="62"/>
  <c r="D30" i="62"/>
  <c r="F30" i="62"/>
  <c r="G30" i="62"/>
  <c r="H30" i="62"/>
  <c r="J30" i="62"/>
  <c r="K30" i="62"/>
  <c r="L30" i="62"/>
  <c r="N30" i="62"/>
  <c r="P30" i="62"/>
  <c r="R30" i="62"/>
  <c r="T30" i="62"/>
  <c r="B31" i="62"/>
  <c r="C31" i="62"/>
  <c r="D31" i="62"/>
  <c r="F31" i="62"/>
  <c r="G31" i="62"/>
  <c r="H31" i="62"/>
  <c r="J31" i="62"/>
  <c r="K31" i="62"/>
  <c r="L31" i="62"/>
  <c r="N31" i="62"/>
  <c r="P31" i="62"/>
  <c r="R31" i="62"/>
  <c r="T31" i="62"/>
  <c r="B32" i="62"/>
  <c r="C32" i="62"/>
  <c r="D32" i="62"/>
  <c r="F32" i="62"/>
  <c r="G32" i="62"/>
  <c r="H32" i="62"/>
  <c r="J32" i="62"/>
  <c r="K32" i="62"/>
  <c r="L32" i="62"/>
  <c r="N32" i="62"/>
  <c r="P32" i="62"/>
  <c r="R32" i="62"/>
  <c r="T32" i="62"/>
  <c r="B33" i="62"/>
  <c r="C33" i="62"/>
  <c r="D33" i="62"/>
  <c r="F33" i="62"/>
  <c r="G33" i="62"/>
  <c r="H33" i="62"/>
  <c r="J33" i="62"/>
  <c r="K33" i="62"/>
  <c r="L33" i="62"/>
  <c r="N33" i="62"/>
  <c r="P33" i="62"/>
  <c r="R33" i="62"/>
  <c r="T33" i="62"/>
  <c r="B34" i="62"/>
  <c r="C34" i="62"/>
  <c r="D34" i="62"/>
  <c r="F34" i="62"/>
  <c r="G34" i="62"/>
  <c r="H34" i="62"/>
  <c r="J34" i="62"/>
  <c r="K34" i="62"/>
  <c r="L34" i="62"/>
  <c r="N34" i="62"/>
  <c r="P34" i="62"/>
  <c r="R34" i="62"/>
  <c r="T34" i="62"/>
  <c r="B35" i="62"/>
  <c r="C35" i="62"/>
  <c r="D35" i="62"/>
  <c r="F35" i="62"/>
  <c r="G35" i="62"/>
  <c r="H35" i="62"/>
  <c r="J35" i="62"/>
  <c r="K35" i="62"/>
  <c r="L35" i="62"/>
  <c r="N35" i="62"/>
  <c r="P35" i="62"/>
  <c r="R35" i="62"/>
  <c r="T35" i="62"/>
  <c r="B37" i="62"/>
  <c r="C37" i="62"/>
  <c r="D37" i="62"/>
  <c r="F37" i="62"/>
  <c r="G37" i="62"/>
  <c r="H37" i="62"/>
  <c r="J37" i="62"/>
  <c r="K37" i="62"/>
  <c r="L37" i="62"/>
  <c r="N37" i="62"/>
  <c r="P37" i="62"/>
  <c r="R37" i="62"/>
  <c r="T37" i="62"/>
  <c r="B41" i="62"/>
  <c r="C41" i="62"/>
  <c r="F41" i="62"/>
  <c r="G41" i="62"/>
  <c r="H41" i="62"/>
  <c r="J41" i="62"/>
  <c r="K41" i="62"/>
  <c r="L41" i="62"/>
  <c r="N41" i="62"/>
  <c r="R41" i="62"/>
  <c r="T41" i="62"/>
  <c r="B42" i="62"/>
  <c r="C42" i="62"/>
  <c r="F42" i="62"/>
  <c r="G42" i="62"/>
  <c r="H42" i="62"/>
  <c r="J42" i="62"/>
  <c r="K42" i="62"/>
  <c r="L42" i="62"/>
  <c r="N42" i="62"/>
  <c r="R42" i="62"/>
  <c r="T42" i="62"/>
  <c r="B43" i="62"/>
  <c r="C43" i="62"/>
  <c r="F43" i="62"/>
  <c r="G43" i="62"/>
  <c r="H43" i="62"/>
  <c r="J43" i="62"/>
  <c r="K43" i="62"/>
  <c r="L43" i="62"/>
  <c r="N43" i="62"/>
  <c r="R43" i="62"/>
  <c r="T43" i="62"/>
  <c r="B44" i="62"/>
  <c r="C44" i="62"/>
  <c r="F44" i="62"/>
  <c r="G44" i="62"/>
  <c r="H44" i="62"/>
  <c r="J44" i="62"/>
  <c r="K44" i="62"/>
  <c r="L44" i="62"/>
  <c r="N44" i="62"/>
  <c r="R44" i="62"/>
  <c r="T44" i="62"/>
  <c r="B45" i="62"/>
  <c r="C45" i="62"/>
  <c r="F45" i="62"/>
  <c r="G45" i="62"/>
  <c r="H45" i="62"/>
  <c r="J45" i="62"/>
  <c r="K45" i="62"/>
  <c r="L45" i="62"/>
  <c r="N45" i="62"/>
  <c r="R45" i="62"/>
  <c r="T45" i="62"/>
  <c r="B46" i="62"/>
  <c r="C46" i="62"/>
  <c r="F46" i="62"/>
  <c r="G46" i="62"/>
  <c r="H46" i="62"/>
  <c r="J46" i="62"/>
  <c r="K46" i="62"/>
  <c r="L46" i="62"/>
  <c r="N46" i="62"/>
  <c r="R46" i="62"/>
  <c r="T46" i="62"/>
  <c r="B47" i="62"/>
  <c r="C47" i="62"/>
  <c r="F47" i="62"/>
  <c r="G47" i="62"/>
  <c r="H47" i="62"/>
  <c r="J47" i="62"/>
  <c r="K47" i="62"/>
  <c r="L47" i="62"/>
  <c r="N47" i="62"/>
  <c r="R47" i="62"/>
  <c r="T47" i="62"/>
  <c r="A48" i="62"/>
  <c r="B48" i="62"/>
  <c r="C48" i="62"/>
  <c r="F48" i="62"/>
  <c r="G48" i="62"/>
  <c r="H48" i="62"/>
  <c r="J48" i="62"/>
  <c r="K48" i="62"/>
  <c r="L48" i="62"/>
  <c r="N48" i="62"/>
  <c r="R48" i="62"/>
  <c r="T48" i="62"/>
  <c r="B49" i="62"/>
  <c r="C49" i="62"/>
  <c r="F49" i="62"/>
  <c r="G49" i="62"/>
  <c r="H49" i="62"/>
  <c r="J49" i="62"/>
  <c r="K49" i="62"/>
  <c r="L49" i="62"/>
  <c r="N49" i="62"/>
  <c r="R49" i="62"/>
  <c r="T49" i="62"/>
  <c r="L38" i="61"/>
  <c r="P38" i="61"/>
  <c r="T38" i="61"/>
  <c r="AE41" i="61"/>
  <c r="AE42" i="61"/>
  <c r="AE43" i="61"/>
  <c r="AE44" i="61"/>
  <c r="AE45" i="61"/>
  <c r="AE46" i="61"/>
  <c r="AE47" i="61"/>
  <c r="A48" i="61"/>
  <c r="AE48" i="61"/>
  <c r="AE41" i="59"/>
  <c r="AD42" i="59"/>
  <c r="AE42" i="59"/>
  <c r="AD43" i="59"/>
  <c r="AE43" i="59"/>
  <c r="AD44" i="59"/>
  <c r="AE44" i="59"/>
  <c r="AD45" i="59"/>
  <c r="AE45" i="59"/>
  <c r="AD46" i="59"/>
  <c r="AE46" i="59"/>
  <c r="AD47" i="59"/>
  <c r="AE47" i="59"/>
  <c r="AD48" i="59"/>
  <c r="AE48" i="59"/>
  <c r="AD49" i="59"/>
  <c r="AD9" i="58"/>
  <c r="AE9" i="58"/>
  <c r="D38" i="58"/>
  <c r="H38" i="58"/>
  <c r="L38" i="58"/>
  <c r="AI8" i="57"/>
  <c r="AI10" i="57"/>
  <c r="K11" i="57"/>
  <c r="K15" i="57" s="1"/>
  <c r="L11" i="57"/>
  <c r="AJ11" i="57" s="1"/>
  <c r="M11" i="57"/>
  <c r="M15" i="57" s="1"/>
  <c r="K21" i="57"/>
  <c r="L21" i="57"/>
  <c r="AJ21" i="57" s="1"/>
  <c r="M21" i="57"/>
  <c r="AI22" i="57"/>
  <c r="AI24" i="57"/>
  <c r="K25" i="57"/>
  <c r="L25" i="57"/>
  <c r="AJ25" i="57" s="1"/>
  <c r="M25" i="57"/>
  <c r="AI28" i="57"/>
  <c r="AI30" i="57"/>
  <c r="S8" i="56"/>
  <c r="T8" i="56"/>
  <c r="U8" i="56"/>
  <c r="S9" i="56"/>
  <c r="T9" i="56"/>
  <c r="U9" i="56"/>
  <c r="T10" i="56"/>
  <c r="U10" i="56"/>
  <c r="S12" i="56"/>
  <c r="T12" i="56"/>
  <c r="U12" i="56"/>
  <c r="E13" i="56"/>
  <c r="S14" i="56"/>
  <c r="T14" i="56"/>
  <c r="U14" i="56"/>
  <c r="T15" i="56"/>
  <c r="U15" i="56"/>
  <c r="T16" i="56"/>
  <c r="U16" i="56"/>
  <c r="E17" i="56"/>
  <c r="S17" i="56"/>
  <c r="T17" i="56"/>
  <c r="S18" i="56"/>
  <c r="T18" i="56"/>
  <c r="U18" i="56"/>
  <c r="T19" i="56"/>
  <c r="U19" i="56"/>
  <c r="E20" i="56"/>
  <c r="S20" i="56"/>
  <c r="T20" i="56"/>
  <c r="S21" i="56"/>
  <c r="T21" i="56"/>
  <c r="S23" i="56"/>
  <c r="T23" i="56"/>
  <c r="U23" i="56"/>
  <c r="S26" i="56"/>
  <c r="T26" i="56"/>
  <c r="U26" i="56"/>
  <c r="S27" i="56"/>
  <c r="T27" i="56"/>
  <c r="U27" i="56"/>
  <c r="S28" i="56"/>
  <c r="T28" i="56"/>
  <c r="U28" i="56"/>
  <c r="E29" i="56"/>
  <c r="S30" i="56"/>
  <c r="T30" i="56"/>
  <c r="U30" i="56"/>
  <c r="T32" i="56"/>
  <c r="U32" i="56"/>
  <c r="T33" i="56"/>
  <c r="U33" i="56"/>
  <c r="S34" i="56"/>
  <c r="T34" i="56"/>
  <c r="U34" i="56"/>
  <c r="E35" i="56"/>
  <c r="S36" i="56"/>
  <c r="T36" i="56"/>
  <c r="S37" i="56"/>
  <c r="T37" i="56"/>
  <c r="T38" i="56"/>
  <c r="E39" i="56"/>
  <c r="S40" i="56"/>
  <c r="T40" i="56"/>
  <c r="U40" i="56"/>
  <c r="S41" i="56"/>
  <c r="T41" i="56"/>
  <c r="U41" i="56"/>
  <c r="S43" i="56"/>
  <c r="T43" i="56"/>
  <c r="U43" i="56"/>
  <c r="T44" i="56"/>
  <c r="U44" i="56"/>
  <c r="E45" i="56"/>
  <c r="C46" i="56"/>
  <c r="C47" i="56" s="1"/>
  <c r="D46" i="56"/>
  <c r="D47" i="56" s="1"/>
  <c r="C8" i="55"/>
  <c r="D8" i="55"/>
  <c r="E8" i="55"/>
  <c r="C9" i="55"/>
  <c r="D9" i="55"/>
  <c r="E9" i="55"/>
  <c r="G9" i="55"/>
  <c r="H9" i="55"/>
  <c r="K9" i="55"/>
  <c r="L9" i="55"/>
  <c r="M9" i="55"/>
  <c r="O9" i="55"/>
  <c r="P9" i="55"/>
  <c r="Q9" i="55"/>
  <c r="S9" i="55"/>
  <c r="T9" i="55"/>
  <c r="U9" i="55"/>
  <c r="W9" i="55"/>
  <c r="X9" i="55"/>
  <c r="Y9" i="55"/>
  <c r="C10" i="55"/>
  <c r="D10" i="55"/>
  <c r="E10" i="55"/>
  <c r="G10" i="55"/>
  <c r="H10" i="55"/>
  <c r="L10" i="55"/>
  <c r="P10" i="55"/>
  <c r="T10" i="55"/>
  <c r="X10" i="55"/>
  <c r="K10" i="55"/>
  <c r="M10" i="55"/>
  <c r="O10" i="55"/>
  <c r="Q10" i="55"/>
  <c r="S10" i="55"/>
  <c r="U10" i="55"/>
  <c r="W10" i="55"/>
  <c r="Y10" i="55"/>
  <c r="C11" i="55"/>
  <c r="D11" i="55"/>
  <c r="E11" i="55"/>
  <c r="E13" i="55"/>
  <c r="G11" i="55"/>
  <c r="H11" i="55"/>
  <c r="K11" i="55"/>
  <c r="L11" i="55"/>
  <c r="M11" i="55"/>
  <c r="O11" i="55"/>
  <c r="P11" i="55"/>
  <c r="Q11" i="55"/>
  <c r="S11" i="55"/>
  <c r="T11" i="55"/>
  <c r="U11" i="55"/>
  <c r="W11" i="55"/>
  <c r="X11" i="55"/>
  <c r="Y11" i="55"/>
  <c r="C13" i="55"/>
  <c r="D13" i="55"/>
  <c r="G13" i="55"/>
  <c r="H13" i="55"/>
  <c r="K13" i="55"/>
  <c r="L13" i="55"/>
  <c r="M13" i="55"/>
  <c r="O13" i="55"/>
  <c r="P13" i="55"/>
  <c r="Q13" i="55"/>
  <c r="S13" i="55"/>
  <c r="T13" i="55"/>
  <c r="U13" i="55"/>
  <c r="W13" i="55"/>
  <c r="X13" i="55"/>
  <c r="Y13" i="55"/>
  <c r="C15" i="55"/>
  <c r="D15" i="55"/>
  <c r="E15" i="55"/>
  <c r="G15" i="55"/>
  <c r="H15" i="55"/>
  <c r="K15" i="55"/>
  <c r="L15" i="55"/>
  <c r="M15" i="55"/>
  <c r="O15" i="55"/>
  <c r="P15" i="55"/>
  <c r="Q15" i="55"/>
  <c r="S15" i="55"/>
  <c r="T15" i="55"/>
  <c r="U15" i="55"/>
  <c r="W15" i="55"/>
  <c r="X15" i="55"/>
  <c r="Y15" i="55"/>
  <c r="C16" i="55"/>
  <c r="D16" i="55"/>
  <c r="E16" i="55"/>
  <c r="G16" i="55"/>
  <c r="H16" i="55"/>
  <c r="K16" i="55"/>
  <c r="L16" i="55"/>
  <c r="M16" i="55"/>
  <c r="O16" i="55"/>
  <c r="P16" i="55"/>
  <c r="Q16" i="55"/>
  <c r="S16" i="55"/>
  <c r="T16" i="55"/>
  <c r="U16" i="55"/>
  <c r="W16" i="55"/>
  <c r="X16" i="55"/>
  <c r="Y16" i="55"/>
  <c r="C17" i="55"/>
  <c r="D17" i="55"/>
  <c r="E17" i="55"/>
  <c r="G17" i="55"/>
  <c r="H17" i="55"/>
  <c r="K17" i="55"/>
  <c r="L17" i="55"/>
  <c r="M17" i="55"/>
  <c r="O17" i="55"/>
  <c r="P17" i="55"/>
  <c r="Q17" i="55"/>
  <c r="S17" i="55"/>
  <c r="T17" i="55"/>
  <c r="U17" i="55"/>
  <c r="W17" i="55"/>
  <c r="X17" i="55"/>
  <c r="Y17" i="55"/>
  <c r="C19" i="55"/>
  <c r="D19" i="55"/>
  <c r="E19" i="55"/>
  <c r="G19" i="55"/>
  <c r="H19" i="55"/>
  <c r="K19" i="55"/>
  <c r="L19" i="55"/>
  <c r="M19" i="55"/>
  <c r="O19" i="55"/>
  <c r="P19" i="55"/>
  <c r="Q19" i="55"/>
  <c r="S19" i="55"/>
  <c r="T19" i="55"/>
  <c r="U19" i="55"/>
  <c r="W19" i="55"/>
  <c r="X19" i="55"/>
  <c r="Y19" i="55"/>
  <c r="C20" i="55"/>
  <c r="D20" i="55"/>
  <c r="E20" i="55"/>
  <c r="G20" i="55"/>
  <c r="H20" i="55"/>
  <c r="K20" i="55"/>
  <c r="L20" i="55"/>
  <c r="M20" i="55"/>
  <c r="O20" i="55"/>
  <c r="P20" i="55"/>
  <c r="Q20" i="55"/>
  <c r="S20" i="55"/>
  <c r="T20" i="55"/>
  <c r="U20" i="55"/>
  <c r="W20" i="55"/>
  <c r="X20" i="55"/>
  <c r="Y20" i="55"/>
  <c r="C22" i="55"/>
  <c r="D22" i="55"/>
  <c r="E22" i="55"/>
  <c r="G22" i="55"/>
  <c r="H22" i="55"/>
  <c r="K22" i="55"/>
  <c r="L22" i="55"/>
  <c r="M22" i="55"/>
  <c r="O22" i="55"/>
  <c r="P22" i="55"/>
  <c r="Q22" i="55"/>
  <c r="S22" i="55"/>
  <c r="T22" i="55"/>
  <c r="U22" i="55"/>
  <c r="W22" i="55"/>
  <c r="X22" i="55"/>
  <c r="Y22" i="55"/>
  <c r="C24" i="55"/>
  <c r="D24" i="55"/>
  <c r="E24" i="55"/>
  <c r="G24" i="55"/>
  <c r="H24" i="55"/>
  <c r="K24" i="55"/>
  <c r="L24" i="55"/>
  <c r="M24" i="55"/>
  <c r="O24" i="55"/>
  <c r="P24" i="55"/>
  <c r="Q24" i="55"/>
  <c r="S24" i="55"/>
  <c r="T24" i="55"/>
  <c r="U24" i="55"/>
  <c r="W24" i="55"/>
  <c r="X24" i="55"/>
  <c r="Y24" i="55"/>
  <c r="C25" i="55"/>
  <c r="D25" i="55"/>
  <c r="E25" i="55"/>
  <c r="G25" i="55"/>
  <c r="H25" i="55"/>
  <c r="K25" i="55"/>
  <c r="L25" i="55"/>
  <c r="M25" i="55"/>
  <c r="O25" i="55"/>
  <c r="P25" i="55"/>
  <c r="Q25" i="55"/>
  <c r="S25" i="55"/>
  <c r="T25" i="55"/>
  <c r="U25" i="55"/>
  <c r="W25" i="55"/>
  <c r="X25" i="55"/>
  <c r="Y25" i="55"/>
  <c r="C26" i="55"/>
  <c r="D26" i="55"/>
  <c r="E26" i="55"/>
  <c r="G26" i="55"/>
  <c r="K26" i="55"/>
  <c r="O26" i="55"/>
  <c r="S26" i="55"/>
  <c r="W26" i="55"/>
  <c r="H26" i="55"/>
  <c r="L26" i="55"/>
  <c r="M26" i="55"/>
  <c r="P26" i="55"/>
  <c r="Q26" i="55"/>
  <c r="T26" i="55"/>
  <c r="U26" i="55"/>
  <c r="X26" i="55"/>
  <c r="Y26" i="55"/>
  <c r="C30" i="55"/>
  <c r="D30" i="55"/>
  <c r="E30" i="55"/>
  <c r="G30" i="55"/>
  <c r="H30" i="55"/>
  <c r="K30" i="55"/>
  <c r="L30" i="55"/>
  <c r="M30" i="55"/>
  <c r="O30" i="55"/>
  <c r="P30" i="55"/>
  <c r="Q30" i="55"/>
  <c r="S30" i="55"/>
  <c r="T30" i="55"/>
  <c r="U30" i="55"/>
  <c r="W30" i="55"/>
  <c r="X30" i="55"/>
  <c r="Y30" i="55"/>
  <c r="C32" i="55"/>
  <c r="D32" i="55"/>
  <c r="E32" i="55"/>
  <c r="G32" i="55"/>
  <c r="H32" i="55"/>
  <c r="K32" i="55"/>
  <c r="L32" i="55"/>
  <c r="M32" i="55"/>
  <c r="O32" i="55"/>
  <c r="P32" i="55"/>
  <c r="Q32" i="55"/>
  <c r="S32" i="55"/>
  <c r="T32" i="55"/>
  <c r="U32" i="55"/>
  <c r="W32" i="55"/>
  <c r="X32" i="55"/>
  <c r="Y32" i="55"/>
  <c r="Y34" i="55"/>
  <c r="C34" i="55"/>
  <c r="D34" i="55"/>
  <c r="G34" i="55"/>
  <c r="H34" i="55"/>
  <c r="K34" i="55"/>
  <c r="L34" i="55"/>
  <c r="M34" i="55"/>
  <c r="O34" i="55"/>
  <c r="P34" i="55"/>
  <c r="Q34" i="55"/>
  <c r="S34" i="55"/>
  <c r="T34" i="55"/>
  <c r="U34" i="55"/>
  <c r="W34" i="55"/>
  <c r="X34" i="55"/>
  <c r="C36" i="55"/>
  <c r="D36" i="55"/>
  <c r="E36" i="55"/>
  <c r="G36" i="55"/>
  <c r="H36" i="55"/>
  <c r="K36" i="55"/>
  <c r="L36" i="55"/>
  <c r="M36" i="55"/>
  <c r="O36" i="55"/>
  <c r="P36" i="55"/>
  <c r="Q36" i="55"/>
  <c r="S36" i="55"/>
  <c r="T36" i="55"/>
  <c r="U36" i="55"/>
  <c r="W36" i="55"/>
  <c r="X36" i="55"/>
  <c r="Y36" i="55"/>
  <c r="C38" i="55"/>
  <c r="D38" i="55"/>
  <c r="E38" i="55"/>
  <c r="G38" i="55"/>
  <c r="K38" i="55"/>
  <c r="L38" i="55"/>
  <c r="M38" i="55"/>
  <c r="O38" i="55"/>
  <c r="P38" i="55"/>
  <c r="Q38" i="55"/>
  <c r="S38" i="55"/>
  <c r="T38" i="55"/>
  <c r="U38" i="55"/>
  <c r="W38" i="55"/>
  <c r="X38" i="55"/>
  <c r="Y38" i="55"/>
  <c r="C39" i="55"/>
  <c r="D39" i="55"/>
  <c r="E39" i="55"/>
  <c r="G39" i="55"/>
  <c r="H39" i="55"/>
  <c r="K39" i="55"/>
  <c r="L39" i="55"/>
  <c r="M39" i="55"/>
  <c r="O39" i="55"/>
  <c r="P39" i="55"/>
  <c r="Q39" i="55"/>
  <c r="S39" i="55"/>
  <c r="T39" i="55"/>
  <c r="U39" i="55"/>
  <c r="W39" i="55"/>
  <c r="X39" i="55"/>
  <c r="Y39" i="55"/>
  <c r="C40" i="55"/>
  <c r="D40" i="55"/>
  <c r="E40" i="55"/>
  <c r="G40" i="55"/>
  <c r="H40" i="55"/>
  <c r="K40" i="55"/>
  <c r="L40" i="55"/>
  <c r="M40" i="55"/>
  <c r="O40" i="55"/>
  <c r="P40" i="55"/>
  <c r="Q40" i="55"/>
  <c r="S40" i="55"/>
  <c r="T40" i="55"/>
  <c r="U40" i="55"/>
  <c r="W40" i="55"/>
  <c r="X40" i="55"/>
  <c r="Y40" i="55"/>
  <c r="C42" i="55"/>
  <c r="D42" i="55"/>
  <c r="E42" i="55"/>
  <c r="G42" i="55"/>
  <c r="H42" i="55"/>
  <c r="K42" i="55"/>
  <c r="L42" i="55"/>
  <c r="M42" i="55"/>
  <c r="O42" i="55"/>
  <c r="P42" i="55"/>
  <c r="Q42" i="55"/>
  <c r="S42" i="55"/>
  <c r="T42" i="55"/>
  <c r="U42" i="55"/>
  <c r="W42" i="55"/>
  <c r="X42" i="55"/>
  <c r="Y42" i="55"/>
  <c r="C43" i="55"/>
  <c r="D43" i="55"/>
  <c r="E43" i="55"/>
  <c r="G43" i="55"/>
  <c r="H43" i="55"/>
  <c r="K43" i="55"/>
  <c r="L43" i="55"/>
  <c r="M43" i="55"/>
  <c r="O43" i="55"/>
  <c r="P43" i="55"/>
  <c r="Q43" i="55"/>
  <c r="S43" i="55"/>
  <c r="T43" i="55"/>
  <c r="U43" i="55"/>
  <c r="W43" i="55"/>
  <c r="X43" i="55"/>
  <c r="Y43" i="55"/>
  <c r="C45" i="55"/>
  <c r="D45" i="55"/>
  <c r="E45" i="55"/>
  <c r="G45" i="55"/>
  <c r="H45" i="55"/>
  <c r="K45" i="55"/>
  <c r="L45" i="55"/>
  <c r="M45" i="55"/>
  <c r="O45" i="55"/>
  <c r="P45" i="55"/>
  <c r="Q45" i="55"/>
  <c r="S45" i="55"/>
  <c r="T45" i="55"/>
  <c r="U45" i="55"/>
  <c r="W45" i="55"/>
  <c r="X45" i="55"/>
  <c r="Y45" i="55"/>
  <c r="C46" i="55"/>
  <c r="D46" i="55"/>
  <c r="E46" i="55"/>
  <c r="G46" i="55"/>
  <c r="H46" i="55"/>
  <c r="K46" i="55"/>
  <c r="L46" i="55"/>
  <c r="M46" i="55"/>
  <c r="O46" i="55"/>
  <c r="P46" i="55"/>
  <c r="Q46" i="55"/>
  <c r="S46" i="55"/>
  <c r="T46" i="55"/>
  <c r="U46" i="55"/>
  <c r="W46" i="55"/>
  <c r="X46" i="55"/>
  <c r="Y46" i="55"/>
  <c r="C8" i="54"/>
  <c r="D8" i="54"/>
  <c r="E8" i="54"/>
  <c r="AA9" i="54"/>
  <c r="AB9" i="54"/>
  <c r="AB10" i="54"/>
  <c r="AB11" i="54"/>
  <c r="AB13" i="54"/>
  <c r="AC9" i="54"/>
  <c r="AA10" i="54"/>
  <c r="AC10" i="54"/>
  <c r="AA11" i="54"/>
  <c r="AC11" i="54"/>
  <c r="AC13" i="54"/>
  <c r="AB15" i="54"/>
  <c r="AC15" i="54"/>
  <c r="AB16" i="54"/>
  <c r="AC16" i="54"/>
  <c r="AB17" i="54"/>
  <c r="AC17" i="54"/>
  <c r="AA19" i="54"/>
  <c r="AB19" i="54"/>
  <c r="AC19" i="54"/>
  <c r="AB20" i="54"/>
  <c r="AC20" i="54"/>
  <c r="AA22" i="54"/>
  <c r="AB22" i="54"/>
  <c r="AC22" i="54"/>
  <c r="AA24" i="54"/>
  <c r="AB24" i="54"/>
  <c r="AB25" i="54"/>
  <c r="AB26" i="54"/>
  <c r="AB30" i="54"/>
  <c r="AB32" i="54"/>
  <c r="AB34" i="54"/>
  <c r="AB36" i="54"/>
  <c r="AB38" i="54"/>
  <c r="AB39" i="54"/>
  <c r="AB40" i="54"/>
  <c r="AB42" i="54"/>
  <c r="AB43" i="54"/>
  <c r="AB45" i="54"/>
  <c r="AB46" i="54"/>
  <c r="AC24" i="54"/>
  <c r="AA25" i="54"/>
  <c r="AC25" i="54"/>
  <c r="AA26" i="54"/>
  <c r="AC26" i="54"/>
  <c r="AA30" i="54"/>
  <c r="AC30" i="54"/>
  <c r="AA32" i="54"/>
  <c r="AC32" i="54"/>
  <c r="AC34" i="54"/>
  <c r="AA36" i="54"/>
  <c r="AC36" i="54"/>
  <c r="AA38" i="54"/>
  <c r="AC38" i="54"/>
  <c r="AA39" i="54"/>
  <c r="AC39" i="54"/>
  <c r="AC40" i="54"/>
  <c r="AA42" i="54"/>
  <c r="AC42" i="54"/>
  <c r="AA43" i="54"/>
  <c r="AC43" i="54"/>
  <c r="AA45" i="54"/>
  <c r="AC45" i="54"/>
  <c r="AC46" i="54"/>
  <c r="C8" i="53"/>
  <c r="D8" i="53"/>
  <c r="E8" i="53"/>
  <c r="AA9" i="53"/>
  <c r="AB9" i="53"/>
  <c r="AC9" i="53"/>
  <c r="AC10" i="53"/>
  <c r="AC11" i="53"/>
  <c r="AC13" i="53"/>
  <c r="AA10" i="53"/>
  <c r="AB10" i="53"/>
  <c r="AA11" i="53"/>
  <c r="AB11" i="53"/>
  <c r="AB13" i="53"/>
  <c r="AA15" i="53"/>
  <c r="AB15" i="53"/>
  <c r="AC15" i="53"/>
  <c r="AB16" i="53"/>
  <c r="AC16" i="53"/>
  <c r="AB17" i="53"/>
  <c r="AC17" i="53"/>
  <c r="AA19" i="53"/>
  <c r="AB19" i="53"/>
  <c r="AC19" i="53"/>
  <c r="AB20" i="53"/>
  <c r="AC20" i="53"/>
  <c r="AA22" i="53"/>
  <c r="AB22" i="53"/>
  <c r="AC22" i="53"/>
  <c r="AA24" i="53"/>
  <c r="AB24" i="53"/>
  <c r="AC24" i="53"/>
  <c r="AA25" i="53"/>
  <c r="AB25" i="53"/>
  <c r="AC25" i="53"/>
  <c r="AA26" i="53"/>
  <c r="AB26" i="53"/>
  <c r="AC26" i="53"/>
  <c r="AA30" i="53"/>
  <c r="AB30" i="53"/>
  <c r="AC30" i="53"/>
  <c r="AA32" i="53"/>
  <c r="AB32" i="53"/>
  <c r="AC32" i="53"/>
  <c r="AB34" i="53"/>
  <c r="AC34" i="53"/>
  <c r="AA36" i="53"/>
  <c r="AB36" i="53"/>
  <c r="AC36" i="53"/>
  <c r="AA38" i="53"/>
  <c r="AB38" i="53"/>
  <c r="AC38" i="53"/>
  <c r="AA39" i="53"/>
  <c r="AB39" i="53"/>
  <c r="AC39" i="53"/>
  <c r="AB40" i="53"/>
  <c r="AC40" i="53"/>
  <c r="AA42" i="53"/>
  <c r="AB42" i="53"/>
  <c r="AC42" i="53"/>
  <c r="AA43" i="53"/>
  <c r="AB43" i="53"/>
  <c r="AC43" i="53"/>
  <c r="AA45" i="53"/>
  <c r="AB45" i="53"/>
  <c r="AC45" i="53"/>
  <c r="AB46" i="53"/>
  <c r="AC46" i="53"/>
  <c r="C8" i="52"/>
  <c r="D8" i="52"/>
  <c r="E8" i="52"/>
  <c r="AA9" i="52"/>
  <c r="AB9" i="52"/>
  <c r="AC9" i="52"/>
  <c r="AA10" i="52"/>
  <c r="AB10" i="52"/>
  <c r="AC10" i="52"/>
  <c r="AA11" i="52"/>
  <c r="AB11" i="52"/>
  <c r="AC11" i="52"/>
  <c r="AC13" i="52"/>
  <c r="AB13" i="52"/>
  <c r="E14" i="52"/>
  <c r="AA15" i="52"/>
  <c r="AB15" i="52"/>
  <c r="AC15" i="52"/>
  <c r="AB16" i="52"/>
  <c r="AC16" i="52"/>
  <c r="AB17" i="52"/>
  <c r="AC17" i="52"/>
  <c r="E18" i="52"/>
  <c r="AA19" i="52"/>
  <c r="AB19" i="52"/>
  <c r="AB20" i="52"/>
  <c r="AC19" i="52"/>
  <c r="AC20" i="52"/>
  <c r="E21" i="52"/>
  <c r="AA22" i="52"/>
  <c r="AB22" i="52"/>
  <c r="AC22" i="52"/>
  <c r="AA24" i="52"/>
  <c r="AB24" i="52"/>
  <c r="AC24" i="52"/>
  <c r="AA25" i="52"/>
  <c r="AB25" i="52"/>
  <c r="AC25" i="52"/>
  <c r="AA26" i="52"/>
  <c r="AB26" i="52"/>
  <c r="AC26" i="52"/>
  <c r="AA30" i="52"/>
  <c r="AB30" i="52"/>
  <c r="AC30" i="52"/>
  <c r="AA32" i="52"/>
  <c r="AB32" i="52"/>
  <c r="AC32" i="52"/>
  <c r="AB34" i="52"/>
  <c r="AA36" i="52"/>
  <c r="AB36" i="52"/>
  <c r="AC36" i="52"/>
  <c r="E37" i="52"/>
  <c r="AA38" i="52"/>
  <c r="AB38" i="52"/>
  <c r="AC38" i="52"/>
  <c r="AA39" i="52"/>
  <c r="AB39" i="52"/>
  <c r="AC39" i="52"/>
  <c r="AB40" i="52"/>
  <c r="AC40" i="52"/>
  <c r="AA42" i="52"/>
  <c r="AC42" i="52"/>
  <c r="AA43" i="52"/>
  <c r="AB43" i="52"/>
  <c r="AC43" i="52"/>
  <c r="AA45" i="52"/>
  <c r="AB45" i="52"/>
  <c r="AC45" i="52"/>
  <c r="AB46" i="52"/>
  <c r="AC46" i="52"/>
  <c r="E47" i="52"/>
  <c r="A4" i="51"/>
  <c r="A4" i="52" s="1"/>
  <c r="A4" i="53" s="1"/>
  <c r="A4" i="54" s="1"/>
  <c r="A4" i="55" s="1"/>
  <c r="A3" i="56" s="1"/>
  <c r="A3" i="57" s="1"/>
  <c r="C8" i="51"/>
  <c r="D8" i="51"/>
  <c r="E8" i="51"/>
  <c r="AA9" i="51"/>
  <c r="AB9" i="51"/>
  <c r="AA10" i="51"/>
  <c r="AB10" i="51"/>
  <c r="AA11" i="51"/>
  <c r="AB11" i="51"/>
  <c r="AB13" i="51"/>
  <c r="E14" i="51"/>
  <c r="AA15" i="51"/>
  <c r="AB15" i="51"/>
  <c r="AC15" i="51"/>
  <c r="AC16" i="51"/>
  <c r="AC17" i="51"/>
  <c r="AB16" i="51"/>
  <c r="AB17" i="51"/>
  <c r="AA19" i="51"/>
  <c r="AB19" i="51"/>
  <c r="AC19" i="51"/>
  <c r="AB20" i="51"/>
  <c r="AC20" i="51"/>
  <c r="E21" i="51"/>
  <c r="AA22" i="51"/>
  <c r="AB22" i="51"/>
  <c r="AC22" i="51"/>
  <c r="AA24" i="51"/>
  <c r="AB24" i="51"/>
  <c r="AC24" i="51"/>
  <c r="AA25" i="51"/>
  <c r="AB25" i="51"/>
  <c r="AC25" i="51"/>
  <c r="AA26" i="51"/>
  <c r="AB26" i="51"/>
  <c r="AC26" i="51"/>
  <c r="AA30" i="51"/>
  <c r="AB30" i="51"/>
  <c r="AC30" i="51"/>
  <c r="E31" i="51"/>
  <c r="AA32" i="51"/>
  <c r="AB32" i="51"/>
  <c r="AB34" i="51"/>
  <c r="AB36" i="51"/>
  <c r="AC32" i="51"/>
  <c r="AC34" i="51"/>
  <c r="AA36" i="51"/>
  <c r="AC36" i="51"/>
  <c r="E37" i="51"/>
  <c r="AA38" i="51"/>
  <c r="AB38" i="51"/>
  <c r="AB39" i="51"/>
  <c r="AB40" i="51"/>
  <c r="AC38" i="51"/>
  <c r="AA39" i="51"/>
  <c r="AC39" i="51"/>
  <c r="AC40" i="51"/>
  <c r="AA42" i="51"/>
  <c r="AB42" i="51"/>
  <c r="AC42" i="51"/>
  <c r="AA43" i="51"/>
  <c r="AB43" i="51"/>
  <c r="AC43" i="51"/>
  <c r="AA45" i="51"/>
  <c r="AB45" i="51"/>
  <c r="AB45" i="50"/>
  <c r="AB46" i="51"/>
  <c r="AC46" i="51"/>
  <c r="E47" i="51"/>
  <c r="G8" i="50"/>
  <c r="K8" i="50" s="1"/>
  <c r="K8" i="52" s="1"/>
  <c r="H8" i="50"/>
  <c r="H8" i="53" s="1"/>
  <c r="I8" i="50"/>
  <c r="I8" i="53" s="1"/>
  <c r="AB9" i="50"/>
  <c r="AC9" i="50"/>
  <c r="AB10" i="50"/>
  <c r="AC10" i="50"/>
  <c r="AB11" i="50"/>
  <c r="AC11" i="50"/>
  <c r="AB13" i="50"/>
  <c r="AC13" i="50"/>
  <c r="E14" i="50"/>
  <c r="AB15" i="50"/>
  <c r="AC15" i="50"/>
  <c r="AB16" i="50"/>
  <c r="AC16" i="50"/>
  <c r="AB17" i="50"/>
  <c r="AC17" i="50"/>
  <c r="E18" i="50"/>
  <c r="AA19" i="50"/>
  <c r="AB19" i="50"/>
  <c r="AC19" i="50"/>
  <c r="AB20" i="50"/>
  <c r="AC20" i="50"/>
  <c r="E21" i="50"/>
  <c r="AB21" i="50"/>
  <c r="AA22" i="50"/>
  <c r="AB22" i="50"/>
  <c r="AC22" i="50"/>
  <c r="AA24" i="50"/>
  <c r="AA25" i="50"/>
  <c r="AA26" i="50"/>
  <c r="AA30" i="50"/>
  <c r="AA38" i="50"/>
  <c r="AA39" i="50"/>
  <c r="AA42" i="50"/>
  <c r="AA43" i="50"/>
  <c r="AA45" i="50"/>
  <c r="AA32" i="50"/>
  <c r="AA36" i="50"/>
  <c r="AB24" i="50"/>
  <c r="AC24" i="50"/>
  <c r="AB25" i="50"/>
  <c r="AC25" i="50"/>
  <c r="AB26" i="50"/>
  <c r="AC26" i="50"/>
  <c r="AB30" i="50"/>
  <c r="AC30" i="50"/>
  <c r="E31" i="50"/>
  <c r="AB32" i="50"/>
  <c r="AC32" i="50"/>
  <c r="AB34" i="50"/>
  <c r="AC34" i="50"/>
  <c r="AB36" i="50"/>
  <c r="AC36" i="50"/>
  <c r="E37" i="50"/>
  <c r="AB38" i="50"/>
  <c r="AC38" i="50"/>
  <c r="AB39" i="50"/>
  <c r="AC39" i="50"/>
  <c r="AB40" i="50"/>
  <c r="AC40" i="50"/>
  <c r="AB42" i="50"/>
  <c r="AC42" i="50"/>
  <c r="AB43" i="50"/>
  <c r="AC43" i="50"/>
  <c r="AC45" i="50"/>
  <c r="AB46" i="50"/>
  <c r="AC46" i="50"/>
  <c r="E47" i="50"/>
  <c r="T8" i="49"/>
  <c r="U8" i="49"/>
  <c r="V8" i="49"/>
  <c r="W8" i="49"/>
  <c r="L8" i="49"/>
  <c r="R8" i="49" s="1"/>
  <c r="X8" i="49" s="1"/>
  <c r="M8" i="49"/>
  <c r="S8" i="49" s="1"/>
  <c r="Y8" i="49" s="1"/>
  <c r="T9" i="49"/>
  <c r="U9" i="49"/>
  <c r="V9" i="49"/>
  <c r="W9" i="49"/>
  <c r="X9" i="49"/>
  <c r="T10" i="49"/>
  <c r="U10" i="49"/>
  <c r="V10" i="49"/>
  <c r="W10" i="49"/>
  <c r="X10" i="49"/>
  <c r="T11" i="49"/>
  <c r="U11" i="49"/>
  <c r="V11" i="49"/>
  <c r="W11" i="49"/>
  <c r="X11" i="49"/>
  <c r="S12" i="49"/>
  <c r="T13" i="49"/>
  <c r="U13" i="49"/>
  <c r="V13" i="49"/>
  <c r="W13" i="49"/>
  <c r="X13" i="49"/>
  <c r="J23" i="48"/>
  <c r="X23" i="48"/>
  <c r="Z23" i="48" s="1"/>
  <c r="B101" i="46"/>
  <c r="A3" i="45"/>
  <c r="C10" i="45"/>
  <c r="G10" i="45" s="1"/>
  <c r="K10" i="45" s="1"/>
  <c r="O10" i="45" s="1"/>
  <c r="S10" i="45" s="1"/>
  <c r="E10" i="45"/>
  <c r="I10" i="45" s="1"/>
  <c r="M10" i="45" s="1"/>
  <c r="Q10" i="45" s="1"/>
  <c r="U10" i="45" s="1"/>
  <c r="C72" i="41"/>
  <c r="D31" i="41" s="1"/>
  <c r="E72" i="41"/>
  <c r="F33" i="41" s="1"/>
  <c r="A3" i="40"/>
  <c r="D10" i="40"/>
  <c r="E10" i="40"/>
  <c r="F10" i="40"/>
  <c r="G10" i="40"/>
  <c r="H10" i="40"/>
  <c r="I10" i="40"/>
  <c r="J10" i="40"/>
  <c r="K10" i="40"/>
  <c r="L10" i="40"/>
  <c r="M10" i="40"/>
  <c r="N10" i="40"/>
  <c r="O10" i="40"/>
  <c r="P10" i="40"/>
  <c r="Q10" i="40"/>
  <c r="R10" i="40"/>
  <c r="S10" i="40"/>
  <c r="T46" i="40"/>
  <c r="T47" i="40"/>
  <c r="T48" i="40"/>
  <c r="T49" i="40"/>
  <c r="T50" i="40"/>
  <c r="T53" i="40"/>
  <c r="T56" i="40"/>
  <c r="T59" i="40"/>
  <c r="E23" i="39"/>
  <c r="O23" i="39"/>
  <c r="A31" i="39"/>
  <c r="C53" i="39"/>
  <c r="M80" i="39"/>
  <c r="O80" i="39"/>
  <c r="Q73" i="39" s="1"/>
  <c r="L19" i="36"/>
  <c r="N19" i="36"/>
  <c r="P19" i="36"/>
  <c r="T19" i="36"/>
  <c r="V19" i="36"/>
  <c r="X19" i="36"/>
  <c r="Z19" i="36"/>
  <c r="AD19" i="36"/>
  <c r="F19" i="35"/>
  <c r="H19" i="35"/>
  <c r="F19" i="34"/>
  <c r="H19" i="34"/>
  <c r="R19" i="34"/>
  <c r="A23" i="34"/>
  <c r="A23" i="33"/>
  <c r="A23" i="36" s="1"/>
  <c r="B23" i="32"/>
  <c r="A11" i="31"/>
  <c r="A11" i="32" s="1"/>
  <c r="A11" i="33" s="1"/>
  <c r="A11" i="34" s="1"/>
  <c r="A11" i="35" s="1"/>
  <c r="A11" i="36" s="1"/>
  <c r="A11" i="37" s="1"/>
  <c r="A11" i="38" s="1"/>
  <c r="A12" i="31"/>
  <c r="A12" i="32" s="1"/>
  <c r="A12" i="33" s="1"/>
  <c r="A12" i="34" s="1"/>
  <c r="A12" i="35" s="1"/>
  <c r="A12" i="36" s="1"/>
  <c r="A12" i="37" s="1"/>
  <c r="A12" i="38" s="1"/>
  <c r="A13" i="31"/>
  <c r="A13" i="32" s="1"/>
  <c r="A13" i="33" s="1"/>
  <c r="A13" i="34" s="1"/>
  <c r="A13" i="35" s="1"/>
  <c r="A13" i="36" s="1"/>
  <c r="A13" i="37" s="1"/>
  <c r="A13" i="38" s="1"/>
  <c r="A14" i="31"/>
  <c r="A14" i="32" s="1"/>
  <c r="A14" i="33" s="1"/>
  <c r="A14" i="34" s="1"/>
  <c r="A14" i="35" s="1"/>
  <c r="A14" i="36" s="1"/>
  <c r="A14" i="37" s="1"/>
  <c r="A14" i="38" s="1"/>
  <c r="A15" i="31"/>
  <c r="A15" i="32" s="1"/>
  <c r="A15" i="33" s="1"/>
  <c r="A15" i="34" s="1"/>
  <c r="A15" i="35" s="1"/>
  <c r="A15" i="36" s="1"/>
  <c r="A15" i="37" s="1"/>
  <c r="A15" i="38" s="1"/>
  <c r="A16" i="31"/>
  <c r="A16" i="32" s="1"/>
  <c r="A16" i="33" s="1"/>
  <c r="A16" i="34" s="1"/>
  <c r="A16" i="35" s="1"/>
  <c r="A16" i="36" s="1"/>
  <c r="A16" i="37" s="1"/>
  <c r="A16" i="38" s="1"/>
  <c r="A17" i="31"/>
  <c r="A17" i="32" s="1"/>
  <c r="A17" i="33" s="1"/>
  <c r="A17" i="34" s="1"/>
  <c r="A17" i="35" s="1"/>
  <c r="A17" i="36" s="1"/>
  <c r="A17" i="37" s="1"/>
  <c r="A17" i="38" s="1"/>
  <c r="A18" i="31"/>
  <c r="A18" i="32" s="1"/>
  <c r="A18" i="33" s="1"/>
  <c r="A18" i="34" s="1"/>
  <c r="A18" i="35" s="1"/>
  <c r="A18" i="36" s="1"/>
  <c r="A18" i="37" s="1"/>
  <c r="A18" i="38" s="1"/>
  <c r="A19" i="31"/>
  <c r="A19" i="32" s="1"/>
  <c r="A19" i="33" s="1"/>
  <c r="A19" i="34" s="1"/>
  <c r="A19" i="35" s="1"/>
  <c r="A19" i="36" s="1"/>
  <c r="A19" i="37" s="1"/>
  <c r="A19" i="38" s="1"/>
  <c r="B23" i="31"/>
  <c r="A3" i="30"/>
  <c r="A3" i="31" s="1"/>
  <c r="A3" i="32" s="1"/>
  <c r="A3" i="33" s="1"/>
  <c r="A3" i="34" s="1"/>
  <c r="A3" i="35" s="1"/>
  <c r="A3" i="36" s="1"/>
  <c r="A3" i="37" s="1"/>
  <c r="A3" i="38" s="1"/>
  <c r="A3" i="15"/>
  <c r="A3" i="12"/>
  <c r="K10" i="12"/>
  <c r="K11" i="12"/>
  <c r="K12" i="12"/>
  <c r="K14" i="12"/>
  <c r="K18" i="12"/>
  <c r="K19" i="12"/>
  <c r="K20" i="12"/>
  <c r="K21" i="12"/>
  <c r="K22" i="12"/>
  <c r="K23" i="12"/>
  <c r="K26" i="12"/>
  <c r="K27" i="12"/>
  <c r="K30" i="12"/>
  <c r="K31" i="12"/>
  <c r="K32" i="12"/>
  <c r="K38" i="12"/>
  <c r="K39" i="12"/>
  <c r="K40" i="12"/>
  <c r="K41" i="12"/>
  <c r="K44" i="12"/>
  <c r="K45" i="12"/>
  <c r="K46" i="12"/>
  <c r="K47" i="12"/>
  <c r="K48" i="12"/>
  <c r="K49" i="12"/>
  <c r="K50" i="12"/>
  <c r="K51" i="12"/>
  <c r="K52" i="12"/>
  <c r="K53" i="12"/>
  <c r="K54" i="12"/>
  <c r="K57" i="12"/>
  <c r="K58" i="12"/>
  <c r="K59" i="12"/>
  <c r="K62" i="12"/>
  <c r="K63" i="12"/>
  <c r="K64" i="12"/>
  <c r="K65" i="12"/>
  <c r="K68" i="12"/>
  <c r="K69" i="12"/>
  <c r="K70" i="12"/>
  <c r="K71" i="12"/>
  <c r="K74" i="12"/>
  <c r="K75" i="12"/>
  <c r="K76" i="12"/>
  <c r="K77" i="12"/>
  <c r="K78" i="12"/>
  <c r="K79" i="12"/>
  <c r="K80" i="12"/>
  <c r="K81" i="12"/>
  <c r="K82" i="12"/>
  <c r="K83" i="12"/>
  <c r="A88" i="12"/>
  <c r="D9" i="11"/>
  <c r="E9" i="11"/>
  <c r="F9" i="11"/>
  <c r="G9" i="11"/>
  <c r="H9" i="11"/>
  <c r="I9" i="11"/>
  <c r="J9" i="11"/>
  <c r="K9" i="11"/>
  <c r="L9" i="11"/>
  <c r="B10" i="11"/>
  <c r="B11" i="11"/>
  <c r="B12" i="11"/>
  <c r="B13" i="11"/>
  <c r="B14" i="11"/>
  <c r="B15" i="11"/>
  <c r="D17" i="11"/>
  <c r="E17" i="11"/>
  <c r="F17" i="11"/>
  <c r="G17" i="11"/>
  <c r="H17" i="11"/>
  <c r="I17" i="11"/>
  <c r="J17" i="11"/>
  <c r="K17" i="11"/>
  <c r="L17" i="11"/>
  <c r="B18" i="11"/>
  <c r="B19" i="11"/>
  <c r="B20" i="11"/>
  <c r="B21" i="11"/>
  <c r="B22" i="11"/>
  <c r="B23" i="11"/>
  <c r="D25" i="11"/>
  <c r="E25" i="11"/>
  <c r="F25" i="11"/>
  <c r="G25" i="11"/>
  <c r="H25" i="11"/>
  <c r="I25" i="11"/>
  <c r="J25" i="11"/>
  <c r="K25" i="11"/>
  <c r="L25" i="11"/>
  <c r="B26" i="11"/>
  <c r="B27" i="11"/>
  <c r="E29" i="11"/>
  <c r="F29" i="11"/>
  <c r="G29" i="11"/>
  <c r="H29" i="11"/>
  <c r="I29" i="11"/>
  <c r="J29" i="11"/>
  <c r="K29" i="11"/>
  <c r="L29" i="11"/>
  <c r="B30" i="11"/>
  <c r="B31" i="11"/>
  <c r="B32" i="11"/>
  <c r="D37" i="11"/>
  <c r="E37" i="11"/>
  <c r="F37" i="11"/>
  <c r="G37" i="11"/>
  <c r="H37" i="11"/>
  <c r="I37" i="11"/>
  <c r="J37" i="11"/>
  <c r="K37" i="11"/>
  <c r="L37" i="11"/>
  <c r="B38" i="11"/>
  <c r="B39" i="11"/>
  <c r="B40" i="11"/>
  <c r="B41" i="11"/>
  <c r="I43" i="11"/>
  <c r="J43" i="11"/>
  <c r="K43" i="11"/>
  <c r="L43" i="11"/>
  <c r="B44" i="11"/>
  <c r="B45" i="11"/>
  <c r="B46" i="11"/>
  <c r="B47" i="11"/>
  <c r="B48" i="11"/>
  <c r="B49" i="11"/>
  <c r="B50" i="11"/>
  <c r="B51" i="11"/>
  <c r="B52" i="11"/>
  <c r="B53" i="11"/>
  <c r="B54" i="11"/>
  <c r="D56" i="11"/>
  <c r="E56" i="11"/>
  <c r="F56" i="11"/>
  <c r="G56" i="11"/>
  <c r="H56" i="11"/>
  <c r="I56" i="11"/>
  <c r="J56" i="11"/>
  <c r="K56" i="11"/>
  <c r="L56" i="11"/>
  <c r="B57" i="11"/>
  <c r="B58" i="11"/>
  <c r="B59" i="11"/>
  <c r="D61" i="11"/>
  <c r="E61" i="11"/>
  <c r="F61" i="11"/>
  <c r="G61" i="11"/>
  <c r="H61" i="11"/>
  <c r="I61" i="11"/>
  <c r="J61" i="11"/>
  <c r="K61" i="11"/>
  <c r="L61" i="11"/>
  <c r="B62" i="11"/>
  <c r="B63" i="11"/>
  <c r="B64" i="11"/>
  <c r="B65" i="11"/>
  <c r="D67" i="11"/>
  <c r="E67" i="11"/>
  <c r="F67" i="11"/>
  <c r="G67" i="11"/>
  <c r="H67" i="11"/>
  <c r="I67" i="11"/>
  <c r="J67" i="11"/>
  <c r="K67" i="11"/>
  <c r="L67" i="11"/>
  <c r="B68" i="11"/>
  <c r="B69" i="11"/>
  <c r="B70" i="11"/>
  <c r="B71" i="11"/>
  <c r="D73" i="11"/>
  <c r="E73" i="11"/>
  <c r="F73" i="11"/>
  <c r="G73" i="11"/>
  <c r="H73" i="11"/>
  <c r="I73" i="11"/>
  <c r="J73" i="11"/>
  <c r="K73" i="11"/>
  <c r="B74" i="11"/>
  <c r="B75" i="11"/>
  <c r="B76" i="11"/>
  <c r="B77" i="11"/>
  <c r="B78" i="11"/>
  <c r="B79" i="11"/>
  <c r="B80" i="11"/>
  <c r="B81" i="11"/>
  <c r="B82" i="11"/>
  <c r="B83" i="11"/>
  <c r="F17" i="10"/>
  <c r="F26" i="10"/>
  <c r="C27" i="80"/>
  <c r="Q35" i="67"/>
  <c r="O21" i="67"/>
  <c r="N21" i="67"/>
  <c r="N35" i="67"/>
  <c r="G25" i="93"/>
  <c r="R31" i="67"/>
  <c r="R30" i="67"/>
  <c r="R22" i="67"/>
  <c r="R26" i="67"/>
  <c r="R25" i="67"/>
  <c r="R24" i="67"/>
  <c r="R34" i="67"/>
  <c r="R33" i="67"/>
  <c r="R32" i="67"/>
  <c r="R28" i="67"/>
  <c r="R35" i="67"/>
  <c r="R27" i="67"/>
  <c r="R21" i="67"/>
  <c r="E14" i="76"/>
  <c r="F13" i="76"/>
  <c r="AG25" i="57"/>
  <c r="E13" i="76"/>
  <c r="F14" i="76"/>
  <c r="F20" i="77"/>
  <c r="F8" i="78"/>
  <c r="F42" i="78" s="1"/>
  <c r="H8" i="78"/>
  <c r="H42" i="78" s="1"/>
  <c r="D27" i="80"/>
  <c r="F27" i="80"/>
  <c r="S5" i="67"/>
  <c r="R16" i="48"/>
  <c r="R20" i="48" s="1"/>
  <c r="Z20" i="30" s="1"/>
  <c r="S13" i="67"/>
  <c r="S12" i="67"/>
  <c r="S9" i="67"/>
  <c r="S7" i="67"/>
  <c r="S14" i="67"/>
  <c r="J19" i="22"/>
  <c r="D19" i="22" s="1"/>
  <c r="S11" i="67"/>
  <c r="S10" i="67"/>
  <c r="S6" i="67"/>
  <c r="S4" i="67"/>
  <c r="G18" i="90"/>
  <c r="D44" i="41"/>
  <c r="D42" i="41"/>
  <c r="E18" i="90"/>
  <c r="F27" i="107"/>
  <c r="M27" i="80"/>
  <c r="J19" i="73"/>
  <c r="L24" i="73"/>
  <c r="L21" i="73"/>
  <c r="L23" i="73"/>
  <c r="L36" i="73"/>
  <c r="K37" i="73"/>
  <c r="L32" i="73"/>
  <c r="L33" i="73"/>
  <c r="L35" i="73"/>
  <c r="L20" i="73"/>
  <c r="K25" i="73"/>
  <c r="AK18" i="57"/>
  <c r="H18" i="67" s="1"/>
  <c r="C12" i="102" s="1"/>
  <c r="AK19" i="57"/>
  <c r="C24" i="93"/>
  <c r="C18" i="93"/>
  <c r="C13" i="93"/>
  <c r="E34" i="107"/>
  <c r="E32" i="114"/>
  <c r="C22" i="109"/>
  <c r="D29" i="93"/>
  <c r="D23" i="93"/>
  <c r="D21" i="93"/>
  <c r="D28" i="93"/>
  <c r="D17" i="93"/>
  <c r="D12" i="93"/>
  <c r="C25" i="109"/>
  <c r="E27" i="109"/>
  <c r="F27" i="109" s="1"/>
  <c r="E30" i="114"/>
  <c r="F23" i="109"/>
  <c r="AK8" i="57"/>
  <c r="H9" i="67" s="1"/>
  <c r="U11" i="57"/>
  <c r="U15" i="57" s="1"/>
  <c r="AK23" i="57"/>
  <c r="H23" i="67" s="1"/>
  <c r="AK24" i="57"/>
  <c r="H24" i="67" s="1"/>
  <c r="E22" i="93"/>
  <c r="E20" i="93"/>
  <c r="E29" i="93"/>
  <c r="E18" i="93"/>
  <c r="E17" i="93"/>
  <c r="E12" i="93"/>
  <c r="E11" i="93"/>
  <c r="I11" i="57"/>
  <c r="I15" i="57" s="1"/>
  <c r="AK10" i="57"/>
  <c r="H11" i="67" s="1"/>
  <c r="AK12" i="57"/>
  <c r="H13" i="67" s="1"/>
  <c r="C8" i="102" s="1"/>
  <c r="AK14" i="57"/>
  <c r="H15" i="67" s="1"/>
  <c r="AK17" i="57"/>
  <c r="H19" i="67" s="1"/>
  <c r="E21" i="57"/>
  <c r="AK20" i="57"/>
  <c r="H20" i="67" s="1"/>
  <c r="C13" i="102" s="1"/>
  <c r="AK28" i="57"/>
  <c r="H28" i="67" s="1"/>
  <c r="C17" i="102" s="1"/>
  <c r="AK29" i="57"/>
  <c r="H29" i="67" s="1"/>
  <c r="AK30" i="57"/>
  <c r="H30" i="67" s="1"/>
  <c r="C18" i="102" s="1"/>
  <c r="D18" i="91"/>
  <c r="AA46" i="39"/>
  <c r="K19" i="38"/>
  <c r="AA51" i="39"/>
  <c r="AB13" i="39"/>
  <c r="Q19" i="38"/>
  <c r="AE19" i="38"/>
  <c r="AC19" i="38"/>
  <c r="AA19" i="38"/>
  <c r="O19" i="38"/>
  <c r="Y19" i="38"/>
  <c r="W19" i="38"/>
  <c r="M19" i="38"/>
  <c r="AA49" i="39"/>
  <c r="U27" i="80"/>
  <c r="S27" i="80"/>
  <c r="F18" i="87"/>
  <c r="C20" i="93"/>
  <c r="C15" i="93"/>
  <c r="C16" i="93"/>
  <c r="C23" i="93"/>
  <c r="C10" i="93"/>
  <c r="C14" i="93"/>
  <c r="C19" i="93"/>
  <c r="C29" i="93"/>
  <c r="C27" i="93"/>
  <c r="C26" i="93"/>
  <c r="D13" i="93"/>
  <c r="D20" i="93"/>
  <c r="D26" i="93"/>
  <c r="E14" i="93"/>
  <c r="E16" i="93"/>
  <c r="E21" i="93"/>
  <c r="E10" i="93"/>
  <c r="E15" i="93"/>
  <c r="E24" i="93"/>
  <c r="E28" i="93"/>
  <c r="E27" i="93"/>
  <c r="Q11" i="57"/>
  <c r="Q15" i="57" s="1"/>
  <c r="F20" i="46"/>
  <c r="U21" i="57"/>
  <c r="M16" i="48"/>
  <c r="M20" i="48" s="1"/>
  <c r="I21" i="57"/>
  <c r="E11" i="57"/>
  <c r="E15" i="57" s="1"/>
  <c r="C28" i="93"/>
  <c r="C22" i="93"/>
  <c r="C21" i="93"/>
  <c r="C12" i="93"/>
  <c r="C11" i="93"/>
  <c r="G18" i="87"/>
  <c r="E18" i="87"/>
  <c r="D15" i="93"/>
  <c r="D14" i="93"/>
  <c r="D19" i="93"/>
  <c r="D11" i="93"/>
  <c r="D24" i="93"/>
  <c r="D22" i="93"/>
  <c r="D27" i="93"/>
  <c r="D18" i="93"/>
  <c r="F18" i="91"/>
  <c r="D23" i="10"/>
  <c r="E23" i="10" s="1"/>
  <c r="G23" i="10"/>
  <c r="E22" i="10"/>
  <c r="D21" i="10"/>
  <c r="G21" i="10" s="1"/>
  <c r="D20" i="10"/>
  <c r="G20" i="10" s="1"/>
  <c r="D15" i="10"/>
  <c r="G15" i="10" s="1"/>
  <c r="D16" i="93"/>
  <c r="D10" i="93"/>
  <c r="E26" i="93"/>
  <c r="E20" i="10"/>
  <c r="L6" i="110"/>
  <c r="M34" i="110"/>
  <c r="M38" i="110"/>
  <c r="F42" i="64"/>
  <c r="F54" i="64"/>
  <c r="M58" i="110"/>
  <c r="E7" i="64"/>
  <c r="E9" i="64"/>
  <c r="E11" i="64"/>
  <c r="E15" i="64"/>
  <c r="L17" i="110"/>
  <c r="E21" i="64"/>
  <c r="E25" i="64"/>
  <c r="E27" i="64"/>
  <c r="M29" i="110"/>
  <c r="E29" i="64"/>
  <c r="G29" i="64"/>
  <c r="C7" i="64"/>
  <c r="N29" i="110"/>
  <c r="F29" i="64"/>
  <c r="N61" i="110"/>
  <c r="N59" i="110"/>
  <c r="N57" i="110"/>
  <c r="N55" i="110"/>
  <c r="N53" i="110"/>
  <c r="N49" i="110"/>
  <c r="N47" i="110"/>
  <c r="G45" i="64"/>
  <c r="G43" i="64"/>
  <c r="N41" i="110"/>
  <c r="G39" i="64"/>
  <c r="N37" i="110"/>
  <c r="N31" i="110"/>
  <c r="L27" i="110"/>
  <c r="L25" i="110"/>
  <c r="E17" i="64"/>
  <c r="L9" i="110"/>
  <c r="L7" i="110"/>
  <c r="M54" i="110"/>
  <c r="M42" i="110"/>
  <c r="F38" i="64"/>
  <c r="F21" i="64"/>
  <c r="M17" i="110"/>
  <c r="M13" i="110"/>
  <c r="F9" i="64"/>
  <c r="L29" i="110"/>
  <c r="L63" i="110"/>
  <c r="L61" i="110"/>
  <c r="L59" i="110"/>
  <c r="L55" i="110"/>
  <c r="E53" i="64"/>
  <c r="E51" i="64"/>
  <c r="L47" i="110"/>
  <c r="E39" i="64"/>
  <c r="E35" i="64"/>
  <c r="L31" i="110"/>
  <c r="G26" i="64"/>
  <c r="N22" i="110"/>
  <c r="N18" i="110"/>
  <c r="N14" i="110"/>
  <c r="N10" i="110"/>
  <c r="G8" i="64"/>
  <c r="N6" i="110"/>
  <c r="M61" i="110"/>
  <c r="M57" i="110"/>
  <c r="M53" i="110"/>
  <c r="F49" i="64"/>
  <c r="M45" i="110"/>
  <c r="M37" i="110"/>
  <c r="M33" i="110"/>
  <c r="F28" i="64"/>
  <c r="M20" i="110"/>
  <c r="F16" i="64"/>
  <c r="F12" i="64"/>
  <c r="F8" i="64"/>
  <c r="N5" i="110"/>
  <c r="G62" i="64"/>
  <c r="N58" i="110"/>
  <c r="N56" i="110"/>
  <c r="N54" i="110"/>
  <c r="G52" i="64"/>
  <c r="N50" i="110"/>
  <c r="G44" i="64"/>
  <c r="G42" i="64"/>
  <c r="N36" i="110"/>
  <c r="G34" i="64"/>
  <c r="N30" i="110"/>
  <c r="E28" i="64"/>
  <c r="E26" i="64"/>
  <c r="E24" i="64"/>
  <c r="L20" i="110"/>
  <c r="E18" i="64"/>
  <c r="L12" i="110"/>
  <c r="L10" i="110"/>
  <c r="M64" i="110"/>
  <c r="M60" i="110"/>
  <c r="F56" i="64"/>
  <c r="C52" i="110"/>
  <c r="F44" i="64"/>
  <c r="M40" i="110"/>
  <c r="M36" i="110"/>
  <c r="M27" i="110"/>
  <c r="F23" i="64"/>
  <c r="M19" i="110"/>
  <c r="F15" i="64"/>
  <c r="F11" i="64"/>
  <c r="F5" i="64"/>
  <c r="E62" i="64"/>
  <c r="E54" i="64"/>
  <c r="L52" i="110"/>
  <c r="L46" i="110"/>
  <c r="E44" i="64"/>
  <c r="L42" i="110"/>
  <c r="E38" i="64"/>
  <c r="L36" i="110"/>
  <c r="L34" i="110"/>
  <c r="E30" i="64"/>
  <c r="N27" i="110"/>
  <c r="G21" i="64"/>
  <c r="N15" i="110"/>
  <c r="N13" i="110"/>
  <c r="G11" i="64"/>
  <c r="N7" i="110"/>
  <c r="F63" i="64"/>
  <c r="M51" i="110"/>
  <c r="M43" i="110"/>
  <c r="F35" i="64"/>
  <c r="M18" i="110"/>
  <c r="F14" i="64"/>
  <c r="E5" i="64"/>
  <c r="C63" i="64"/>
  <c r="C36" i="64"/>
  <c r="C31" i="64"/>
  <c r="C26" i="64"/>
  <c r="C14" i="64"/>
  <c r="C9" i="64"/>
  <c r="C46" i="64"/>
  <c r="C42" i="64"/>
  <c r="C20" i="64"/>
  <c r="C6" i="64"/>
  <c r="C62" i="64"/>
  <c r="C30" i="64"/>
  <c r="C8" i="64"/>
  <c r="C53" i="64"/>
  <c r="C37" i="64"/>
  <c r="C19" i="64"/>
  <c r="C15" i="64"/>
  <c r="C51" i="64"/>
  <c r="C47" i="64"/>
  <c r="C43" i="64"/>
  <c r="C34" i="64"/>
  <c r="C25" i="64"/>
  <c r="C17" i="64"/>
  <c r="C13" i="64"/>
  <c r="C64" i="64"/>
  <c r="C58" i="64"/>
  <c r="C54" i="64"/>
  <c r="C49" i="64"/>
  <c r="C45" i="64"/>
  <c r="C41" i="64"/>
  <c r="C32" i="64"/>
  <c r="C23" i="64"/>
  <c r="C11" i="64"/>
  <c r="C50" i="64"/>
  <c r="C33" i="64"/>
  <c r="C24" i="64"/>
  <c r="C35" i="64"/>
  <c r="C10" i="64"/>
  <c r="G27" i="64"/>
  <c r="F36" i="64"/>
  <c r="M12" i="110"/>
  <c r="M28" i="110"/>
  <c r="F45" i="64"/>
  <c r="N12" i="110"/>
  <c r="G12" i="64"/>
  <c r="G28" i="64"/>
  <c r="E37" i="64"/>
  <c r="L45" i="110"/>
  <c r="L53" i="110"/>
  <c r="F17" i="64"/>
  <c r="G31" i="64"/>
  <c r="N39" i="110"/>
  <c r="G47" i="64"/>
  <c r="C63" i="110"/>
  <c r="G63" i="64"/>
  <c r="N63" i="110"/>
  <c r="C56" i="64"/>
  <c r="C44" i="64"/>
  <c r="C48" i="64"/>
  <c r="M31" i="110"/>
  <c r="F31" i="64"/>
  <c r="M63" i="110"/>
  <c r="G13" i="64"/>
  <c r="L30" i="110"/>
  <c r="E36" i="64"/>
  <c r="E46" i="64"/>
  <c r="L62" i="110"/>
  <c r="M7" i="110"/>
  <c r="M23" i="110"/>
  <c r="F40" i="64"/>
  <c r="M56" i="110"/>
  <c r="E10" i="64"/>
  <c r="L18" i="110"/>
  <c r="L26" i="110"/>
  <c r="N34" i="110"/>
  <c r="N42" i="110"/>
  <c r="G50" i="64"/>
  <c r="G58" i="64"/>
  <c r="G14" i="64"/>
  <c r="C31" i="110"/>
  <c r="E55" i="64"/>
  <c r="G33" i="64"/>
  <c r="N33" i="110"/>
  <c r="G49" i="64"/>
  <c r="G57" i="64"/>
  <c r="C16" i="64"/>
  <c r="C39" i="64"/>
  <c r="C28" i="64"/>
  <c r="C55" i="64"/>
  <c r="C18" i="64"/>
  <c r="C52" i="64"/>
  <c r="L5" i="110"/>
  <c r="M35" i="110"/>
  <c r="G7" i="64"/>
  <c r="G15" i="64"/>
  <c r="C42" i="110"/>
  <c r="M11" i="110"/>
  <c r="F27" i="64"/>
  <c r="M44" i="110"/>
  <c r="E20" i="64"/>
  <c r="G36" i="64"/>
  <c r="N52" i="110"/>
  <c r="F20" i="64"/>
  <c r="F37" i="64"/>
  <c r="N8" i="110"/>
  <c r="M9" i="110"/>
  <c r="N43" i="110"/>
  <c r="C5" i="64"/>
  <c r="C27" i="64"/>
  <c r="C29" i="64"/>
  <c r="C21" i="64"/>
  <c r="C12" i="64"/>
  <c r="C38" i="64"/>
  <c r="C22" i="64"/>
  <c r="C40" i="64"/>
  <c r="C57" i="64"/>
  <c r="M6" i="110"/>
  <c r="F6" i="64"/>
  <c r="F22" i="64"/>
  <c r="M22" i="110"/>
  <c r="F39" i="64"/>
  <c r="M39" i="110"/>
  <c r="M55" i="110"/>
  <c r="F55" i="64"/>
  <c r="L38" i="110"/>
  <c r="L44" i="110"/>
  <c r="L54" i="110"/>
  <c r="L60" i="110"/>
  <c r="G30" i="64"/>
  <c r="M8" i="110"/>
  <c r="G18" i="64"/>
  <c r="E43" i="64"/>
  <c r="C51" i="110"/>
  <c r="O51" i="110" s="1"/>
  <c r="F13" i="64"/>
  <c r="C13" i="110"/>
  <c r="G37" i="64"/>
  <c r="N45" i="110"/>
  <c r="G53" i="64"/>
  <c r="U20" i="30" l="1"/>
  <c r="U20" i="37"/>
  <c r="U20" i="36"/>
  <c r="U20" i="35"/>
  <c r="U20" i="34"/>
  <c r="U20" i="33"/>
  <c r="U20" i="32"/>
  <c r="U20" i="31"/>
  <c r="K20" i="30"/>
  <c r="K20" i="37"/>
  <c r="K20" i="36"/>
  <c r="K20" i="35"/>
  <c r="K20" i="34"/>
  <c r="K20" i="33"/>
  <c r="K20" i="32"/>
  <c r="K20" i="31"/>
  <c r="Y20" i="30"/>
  <c r="Y20" i="37"/>
  <c r="Y20" i="36"/>
  <c r="Y20" i="35"/>
  <c r="Y20" i="34"/>
  <c r="Y20" i="33"/>
  <c r="Y20" i="32"/>
  <c r="Y20" i="31"/>
  <c r="B11" i="15"/>
  <c r="N20" i="30"/>
  <c r="O20" i="34" s="1"/>
  <c r="AA20" i="30"/>
  <c r="AA20" i="37"/>
  <c r="AA20" i="36"/>
  <c r="AA20" i="35"/>
  <c r="AA20" i="34"/>
  <c r="AA20" i="33"/>
  <c r="AA20" i="32"/>
  <c r="AA20" i="31"/>
  <c r="AE18" i="62"/>
  <c r="D19" i="114"/>
  <c r="N19" i="114"/>
  <c r="C19" i="114"/>
  <c r="AB10" i="39"/>
  <c r="AA41" i="39"/>
  <c r="AA48" i="39"/>
  <c r="AE43" i="62"/>
  <c r="B20" i="21"/>
  <c r="C79" i="72"/>
  <c r="F34" i="68"/>
  <c r="L37" i="73"/>
  <c r="O42" i="110"/>
  <c r="D18" i="86"/>
  <c r="L25" i="73"/>
  <c r="AD25" i="62"/>
  <c r="A3" i="84"/>
  <c r="AF37" i="62"/>
  <c r="AD24" i="62"/>
  <c r="AD23" i="62"/>
  <c r="AD20" i="62"/>
  <c r="AF19" i="62"/>
  <c r="D42" i="13"/>
  <c r="C12" i="21"/>
  <c r="F28" i="10"/>
  <c r="AC19" i="39"/>
  <c r="D23" i="109"/>
  <c r="AA43" i="39"/>
  <c r="AF23" i="62"/>
  <c r="AF20" i="62"/>
  <c r="AD9" i="62"/>
  <c r="AD28" i="62"/>
  <c r="Q78" i="39"/>
  <c r="AA12" i="39"/>
  <c r="AC12" i="39" s="1"/>
  <c r="K72" i="39" s="1"/>
  <c r="AA45" i="39"/>
  <c r="F22" i="68"/>
  <c r="AF24" i="62"/>
  <c r="AD21" i="62"/>
  <c r="AB15" i="39"/>
  <c r="D12" i="21"/>
  <c r="AE16" i="62"/>
  <c r="AE28" i="62"/>
  <c r="AE17" i="62"/>
  <c r="AE29" i="62"/>
  <c r="AE44" i="62"/>
  <c r="AE30" i="62"/>
  <c r="AE45" i="62"/>
  <c r="AD41" i="62"/>
  <c r="D17" i="41"/>
  <c r="AA14" i="51"/>
  <c r="AD42" i="62"/>
  <c r="AF41" i="62"/>
  <c r="AD35" i="62"/>
  <c r="AF34" i="62"/>
  <c r="AD18" i="62"/>
  <c r="AF17" i="62"/>
  <c r="G16" i="76"/>
  <c r="AF38" i="59"/>
  <c r="AE19" i="62"/>
  <c r="AE31" i="62"/>
  <c r="AE46" i="62"/>
  <c r="B14" i="114"/>
  <c r="F31" i="114" s="1"/>
  <c r="B15" i="114"/>
  <c r="C32" i="114" s="1"/>
  <c r="D32" i="114" s="1"/>
  <c r="AB16" i="39"/>
  <c r="AB14" i="51"/>
  <c r="AF18" i="62"/>
  <c r="AD43" i="62"/>
  <c r="AF42" i="62"/>
  <c r="AD34" i="62"/>
  <c r="AF33" i="62"/>
  <c r="AD17" i="62"/>
  <c r="AF16" i="62"/>
  <c r="B12" i="114"/>
  <c r="C29" i="114" s="1"/>
  <c r="D29" i="114" s="1"/>
  <c r="B17" i="114"/>
  <c r="C34" i="114" s="1"/>
  <c r="AE20" i="62"/>
  <c r="AE32" i="62"/>
  <c r="AE47" i="62"/>
  <c r="AA16" i="39"/>
  <c r="D16" i="41"/>
  <c r="AF38" i="61"/>
  <c r="AD44" i="62"/>
  <c r="AF43" i="62"/>
  <c r="AD33" i="62"/>
  <c r="AF32" i="62"/>
  <c r="AD16" i="62"/>
  <c r="AF15" i="62"/>
  <c r="AE9" i="62"/>
  <c r="AE21" i="62"/>
  <c r="AE33" i="62"/>
  <c r="AE48" i="62"/>
  <c r="D14" i="41"/>
  <c r="S39" i="56"/>
  <c r="AD45" i="62"/>
  <c r="AF44" i="62"/>
  <c r="AD32" i="62"/>
  <c r="AF31" i="62"/>
  <c r="AD15" i="62"/>
  <c r="AF14" i="62"/>
  <c r="D29" i="107"/>
  <c r="AF38" i="58"/>
  <c r="E28" i="114"/>
  <c r="AA11" i="39"/>
  <c r="AA40" i="39"/>
  <c r="Y53" i="39"/>
  <c r="AE10" i="62"/>
  <c r="AE22" i="62"/>
  <c r="AE34" i="62"/>
  <c r="AE49" i="62"/>
  <c r="E20" i="21"/>
  <c r="F37" i="41"/>
  <c r="A3" i="82"/>
  <c r="AD46" i="62"/>
  <c r="AF45" i="62"/>
  <c r="AD31" i="62"/>
  <c r="AF30" i="62"/>
  <c r="AD14" i="62"/>
  <c r="AF13" i="62"/>
  <c r="D30" i="107"/>
  <c r="K19" i="114"/>
  <c r="D31" i="107"/>
  <c r="AB8" i="39"/>
  <c r="AE11" i="62"/>
  <c r="AE23" i="62"/>
  <c r="AE35" i="62"/>
  <c r="AE38" i="61"/>
  <c r="A3" i="83"/>
  <c r="AD48" i="62"/>
  <c r="AD47" i="62"/>
  <c r="AF46" i="62"/>
  <c r="AD30" i="62"/>
  <c r="AF29" i="62"/>
  <c r="AD13" i="62"/>
  <c r="AF12" i="62"/>
  <c r="D32" i="107"/>
  <c r="AE12" i="62"/>
  <c r="AE24" i="62"/>
  <c r="AE36" i="62"/>
  <c r="D22" i="109"/>
  <c r="K44" i="106"/>
  <c r="K43" i="106"/>
  <c r="A3" i="93"/>
  <c r="AD49" i="62"/>
  <c r="AF48" i="62"/>
  <c r="AF47" i="62"/>
  <c r="AD29" i="62"/>
  <c r="AF27" i="62"/>
  <c r="AD12" i="62"/>
  <c r="AF11" i="62"/>
  <c r="D33" i="107"/>
  <c r="D21" i="109"/>
  <c r="I19" i="114"/>
  <c r="M19" i="114"/>
  <c r="E33" i="114"/>
  <c r="F33" i="114" s="1"/>
  <c r="AC14" i="51"/>
  <c r="AE13" i="62"/>
  <c r="AE25" i="62"/>
  <c r="AE37" i="62"/>
  <c r="AD37" i="62"/>
  <c r="AF49" i="62"/>
  <c r="AD27" i="62"/>
  <c r="AF26" i="62"/>
  <c r="AF22" i="62"/>
  <c r="AD11" i="62"/>
  <c r="AF10" i="62"/>
  <c r="V15" i="80"/>
  <c r="D24" i="109"/>
  <c r="AE14" i="62"/>
  <c r="AE26" i="62"/>
  <c r="AE41" i="62"/>
  <c r="J8" i="78"/>
  <c r="N8" i="78" s="1"/>
  <c r="P8" i="78" s="1"/>
  <c r="P42" i="78" s="1"/>
  <c r="AF35" i="62"/>
  <c r="AD19" i="62"/>
  <c r="D36" i="41"/>
  <c r="D18" i="41"/>
  <c r="U12" i="49"/>
  <c r="AD26" i="62"/>
  <c r="AF25" i="62"/>
  <c r="AD22" i="62"/>
  <c r="AF21" i="62"/>
  <c r="AD10" i="62"/>
  <c r="AF9" i="62"/>
  <c r="C27" i="109"/>
  <c r="D27" i="107"/>
  <c r="AF28" i="62"/>
  <c r="AE15" i="62"/>
  <c r="AE27" i="62"/>
  <c r="AE42" i="62"/>
  <c r="E12" i="21"/>
  <c r="D13" i="22"/>
  <c r="G13" i="38" s="1"/>
  <c r="B9" i="11"/>
  <c r="I67" i="12"/>
  <c r="G85" i="11"/>
  <c r="I25" i="12"/>
  <c r="J61" i="12"/>
  <c r="G67" i="12"/>
  <c r="J67" i="12"/>
  <c r="H25" i="12"/>
  <c r="K85" i="11"/>
  <c r="L85" i="11"/>
  <c r="I61" i="12"/>
  <c r="H67" i="12"/>
  <c r="B19" i="12"/>
  <c r="H29" i="12"/>
  <c r="H17" i="12"/>
  <c r="J17" i="12"/>
  <c r="I56" i="12"/>
  <c r="I21" i="72"/>
  <c r="H75" i="72" s="1"/>
  <c r="F25" i="12"/>
  <c r="B11" i="12"/>
  <c r="V16" i="80"/>
  <c r="V24" i="80"/>
  <c r="V18" i="80"/>
  <c r="V20" i="80"/>
  <c r="K23" i="80"/>
  <c r="V26" i="80"/>
  <c r="V19" i="80"/>
  <c r="O16" i="80"/>
  <c r="X16" i="80" s="1"/>
  <c r="D20" i="109"/>
  <c r="E24" i="114"/>
  <c r="E27" i="114"/>
  <c r="F32" i="114"/>
  <c r="J19" i="114"/>
  <c r="H19" i="114"/>
  <c r="E19" i="114"/>
  <c r="B8" i="114"/>
  <c r="C25" i="114" s="1"/>
  <c r="D25" i="114" s="1"/>
  <c r="G19" i="114"/>
  <c r="F19" i="114"/>
  <c r="B13" i="114"/>
  <c r="F30" i="114" s="1"/>
  <c r="B10" i="114"/>
  <c r="D25" i="109"/>
  <c r="B11" i="114"/>
  <c r="C28" i="114" s="1"/>
  <c r="O20" i="80"/>
  <c r="X20" i="80" s="1"/>
  <c r="B27" i="109"/>
  <c r="D27" i="109" s="1"/>
  <c r="O24" i="80"/>
  <c r="Y24" i="80" s="1"/>
  <c r="V23" i="80"/>
  <c r="O21" i="80"/>
  <c r="Y21" i="80" s="1"/>
  <c r="K22" i="80"/>
  <c r="E36" i="114"/>
  <c r="F34" i="114"/>
  <c r="B9" i="114"/>
  <c r="C26" i="114" s="1"/>
  <c r="D26" i="114" s="1"/>
  <c r="D33" i="114"/>
  <c r="D28" i="107"/>
  <c r="D24" i="107"/>
  <c r="B7" i="114"/>
  <c r="B18" i="114"/>
  <c r="C35" i="114" s="1"/>
  <c r="D35" i="114" s="1"/>
  <c r="D34" i="114"/>
  <c r="E29" i="114"/>
  <c r="F29" i="114" s="1"/>
  <c r="C12" i="80"/>
  <c r="K13" i="80"/>
  <c r="K20" i="80"/>
  <c r="V13" i="80"/>
  <c r="D12" i="80"/>
  <c r="K25" i="80"/>
  <c r="J12" i="80"/>
  <c r="E12" i="80"/>
  <c r="K21" i="80"/>
  <c r="I12" i="80"/>
  <c r="U12" i="80"/>
  <c r="K17" i="80"/>
  <c r="T12" i="80"/>
  <c r="O18" i="80"/>
  <c r="X18" i="80" s="1"/>
  <c r="O26" i="80"/>
  <c r="X26" i="80" s="1"/>
  <c r="O23" i="80"/>
  <c r="X23" i="80" s="1"/>
  <c r="O19" i="80"/>
  <c r="X19" i="80" s="1"/>
  <c r="M12" i="80"/>
  <c r="K26" i="80"/>
  <c r="H12" i="80"/>
  <c r="K19" i="80"/>
  <c r="K18" i="80"/>
  <c r="D28" i="114"/>
  <c r="O15" i="80"/>
  <c r="W15" i="80" s="1"/>
  <c r="W24" i="80"/>
  <c r="K16" i="80"/>
  <c r="F12" i="80"/>
  <c r="O13" i="80"/>
  <c r="Y13" i="80" s="1"/>
  <c r="K15" i="80"/>
  <c r="B34" i="107"/>
  <c r="O22" i="80"/>
  <c r="X22" i="80" s="1"/>
  <c r="V21" i="80"/>
  <c r="S12" i="80"/>
  <c r="B36" i="114"/>
  <c r="K24" i="80"/>
  <c r="P24" i="80" s="1"/>
  <c r="K14" i="80"/>
  <c r="O25" i="80"/>
  <c r="J42" i="78"/>
  <c r="N42" i="78" s="1"/>
  <c r="L8" i="78"/>
  <c r="L42" i="78" s="1"/>
  <c r="G8" i="78"/>
  <c r="F79" i="72"/>
  <c r="H63" i="72"/>
  <c r="Z39" i="112"/>
  <c r="Y39" i="112"/>
  <c r="N8" i="112"/>
  <c r="R8" i="112" s="1"/>
  <c r="V8" i="112" s="1"/>
  <c r="AF38" i="60"/>
  <c r="S38" i="62"/>
  <c r="C38" i="62"/>
  <c r="O38" i="62"/>
  <c r="B38" i="62"/>
  <c r="J38" i="62"/>
  <c r="F38" i="62"/>
  <c r="K38" i="62"/>
  <c r="G38" i="62"/>
  <c r="P38" i="62"/>
  <c r="S35" i="56"/>
  <c r="U35" i="56"/>
  <c r="E22" i="56"/>
  <c r="U45" i="56"/>
  <c r="T35" i="56"/>
  <c r="T39" i="56"/>
  <c r="T45" i="56"/>
  <c r="E46" i="56"/>
  <c r="U29" i="56"/>
  <c r="S29" i="56"/>
  <c r="U13" i="56"/>
  <c r="S13" i="56"/>
  <c r="S22" i="56" s="1"/>
  <c r="U20" i="56"/>
  <c r="S45" i="56"/>
  <c r="U17" i="56"/>
  <c r="T13" i="56"/>
  <c r="T22" i="56" s="1"/>
  <c r="T29" i="56"/>
  <c r="U39" i="56"/>
  <c r="AB21" i="54"/>
  <c r="AB37" i="54"/>
  <c r="AB47" i="54"/>
  <c r="AA21" i="54"/>
  <c r="AA31" i="54"/>
  <c r="AA47" i="54"/>
  <c r="AC37" i="54"/>
  <c r="AB41" i="54"/>
  <c r="AC18" i="54"/>
  <c r="AB14" i="54"/>
  <c r="AA37" i="54"/>
  <c r="AC21" i="54"/>
  <c r="AA14" i="54"/>
  <c r="AC31" i="54"/>
  <c r="AB31" i="54"/>
  <c r="AB18" i="54"/>
  <c r="AA41" i="54"/>
  <c r="AA18" i="54"/>
  <c r="E23" i="54"/>
  <c r="AB21" i="53"/>
  <c r="AA21" i="53"/>
  <c r="AB47" i="53"/>
  <c r="AA18" i="53"/>
  <c r="AA37" i="53"/>
  <c r="AC47" i="53"/>
  <c r="AB31" i="53"/>
  <c r="AC18" i="53"/>
  <c r="AB37" i="53"/>
  <c r="AA14" i="53"/>
  <c r="AC37" i="53"/>
  <c r="AB14" i="53"/>
  <c r="AA41" i="53"/>
  <c r="AC31" i="53"/>
  <c r="AA47" i="53"/>
  <c r="AB41" i="53"/>
  <c r="AB18" i="53"/>
  <c r="AA31" i="53"/>
  <c r="AC21" i="52"/>
  <c r="AC47" i="52"/>
  <c r="AA47" i="52"/>
  <c r="AC18" i="52"/>
  <c r="AA31" i="52"/>
  <c r="AA37" i="52"/>
  <c r="AB18" i="52"/>
  <c r="AB41" i="52"/>
  <c r="AC37" i="52"/>
  <c r="AC31" i="52"/>
  <c r="AB31" i="52"/>
  <c r="AA21" i="52"/>
  <c r="AA41" i="52"/>
  <c r="AB21" i="52"/>
  <c r="AA18" i="52"/>
  <c r="AB47" i="52"/>
  <c r="AA14" i="52"/>
  <c r="AB37" i="52"/>
  <c r="AB14" i="52"/>
  <c r="AB18" i="51"/>
  <c r="AA47" i="51"/>
  <c r="AB41" i="51"/>
  <c r="AC21" i="51"/>
  <c r="AA21" i="51"/>
  <c r="E48" i="51"/>
  <c r="E23" i="51"/>
  <c r="AA18" i="51"/>
  <c r="AA46" i="55"/>
  <c r="AC37" i="51"/>
  <c r="AB47" i="51"/>
  <c r="AA41" i="51"/>
  <c r="U21" i="55"/>
  <c r="AB37" i="51"/>
  <c r="AB31" i="51"/>
  <c r="D23" i="51"/>
  <c r="AA37" i="51"/>
  <c r="AB21" i="51"/>
  <c r="D48" i="51"/>
  <c r="AB45" i="55"/>
  <c r="AA45" i="55"/>
  <c r="W21" i="55"/>
  <c r="U18" i="55"/>
  <c r="G18" i="55"/>
  <c r="C14" i="55"/>
  <c r="X18" i="55"/>
  <c r="S21" i="55"/>
  <c r="E21" i="55"/>
  <c r="I21" i="55"/>
  <c r="P21" i="55"/>
  <c r="L37" i="55"/>
  <c r="C21" i="55"/>
  <c r="I18" i="55"/>
  <c r="H37" i="55"/>
  <c r="AC29" i="55"/>
  <c r="H21" i="55"/>
  <c r="G21" i="55"/>
  <c r="E18" i="55"/>
  <c r="Q18" i="55"/>
  <c r="D18" i="55"/>
  <c r="G47" i="55"/>
  <c r="M21" i="55"/>
  <c r="I31" i="55"/>
  <c r="L21" i="55"/>
  <c r="M31" i="57"/>
  <c r="M32" i="57" s="1"/>
  <c r="L15" i="57"/>
  <c r="K31" i="57"/>
  <c r="K32" i="57" s="1"/>
  <c r="L31" i="57"/>
  <c r="X21" i="55"/>
  <c r="AA18" i="50"/>
  <c r="AB29" i="55"/>
  <c r="AB28" i="55"/>
  <c r="AA28" i="55"/>
  <c r="AA37" i="50"/>
  <c r="F10" i="93"/>
  <c r="F25" i="93"/>
  <c r="F24" i="93"/>
  <c r="F13" i="93"/>
  <c r="F17" i="93"/>
  <c r="F22" i="93"/>
  <c r="F21" i="93"/>
  <c r="F20" i="93"/>
  <c r="F18" i="93"/>
  <c r="F28" i="93"/>
  <c r="F23" i="93"/>
  <c r="F27" i="93"/>
  <c r="G28" i="93"/>
  <c r="G19" i="93"/>
  <c r="H19" i="93" s="1"/>
  <c r="G22" i="93"/>
  <c r="G16" i="93"/>
  <c r="H16" i="93" s="1"/>
  <c r="G14" i="93"/>
  <c r="G15" i="93"/>
  <c r="G13" i="93"/>
  <c r="G11" i="93"/>
  <c r="G20" i="93"/>
  <c r="G26" i="93"/>
  <c r="G27" i="93"/>
  <c r="G18" i="93"/>
  <c r="G23" i="93"/>
  <c r="M37" i="55"/>
  <c r="AB35" i="55"/>
  <c r="AC28" i="55"/>
  <c r="AC12" i="55"/>
  <c r="AA33" i="55"/>
  <c r="AC11" i="55"/>
  <c r="S41" i="55"/>
  <c r="O18" i="55"/>
  <c r="AB11" i="55"/>
  <c r="AA10" i="55"/>
  <c r="K14" i="55"/>
  <c r="Y47" i="55"/>
  <c r="H31" i="55"/>
  <c r="Y21" i="55"/>
  <c r="W18" i="55"/>
  <c r="AB20" i="55"/>
  <c r="G41" i="55"/>
  <c r="AC34" i="55"/>
  <c r="AB32" i="55"/>
  <c r="H18" i="55"/>
  <c r="D14" i="55"/>
  <c r="C37" i="55"/>
  <c r="W41" i="55"/>
  <c r="K41" i="55"/>
  <c r="AB39" i="55"/>
  <c r="AA34" i="55"/>
  <c r="AC30" i="55"/>
  <c r="AB22" i="55"/>
  <c r="O47" i="55"/>
  <c r="AB25" i="55"/>
  <c r="AB17" i="55"/>
  <c r="AA12" i="55"/>
  <c r="T41" i="55"/>
  <c r="AC20" i="55"/>
  <c r="AC13" i="55"/>
  <c r="AA27" i="55"/>
  <c r="AB43" i="55"/>
  <c r="AB47" i="50"/>
  <c r="AB37" i="50"/>
  <c r="AA13" i="55"/>
  <c r="L18" i="55"/>
  <c r="K18" i="55"/>
  <c r="T18" i="55"/>
  <c r="AC9" i="55"/>
  <c r="AA31" i="50"/>
  <c r="AC18" i="50"/>
  <c r="L47" i="55"/>
  <c r="AA39" i="55"/>
  <c r="D41" i="55"/>
  <c r="AB36" i="55"/>
  <c r="AA24" i="55"/>
  <c r="P18" i="55"/>
  <c r="C18" i="55"/>
  <c r="L14" i="55"/>
  <c r="Q37" i="55"/>
  <c r="AB33" i="55"/>
  <c r="AB12" i="55"/>
  <c r="W14" i="55"/>
  <c r="S37" i="55"/>
  <c r="H47" i="55"/>
  <c r="AA42" i="55"/>
  <c r="P41" i="55"/>
  <c r="AB34" i="55"/>
  <c r="W37" i="55"/>
  <c r="AC22" i="55"/>
  <c r="Q21" i="55"/>
  <c r="AA11" i="55"/>
  <c r="AB44" i="55"/>
  <c r="E37" i="55"/>
  <c r="AA29" i="55"/>
  <c r="AC21" i="50"/>
  <c r="AB14" i="50"/>
  <c r="Q31" i="55"/>
  <c r="M18" i="55"/>
  <c r="O37" i="55"/>
  <c r="AB41" i="50"/>
  <c r="S47" i="55"/>
  <c r="G14" i="55"/>
  <c r="P37" i="55"/>
  <c r="AB18" i="50"/>
  <c r="G8" i="54"/>
  <c r="D47" i="55"/>
  <c r="I8" i="55"/>
  <c r="AA41" i="50"/>
  <c r="AC26" i="55"/>
  <c r="AA14" i="50"/>
  <c r="AB10" i="55"/>
  <c r="AC33" i="55"/>
  <c r="M31" i="55"/>
  <c r="L31" i="55"/>
  <c r="E31" i="55"/>
  <c r="O21" i="55"/>
  <c r="AA36" i="55"/>
  <c r="AA32" i="55"/>
  <c r="O31" i="55"/>
  <c r="AA38" i="55"/>
  <c r="P47" i="55"/>
  <c r="C47" i="55"/>
  <c r="AA43" i="55"/>
  <c r="AB38" i="55"/>
  <c r="L41" i="55"/>
  <c r="X31" i="55"/>
  <c r="K47" i="55"/>
  <c r="P14" i="55"/>
  <c r="Y37" i="55"/>
  <c r="AA25" i="55"/>
  <c r="AB9" i="55"/>
  <c r="AC32" i="55"/>
  <c r="AA22" i="55"/>
  <c r="AC16" i="55"/>
  <c r="U37" i="55"/>
  <c r="AC37" i="50"/>
  <c r="AB40" i="55"/>
  <c r="AC36" i="55"/>
  <c r="W31" i="55"/>
  <c r="U31" i="55"/>
  <c r="AB24" i="55"/>
  <c r="H41" i="55"/>
  <c r="AB42" i="55"/>
  <c r="G31" i="55"/>
  <c r="D21" i="55"/>
  <c r="AA44" i="55"/>
  <c r="AA35" i="55"/>
  <c r="T14" i="55"/>
  <c r="C41" i="55"/>
  <c r="AB30" i="55"/>
  <c r="P31" i="55"/>
  <c r="K37" i="55"/>
  <c r="G8" i="53"/>
  <c r="E41" i="55"/>
  <c r="D37" i="55"/>
  <c r="AC27" i="55"/>
  <c r="D31" i="55"/>
  <c r="X14" i="55"/>
  <c r="O41" i="55"/>
  <c r="C31" i="55"/>
  <c r="AB15" i="55"/>
  <c r="T37" i="55"/>
  <c r="AB26" i="55"/>
  <c r="AA30" i="55"/>
  <c r="AA9" i="55"/>
  <c r="G8" i="51"/>
  <c r="S18" i="55"/>
  <c r="AA26" i="55"/>
  <c r="AA16" i="55"/>
  <c r="K31" i="55"/>
  <c r="AB19" i="55"/>
  <c r="AA20" i="55"/>
  <c r="AA40" i="55"/>
  <c r="AC38" i="55"/>
  <c r="AB16" i="55"/>
  <c r="AA47" i="50"/>
  <c r="G8" i="52"/>
  <c r="AB31" i="50"/>
  <c r="E23" i="50"/>
  <c r="AB13" i="55"/>
  <c r="G37" i="55"/>
  <c r="X37" i="55"/>
  <c r="H8" i="54"/>
  <c r="T31" i="55"/>
  <c r="H8" i="52"/>
  <c r="Y41" i="55"/>
  <c r="AB46" i="55"/>
  <c r="X41" i="55"/>
  <c r="AC19" i="55"/>
  <c r="AC24" i="55"/>
  <c r="AB27" i="55"/>
  <c r="S31" i="55"/>
  <c r="AA17" i="55"/>
  <c r="AC25" i="55"/>
  <c r="AA19" i="55"/>
  <c r="M8" i="50"/>
  <c r="X47" i="55"/>
  <c r="K21" i="55"/>
  <c r="S14" i="55"/>
  <c r="I8" i="54"/>
  <c r="W47" i="55"/>
  <c r="AA15" i="55"/>
  <c r="I8" i="51"/>
  <c r="O14" i="55"/>
  <c r="I8" i="52"/>
  <c r="G8" i="55"/>
  <c r="H8" i="51"/>
  <c r="T47" i="55"/>
  <c r="T12" i="49"/>
  <c r="W12" i="49"/>
  <c r="V12" i="49"/>
  <c r="X12" i="49"/>
  <c r="T61" i="40"/>
  <c r="T23" i="40"/>
  <c r="P25" i="40"/>
  <c r="T21" i="40"/>
  <c r="I25" i="40"/>
  <c r="T20" i="40"/>
  <c r="G25" i="40"/>
  <c r="T22" i="40"/>
  <c r="N25" i="40"/>
  <c r="L25" i="40"/>
  <c r="Q25" i="40"/>
  <c r="T17" i="40"/>
  <c r="H25" i="40"/>
  <c r="M25" i="40"/>
  <c r="R25" i="40"/>
  <c r="F25" i="40"/>
  <c r="S25" i="40"/>
  <c r="Q79" i="39"/>
  <c r="AA39" i="39"/>
  <c r="Q76" i="39"/>
  <c r="Q70" i="39"/>
  <c r="Q75" i="39"/>
  <c r="Q77" i="39"/>
  <c r="Q69" i="39"/>
  <c r="AA21" i="39"/>
  <c r="Q68" i="39"/>
  <c r="Q74" i="39"/>
  <c r="Q71" i="39"/>
  <c r="Q72" i="39"/>
  <c r="Z53" i="39"/>
  <c r="AA53" i="39" s="1"/>
  <c r="AA47" i="39"/>
  <c r="AA44" i="39"/>
  <c r="AA22" i="39"/>
  <c r="AA18" i="39"/>
  <c r="AA15" i="39"/>
  <c r="AC15" i="39" s="1"/>
  <c r="L16" i="106" s="1"/>
  <c r="L38" i="106" s="1"/>
  <c r="AB11" i="39"/>
  <c r="AC11" i="39" s="1"/>
  <c r="K71" i="39" s="1"/>
  <c r="AA10" i="39"/>
  <c r="AC10" i="39" s="1"/>
  <c r="K70" i="39" s="1"/>
  <c r="AA17" i="39"/>
  <c r="AB17" i="39"/>
  <c r="AA9" i="39"/>
  <c r="M23" i="39"/>
  <c r="AA14" i="39"/>
  <c r="AC14" i="39" s="1"/>
  <c r="L15" i="106" s="1"/>
  <c r="P20" i="38"/>
  <c r="L20" i="38"/>
  <c r="AC22" i="39"/>
  <c r="K79" i="39" s="1"/>
  <c r="U19" i="38"/>
  <c r="T20" i="38"/>
  <c r="K14" i="21" s="1"/>
  <c r="AD20" i="38"/>
  <c r="AA8" i="39"/>
  <c r="V20" i="38"/>
  <c r="X20" i="38"/>
  <c r="AC20" i="39"/>
  <c r="L21" i="106" s="1"/>
  <c r="L43" i="106" s="1"/>
  <c r="AB20" i="38"/>
  <c r="Z20" i="38"/>
  <c r="AC18" i="39"/>
  <c r="C23" i="39"/>
  <c r="D23" i="39"/>
  <c r="L13" i="106"/>
  <c r="N20" i="38"/>
  <c r="J20" i="38"/>
  <c r="K8" i="21" s="1"/>
  <c r="AC21" i="39"/>
  <c r="L22" i="106" s="1"/>
  <c r="L44" i="106" s="1"/>
  <c r="AA13" i="39"/>
  <c r="Q64" i="78"/>
  <c r="I13" i="73"/>
  <c r="C14" i="76"/>
  <c r="Q23" i="78"/>
  <c r="Q18" i="78"/>
  <c r="Q11" i="78"/>
  <c r="Q65" i="78"/>
  <c r="I39" i="73"/>
  <c r="I43" i="73" s="1"/>
  <c r="Q16" i="78"/>
  <c r="J9" i="76"/>
  <c r="Q12" i="78"/>
  <c r="Q25" i="78"/>
  <c r="Q55" i="78"/>
  <c r="J10" i="76"/>
  <c r="AE11" i="70"/>
  <c r="AE13" i="70"/>
  <c r="AE16" i="70"/>
  <c r="AE17" i="70"/>
  <c r="T48" i="71"/>
  <c r="AF34" i="70"/>
  <c r="Q19" i="78"/>
  <c r="C56" i="63"/>
  <c r="J22" i="66"/>
  <c r="C20" i="77"/>
  <c r="A23" i="37"/>
  <c r="I12" i="21"/>
  <c r="I31" i="57"/>
  <c r="I32" i="57" s="1"/>
  <c r="R65" i="63"/>
  <c r="J8" i="76"/>
  <c r="S18" i="35"/>
  <c r="A23" i="35"/>
  <c r="A23" i="38" s="1"/>
  <c r="G18" i="35"/>
  <c r="I18" i="35"/>
  <c r="S34" i="67"/>
  <c r="Q62" i="78"/>
  <c r="Q28" i="78"/>
  <c r="Q63" i="78"/>
  <c r="K19" i="37"/>
  <c r="K19" i="34"/>
  <c r="U19" i="34"/>
  <c r="B14" i="15"/>
  <c r="F85" i="63"/>
  <c r="E6" i="102" s="1"/>
  <c r="G6" i="102" s="1"/>
  <c r="E16" i="48"/>
  <c r="E20" i="48" s="1"/>
  <c r="O16" i="48"/>
  <c r="O20" i="48" s="1"/>
  <c r="K18" i="48"/>
  <c r="D50" i="46"/>
  <c r="H16" i="48"/>
  <c r="H20" i="48" s="1"/>
  <c r="V16" i="48"/>
  <c r="V20" i="48" s="1"/>
  <c r="V24" i="48" s="1"/>
  <c r="X15" i="48"/>
  <c r="Z15" i="48" s="1"/>
  <c r="G20" i="46"/>
  <c r="K14" i="46"/>
  <c r="K19" i="46"/>
  <c r="C33" i="46"/>
  <c r="G50" i="46"/>
  <c r="K57" i="46"/>
  <c r="G60" i="46"/>
  <c r="K11" i="48"/>
  <c r="Q54" i="78"/>
  <c r="F27" i="68"/>
  <c r="Q58" i="78"/>
  <c r="Q61" i="78"/>
  <c r="AC31" i="57"/>
  <c r="AC32" i="57" s="1"/>
  <c r="C8" i="63"/>
  <c r="C52" i="63"/>
  <c r="B74" i="63"/>
  <c r="B75" i="63"/>
  <c r="Q16" i="48"/>
  <c r="Q20" i="48" s="1"/>
  <c r="K13" i="48"/>
  <c r="Y13" i="48"/>
  <c r="Y14" i="48"/>
  <c r="AA14" i="48" s="1"/>
  <c r="Y15" i="48"/>
  <c r="AA15" i="48" s="1"/>
  <c r="K17" i="48"/>
  <c r="Y18" i="48"/>
  <c r="J20" i="46"/>
  <c r="L13" i="46"/>
  <c r="L14" i="46"/>
  <c r="L17" i="46"/>
  <c r="I30" i="46"/>
  <c r="J50" i="46"/>
  <c r="F60" i="46"/>
  <c r="Q21" i="78"/>
  <c r="X11" i="48"/>
  <c r="J10" i="21"/>
  <c r="Z65" i="63"/>
  <c r="D36" i="63"/>
  <c r="D40" i="63"/>
  <c r="Q10" i="78"/>
  <c r="Q22" i="78"/>
  <c r="I19" i="79"/>
  <c r="J56" i="12"/>
  <c r="G61" i="12"/>
  <c r="F67" i="12"/>
  <c r="K9" i="12"/>
  <c r="D67" i="12"/>
  <c r="E37" i="12"/>
  <c r="H37" i="12"/>
  <c r="B41" i="12"/>
  <c r="B50" i="12"/>
  <c r="H43" i="12"/>
  <c r="J43" i="12"/>
  <c r="F73" i="12"/>
  <c r="B18" i="12"/>
  <c r="B80" i="12"/>
  <c r="B49" i="12"/>
  <c r="B47" i="12"/>
  <c r="B54" i="12"/>
  <c r="B12" i="12"/>
  <c r="B79" i="12"/>
  <c r="I23" i="72"/>
  <c r="H77" i="72" s="1"/>
  <c r="E67" i="12"/>
  <c r="I22" i="72"/>
  <c r="H76" i="72" s="1"/>
  <c r="F61" i="12"/>
  <c r="D61" i="12"/>
  <c r="H56" i="12"/>
  <c r="B56" i="11"/>
  <c r="D43" i="12"/>
  <c r="B53" i="12"/>
  <c r="B46" i="12"/>
  <c r="B44" i="12"/>
  <c r="B38" i="12"/>
  <c r="J34" i="11"/>
  <c r="I34" i="11"/>
  <c r="B26" i="12"/>
  <c r="B27" i="12"/>
  <c r="E25" i="12"/>
  <c r="K25" i="12"/>
  <c r="E17" i="12"/>
  <c r="D17" i="12"/>
  <c r="F9" i="12"/>
  <c r="B14" i="12"/>
  <c r="E34" i="11"/>
  <c r="E9" i="12"/>
  <c r="B59" i="12"/>
  <c r="B75" i="12"/>
  <c r="H71" i="72"/>
  <c r="I15" i="72"/>
  <c r="H69" i="72" s="1"/>
  <c r="F17" i="12"/>
  <c r="D9" i="12"/>
  <c r="I9" i="12"/>
  <c r="B40" i="12"/>
  <c r="I37" i="12"/>
  <c r="B58" i="12"/>
  <c r="B71" i="12"/>
  <c r="B74" i="12"/>
  <c r="B57" i="12"/>
  <c r="K17" i="12"/>
  <c r="J73" i="12"/>
  <c r="D29" i="12"/>
  <c r="B13" i="12"/>
  <c r="B23" i="12"/>
  <c r="I17" i="12"/>
  <c r="F37" i="12"/>
  <c r="B48" i="12"/>
  <c r="G56" i="12"/>
  <c r="D56" i="12"/>
  <c r="H61" i="12"/>
  <c r="E73" i="12"/>
  <c r="H85" i="11"/>
  <c r="I85" i="11"/>
  <c r="B61" i="11"/>
  <c r="L34" i="11"/>
  <c r="B29" i="11"/>
  <c r="G37" i="12"/>
  <c r="B52" i="12"/>
  <c r="J29" i="12"/>
  <c r="J9" i="12"/>
  <c r="B51" i="12"/>
  <c r="I43" i="12"/>
  <c r="B81" i="12"/>
  <c r="B31" i="12"/>
  <c r="G9" i="12"/>
  <c r="H73" i="12"/>
  <c r="B83" i="12"/>
  <c r="B64" i="12"/>
  <c r="D25" i="12"/>
  <c r="K67" i="12"/>
  <c r="B70" i="12"/>
  <c r="B30" i="12"/>
  <c r="K73" i="12"/>
  <c r="B20" i="12"/>
  <c r="F43" i="12"/>
  <c r="B82" i="12"/>
  <c r="B39" i="12"/>
  <c r="B78" i="12"/>
  <c r="I73" i="12"/>
  <c r="B45" i="12"/>
  <c r="E85" i="11"/>
  <c r="B22" i="12"/>
  <c r="B77" i="12"/>
  <c r="B15" i="12"/>
  <c r="B65" i="12"/>
  <c r="F85" i="11"/>
  <c r="F34" i="11"/>
  <c r="G34" i="11"/>
  <c r="K61" i="12"/>
  <c r="D85" i="11"/>
  <c r="B21" i="12"/>
  <c r="F56" i="12"/>
  <c r="G17" i="12"/>
  <c r="B67" i="11"/>
  <c r="G73" i="12"/>
  <c r="B10" i="12"/>
  <c r="I18" i="72"/>
  <c r="H72" i="72" s="1"/>
  <c r="D73" i="12"/>
  <c r="G25" i="12"/>
  <c r="E43" i="12"/>
  <c r="F29" i="12"/>
  <c r="E56" i="12"/>
  <c r="H74" i="72"/>
  <c r="H9" i="12"/>
  <c r="K37" i="12"/>
  <c r="G29" i="12"/>
  <c r="B68" i="12"/>
  <c r="B62" i="12"/>
  <c r="B32" i="12"/>
  <c r="D37" i="12"/>
  <c r="E61" i="12"/>
  <c r="D34" i="11"/>
  <c r="B63" i="12"/>
  <c r="K56" i="12"/>
  <c r="J37" i="12"/>
  <c r="B43" i="11"/>
  <c r="I13" i="72"/>
  <c r="H67" i="72" s="1"/>
  <c r="H34" i="11"/>
  <c r="K34" i="11"/>
  <c r="K29" i="12"/>
  <c r="E29" i="12"/>
  <c r="I29" i="12"/>
  <c r="G43" i="12"/>
  <c r="E38" i="106"/>
  <c r="E32" i="106"/>
  <c r="S8" i="67"/>
  <c r="S3" i="67" s="1"/>
  <c r="F39" i="41"/>
  <c r="E37" i="106"/>
  <c r="E31" i="106"/>
  <c r="F12" i="21"/>
  <c r="E42" i="106"/>
  <c r="E35" i="106"/>
  <c r="S15" i="67"/>
  <c r="D20" i="21"/>
  <c r="E45" i="106"/>
  <c r="E36" i="106"/>
  <c r="H19" i="38"/>
  <c r="I19" i="38" s="1"/>
  <c r="E46" i="106"/>
  <c r="S18" i="38"/>
  <c r="G72" i="41"/>
  <c r="S19" i="38"/>
  <c r="E41" i="106"/>
  <c r="E34" i="106"/>
  <c r="D17" i="22"/>
  <c r="H21" i="21" s="1"/>
  <c r="F20" i="21"/>
  <c r="E40" i="106"/>
  <c r="E33" i="106"/>
  <c r="G20" i="21"/>
  <c r="B12" i="21"/>
  <c r="D18" i="22"/>
  <c r="F45" i="41"/>
  <c r="D32" i="41"/>
  <c r="F36" i="41"/>
  <c r="D25" i="41"/>
  <c r="F25" i="41"/>
  <c r="F38" i="41"/>
  <c r="F17" i="41"/>
  <c r="F19" i="38"/>
  <c r="G19" i="38" s="1"/>
  <c r="D28" i="41"/>
  <c r="F18" i="41"/>
  <c r="F29" i="41"/>
  <c r="F19" i="41"/>
  <c r="F30" i="41"/>
  <c r="F22" i="41"/>
  <c r="F23" i="41"/>
  <c r="F31" i="41"/>
  <c r="F15" i="41"/>
  <c r="F16" i="41"/>
  <c r="F43" i="41"/>
  <c r="F32" i="41"/>
  <c r="F40" i="41"/>
  <c r="F41" i="41"/>
  <c r="F42" i="41"/>
  <c r="F21" i="41"/>
  <c r="F20" i="41"/>
  <c r="D37" i="41"/>
  <c r="D26" i="41"/>
  <c r="F34" i="41"/>
  <c r="F44" i="41"/>
  <c r="F14" i="41"/>
  <c r="G22" i="10"/>
  <c r="Q65" i="63"/>
  <c r="AC65" i="63"/>
  <c r="O65" i="63"/>
  <c r="AA65" i="63"/>
  <c r="M65" i="63"/>
  <c r="Y65" i="63"/>
  <c r="W65" i="63"/>
  <c r="C9" i="63"/>
  <c r="U65" i="63"/>
  <c r="C11" i="63"/>
  <c r="C14" i="63"/>
  <c r="C15" i="63"/>
  <c r="C17" i="63"/>
  <c r="C21" i="63"/>
  <c r="C22" i="63"/>
  <c r="C23" i="63"/>
  <c r="C27" i="63"/>
  <c r="C28" i="63"/>
  <c r="C29" i="63"/>
  <c r="C31" i="63"/>
  <c r="C32" i="63"/>
  <c r="C33" i="63"/>
  <c r="C34" i="63"/>
  <c r="C35" i="63"/>
  <c r="C39" i="63"/>
  <c r="C40" i="63"/>
  <c r="C41" i="63"/>
  <c r="Q29" i="78"/>
  <c r="K19" i="79"/>
  <c r="C24" i="63"/>
  <c r="D54" i="63"/>
  <c r="D19" i="79"/>
  <c r="F19" i="79"/>
  <c r="J43" i="73"/>
  <c r="AE18" i="70"/>
  <c r="AE21" i="70"/>
  <c r="AE30" i="70"/>
  <c r="Q48" i="78"/>
  <c r="AI28" i="70"/>
  <c r="G65" i="63"/>
  <c r="C18" i="63"/>
  <c r="E20" i="77"/>
  <c r="C43" i="63"/>
  <c r="C44" i="63"/>
  <c r="C45" i="63"/>
  <c r="C47" i="63"/>
  <c r="C49" i="63"/>
  <c r="C51" i="63"/>
  <c r="C53" i="63"/>
  <c r="C57" i="63"/>
  <c r="C58" i="63"/>
  <c r="C59" i="63"/>
  <c r="C63" i="63"/>
  <c r="C64" i="63"/>
  <c r="B77" i="63"/>
  <c r="B78" i="63"/>
  <c r="B80" i="63"/>
  <c r="B81" i="63"/>
  <c r="B82" i="63"/>
  <c r="B19" i="79"/>
  <c r="D14" i="76"/>
  <c r="AF16" i="70"/>
  <c r="AF18" i="70"/>
  <c r="AF23" i="70"/>
  <c r="AF24" i="70"/>
  <c r="AF27" i="70"/>
  <c r="H18" i="66"/>
  <c r="L48" i="71"/>
  <c r="F65" i="63"/>
  <c r="AD65" i="63"/>
  <c r="P65" i="63"/>
  <c r="AB65" i="63"/>
  <c r="N65" i="63"/>
  <c r="X65" i="63"/>
  <c r="D9" i="63"/>
  <c r="V65" i="63"/>
  <c r="H65" i="63"/>
  <c r="D11" i="63"/>
  <c r="D15" i="63"/>
  <c r="D16" i="63"/>
  <c r="D17" i="63"/>
  <c r="D18" i="63"/>
  <c r="D20" i="63"/>
  <c r="D21" i="63"/>
  <c r="D22" i="63"/>
  <c r="D23" i="63"/>
  <c r="D27" i="63"/>
  <c r="D28" i="63"/>
  <c r="D29" i="63"/>
  <c r="D32" i="63"/>
  <c r="D33" i="63"/>
  <c r="D34" i="63"/>
  <c r="D35" i="63"/>
  <c r="D38" i="63"/>
  <c r="D39" i="63"/>
  <c r="D41" i="63"/>
  <c r="D43" i="63"/>
  <c r="D44" i="63"/>
  <c r="D46" i="63"/>
  <c r="D47" i="63"/>
  <c r="D49" i="63"/>
  <c r="D51" i="63"/>
  <c r="D52" i="63"/>
  <c r="D56" i="63"/>
  <c r="D57" i="63"/>
  <c r="D58" i="63"/>
  <c r="D59" i="63"/>
  <c r="D63" i="63"/>
  <c r="D64" i="63"/>
  <c r="H85" i="63"/>
  <c r="E7" i="102" s="1"/>
  <c r="G7" i="102" s="1"/>
  <c r="B71" i="63"/>
  <c r="AD85" i="63"/>
  <c r="E15" i="102" s="1"/>
  <c r="G15" i="102" s="1"/>
  <c r="AB85" i="63"/>
  <c r="E14" i="102" s="1"/>
  <c r="G14" i="102" s="1"/>
  <c r="X85" i="63"/>
  <c r="E17" i="102" s="1"/>
  <c r="G17" i="102" s="1"/>
  <c r="B83" i="63"/>
  <c r="Q30" i="78"/>
  <c r="C19" i="79"/>
  <c r="Q50" i="78"/>
  <c r="Q44" i="78"/>
  <c r="Q14" i="78"/>
  <c r="H13" i="73"/>
  <c r="AE15" i="70"/>
  <c r="B73" i="63"/>
  <c r="Q24" i="78"/>
  <c r="H43" i="73"/>
  <c r="B20" i="77"/>
  <c r="Q20" i="78"/>
  <c r="Q9" i="78"/>
  <c r="J53" i="64"/>
  <c r="G19" i="79"/>
  <c r="D20" i="77"/>
  <c r="W44" i="71"/>
  <c r="E65" i="63"/>
  <c r="C5" i="63"/>
  <c r="B70" i="63"/>
  <c r="Z85" i="63"/>
  <c r="E16" i="102" s="1"/>
  <c r="G16" i="102" s="1"/>
  <c r="V85" i="63"/>
  <c r="E18" i="102" s="1"/>
  <c r="G18" i="102" s="1"/>
  <c r="B76" i="63"/>
  <c r="B79" i="63"/>
  <c r="Q47" i="78"/>
  <c r="AI21" i="70"/>
  <c r="H11" i="66"/>
  <c r="S65" i="63"/>
  <c r="C6" i="63"/>
  <c r="C12" i="63"/>
  <c r="C30" i="63"/>
  <c r="C36" i="63"/>
  <c r="C42" i="63"/>
  <c r="C48" i="63"/>
  <c r="C60" i="63"/>
  <c r="B72" i="63"/>
  <c r="Q51" i="78"/>
  <c r="AF25" i="70"/>
  <c r="T65" i="63"/>
  <c r="D6" i="63"/>
  <c r="D12" i="63"/>
  <c r="D30" i="63"/>
  <c r="D42" i="63"/>
  <c r="D60" i="63"/>
  <c r="Q52" i="78"/>
  <c r="Q46" i="78"/>
  <c r="J19" i="79"/>
  <c r="C54" i="63"/>
  <c r="Q45" i="78"/>
  <c r="AF15" i="70"/>
  <c r="I65" i="63"/>
  <c r="C7" i="63"/>
  <c r="C19" i="63"/>
  <c r="C25" i="63"/>
  <c r="C37" i="63"/>
  <c r="C55" i="63"/>
  <c r="C61" i="63"/>
  <c r="Q13" i="78"/>
  <c r="AE24" i="70"/>
  <c r="AI24" i="70"/>
  <c r="D50" i="63"/>
  <c r="D13" i="76"/>
  <c r="D55" i="63"/>
  <c r="Q59" i="78"/>
  <c r="AE23" i="70"/>
  <c r="AE26" i="70"/>
  <c r="Q57" i="78"/>
  <c r="D8" i="63"/>
  <c r="D14" i="63"/>
  <c r="Q17" i="78"/>
  <c r="C26" i="63"/>
  <c r="Q53" i="78"/>
  <c r="J11" i="66"/>
  <c r="D45" i="63"/>
  <c r="D7" i="63"/>
  <c r="H19" i="79"/>
  <c r="D53" i="63"/>
  <c r="D62" i="63"/>
  <c r="AE28" i="70"/>
  <c r="D5" i="63"/>
  <c r="J65" i="63"/>
  <c r="D19" i="63"/>
  <c r="D25" i="63"/>
  <c r="D61" i="63"/>
  <c r="Q15" i="78"/>
  <c r="D10" i="63"/>
  <c r="J11" i="76"/>
  <c r="L85" i="63"/>
  <c r="E10" i="102" s="1"/>
  <c r="G10" i="102" s="1"/>
  <c r="K65" i="63"/>
  <c r="C62" i="63"/>
  <c r="J13" i="73"/>
  <c r="H13" i="75" s="1"/>
  <c r="C10" i="63"/>
  <c r="C13" i="63"/>
  <c r="C13" i="76"/>
  <c r="L65" i="63"/>
  <c r="D24" i="63"/>
  <c r="D39" i="64"/>
  <c r="Y31" i="57"/>
  <c r="Y32" i="57" s="1"/>
  <c r="C16" i="63"/>
  <c r="J85" i="63"/>
  <c r="E9" i="102" s="1"/>
  <c r="G9" i="102" s="1"/>
  <c r="B84" i="63"/>
  <c r="C38" i="63"/>
  <c r="C50" i="63"/>
  <c r="P85" i="63"/>
  <c r="E13" i="102" s="1"/>
  <c r="G13" i="102" s="1"/>
  <c r="D48" i="63"/>
  <c r="T85" i="63"/>
  <c r="E12" i="102" s="1"/>
  <c r="G12" i="102" s="1"/>
  <c r="H10" i="66"/>
  <c r="D31" i="63"/>
  <c r="C46" i="63"/>
  <c r="N85" i="63"/>
  <c r="E8" i="102" s="1"/>
  <c r="G8" i="102" s="1"/>
  <c r="C20" i="63"/>
  <c r="R85" i="63"/>
  <c r="E11" i="102" s="1"/>
  <c r="G11" i="102" s="1"/>
  <c r="D13" i="63"/>
  <c r="D26" i="63"/>
  <c r="D37" i="63"/>
  <c r="H15" i="66"/>
  <c r="J21" i="66"/>
  <c r="J48" i="71"/>
  <c r="V48" i="71"/>
  <c r="M48" i="71"/>
  <c r="P48" i="71"/>
  <c r="E19" i="79"/>
  <c r="J15" i="66"/>
  <c r="C25" i="93"/>
  <c r="D12" i="10"/>
  <c r="F14" i="93"/>
  <c r="G12" i="93"/>
  <c r="T18" i="40"/>
  <c r="E25" i="40"/>
  <c r="T16" i="40"/>
  <c r="T12" i="40"/>
  <c r="K25" i="40"/>
  <c r="D25" i="40"/>
  <c r="T11" i="40"/>
  <c r="F27" i="114"/>
  <c r="C27" i="114"/>
  <c r="D27" i="114" s="1"/>
  <c r="E21" i="10"/>
  <c r="F11" i="93"/>
  <c r="L20" i="106"/>
  <c r="L42" i="106" s="1"/>
  <c r="K78" i="39"/>
  <c r="E15" i="10"/>
  <c r="J5" i="64"/>
  <c r="K8" i="53"/>
  <c r="K8" i="51"/>
  <c r="K8" i="54"/>
  <c r="K8" i="55"/>
  <c r="O8" i="50"/>
  <c r="H24" i="93"/>
  <c r="J25" i="40"/>
  <c r="V27" i="80"/>
  <c r="F35" i="114"/>
  <c r="T14" i="40"/>
  <c r="D38" i="41"/>
  <c r="D45" i="41"/>
  <c r="D23" i="41"/>
  <c r="D30" i="41"/>
  <c r="D40" i="41"/>
  <c r="D29" i="41"/>
  <c r="D19" i="41"/>
  <c r="D34" i="41"/>
  <c r="D39" i="41"/>
  <c r="D35" i="41"/>
  <c r="D33" i="41"/>
  <c r="D21" i="41"/>
  <c r="D43" i="41"/>
  <c r="D15" i="41"/>
  <c r="D41" i="41"/>
  <c r="D22" i="41"/>
  <c r="D20" i="41"/>
  <c r="D27" i="41"/>
  <c r="C26" i="107"/>
  <c r="D26" i="107" s="1"/>
  <c r="C34" i="107"/>
  <c r="D34" i="107" s="1"/>
  <c r="F26" i="107"/>
  <c r="H14" i="55"/>
  <c r="O17" i="80"/>
  <c r="O14" i="80"/>
  <c r="F26" i="93"/>
  <c r="B25" i="11"/>
  <c r="I12" i="72"/>
  <c r="H66" i="72" s="1"/>
  <c r="T15" i="40"/>
  <c r="O25" i="40"/>
  <c r="C25" i="40"/>
  <c r="T13" i="40"/>
  <c r="T10" i="40"/>
  <c r="AA31" i="51"/>
  <c r="I19" i="72"/>
  <c r="H73" i="72" s="1"/>
  <c r="AC21" i="53"/>
  <c r="G27" i="80"/>
  <c r="L12" i="80"/>
  <c r="F25" i="114"/>
  <c r="T21" i="55"/>
  <c r="R38" i="62"/>
  <c r="Q27" i="80"/>
  <c r="Q12" i="80" s="1"/>
  <c r="R12" i="80"/>
  <c r="B73" i="11"/>
  <c r="J85" i="11"/>
  <c r="B37" i="11"/>
  <c r="I10" i="72"/>
  <c r="H64" i="72" s="1"/>
  <c r="B17" i="11"/>
  <c r="N38" i="62"/>
  <c r="AD38" i="62" s="1"/>
  <c r="N27" i="80"/>
  <c r="C17" i="93"/>
  <c r="J43" i="106"/>
  <c r="J44" i="106"/>
  <c r="K43" i="12"/>
  <c r="T38" i="62"/>
  <c r="T19" i="40"/>
  <c r="D24" i="41"/>
  <c r="AB9" i="39"/>
  <c r="N23" i="39"/>
  <c r="L8" i="50"/>
  <c r="Q47" i="55"/>
  <c r="V25" i="80"/>
  <c r="AC14" i="54"/>
  <c r="L38" i="62"/>
  <c r="E48" i="54"/>
  <c r="AA38" i="39"/>
  <c r="G29" i="93"/>
  <c r="F35" i="41"/>
  <c r="AC15" i="55"/>
  <c r="V22" i="80"/>
  <c r="B69" i="12"/>
  <c r="H8" i="55"/>
  <c r="F28" i="41"/>
  <c r="AC41" i="53"/>
  <c r="F25" i="107"/>
  <c r="AC14" i="50"/>
  <c r="E23" i="52"/>
  <c r="F24" i="41"/>
  <c r="K19" i="36"/>
  <c r="J38" i="106"/>
  <c r="J31" i="106"/>
  <c r="J39" i="106"/>
  <c r="J40" i="106"/>
  <c r="J32" i="106"/>
  <c r="B76" i="12"/>
  <c r="H21" i="67"/>
  <c r="S28" i="67" s="1"/>
  <c r="F26" i="41"/>
  <c r="F27" i="41"/>
  <c r="M41" i="55"/>
  <c r="F15" i="93"/>
  <c r="E23" i="93"/>
  <c r="F29" i="93"/>
  <c r="S25" i="67"/>
  <c r="AC18" i="51"/>
  <c r="AC14" i="52"/>
  <c r="O8" i="112"/>
  <c r="S8" i="112" s="1"/>
  <c r="W8" i="112" s="1"/>
  <c r="K8" i="112"/>
  <c r="D14" i="22"/>
  <c r="H65" i="72"/>
  <c r="AI16" i="70"/>
  <c r="F17" i="68"/>
  <c r="H14" i="66"/>
  <c r="H22" i="66"/>
  <c r="W10" i="71"/>
  <c r="F48" i="71"/>
  <c r="R48" i="71"/>
  <c r="I48" i="71"/>
  <c r="U48" i="71"/>
  <c r="W30" i="71"/>
  <c r="W34" i="71"/>
  <c r="W38" i="71"/>
  <c r="W42" i="71"/>
  <c r="X13" i="48"/>
  <c r="J14" i="48"/>
  <c r="X17" i="48"/>
  <c r="H70" i="72"/>
  <c r="Y31" i="55"/>
  <c r="Y12" i="48"/>
  <c r="AA12" i="48" s="1"/>
  <c r="Y17" i="48"/>
  <c r="L15" i="46"/>
  <c r="AE19" i="70"/>
  <c r="AE22" i="70"/>
  <c r="AE31" i="70"/>
  <c r="AC31" i="50"/>
  <c r="D16" i="48"/>
  <c r="D20" i="48" s="1"/>
  <c r="L20" i="30" s="1"/>
  <c r="D20" i="46"/>
  <c r="K34" i="46"/>
  <c r="K46" i="46"/>
  <c r="K49" i="46"/>
  <c r="D11" i="22"/>
  <c r="D15" i="22"/>
  <c r="H78" i="72"/>
  <c r="AF13" i="70"/>
  <c r="AF28" i="70"/>
  <c r="AI30" i="70"/>
  <c r="H21" i="66"/>
  <c r="AC31" i="51"/>
  <c r="E48" i="53"/>
  <c r="AI13" i="70"/>
  <c r="AE25" i="70"/>
  <c r="AI34" i="70"/>
  <c r="J14" i="66"/>
  <c r="H20" i="66"/>
  <c r="G18" i="37"/>
  <c r="G18" i="32"/>
  <c r="G18" i="34"/>
  <c r="G18" i="36"/>
  <c r="G18" i="33"/>
  <c r="R19" i="32"/>
  <c r="I20" i="21"/>
  <c r="W9" i="71"/>
  <c r="W17" i="71"/>
  <c r="W29" i="71"/>
  <c r="W37" i="71"/>
  <c r="T16" i="48"/>
  <c r="T20" i="48" s="1"/>
  <c r="X12" i="48"/>
  <c r="J13" i="48"/>
  <c r="J17" i="48"/>
  <c r="E20" i="46"/>
  <c r="G25" i="46"/>
  <c r="G33" i="46"/>
  <c r="E50" i="46"/>
  <c r="I60" i="46"/>
  <c r="AI15" i="70"/>
  <c r="AF31" i="70"/>
  <c r="S18" i="32"/>
  <c r="S18" i="36"/>
  <c r="S18" i="33"/>
  <c r="S18" i="37"/>
  <c r="S18" i="31"/>
  <c r="S18" i="34"/>
  <c r="I14" i="55"/>
  <c r="D21" i="21"/>
  <c r="U16" i="48"/>
  <c r="U20" i="48" s="1"/>
  <c r="Y19" i="48"/>
  <c r="AA19" i="48" s="1"/>
  <c r="F50" i="46"/>
  <c r="J60" i="46"/>
  <c r="D12" i="22"/>
  <c r="D46" i="106" s="1"/>
  <c r="D16" i="22"/>
  <c r="H68" i="72"/>
  <c r="AE14" i="70"/>
  <c r="AE29" i="70"/>
  <c r="AE32" i="70"/>
  <c r="I18" i="34"/>
  <c r="I18" i="32"/>
  <c r="I18" i="37"/>
  <c r="I18" i="33"/>
  <c r="I18" i="36"/>
  <c r="AG31" i="57"/>
  <c r="AG32" i="57" s="1"/>
  <c r="AF11" i="70"/>
  <c r="AF14" i="70"/>
  <c r="AF17" i="70"/>
  <c r="AI25" i="70"/>
  <c r="AF26" i="70"/>
  <c r="E16" i="76"/>
  <c r="I18" i="38"/>
  <c r="F16" i="76"/>
  <c r="H61" i="72"/>
  <c r="AE20" i="70"/>
  <c r="AI26" i="70"/>
  <c r="F32" i="68"/>
  <c r="F25" i="68"/>
  <c r="J18" i="66"/>
  <c r="H23" i="66"/>
  <c r="AA39" i="112"/>
  <c r="E23" i="53"/>
  <c r="H19" i="32"/>
  <c r="H16" i="76"/>
  <c r="W15" i="71"/>
  <c r="N48" i="71"/>
  <c r="W16" i="71"/>
  <c r="Q48" i="71"/>
  <c r="K48" i="71"/>
  <c r="W23" i="71"/>
  <c r="W31" i="71"/>
  <c r="W35" i="71"/>
  <c r="W39" i="71"/>
  <c r="W43" i="71"/>
  <c r="W45" i="71"/>
  <c r="J12" i="48"/>
  <c r="X14" i="48"/>
  <c r="X18" i="48"/>
  <c r="Z18" i="48" s="1"/>
  <c r="J19" i="48"/>
  <c r="Z19" i="48" s="1"/>
  <c r="I20" i="46"/>
  <c r="H62" i="72"/>
  <c r="AI23" i="70"/>
  <c r="AI29" i="70"/>
  <c r="F33" i="68"/>
  <c r="J13" i="66"/>
  <c r="I16" i="76"/>
  <c r="AI14" i="70"/>
  <c r="N16" i="48"/>
  <c r="N20" i="48" s="1"/>
  <c r="AI11" i="70"/>
  <c r="AI17" i="70"/>
  <c r="AF30" i="70"/>
  <c r="P29" i="78"/>
  <c r="P57" i="78"/>
  <c r="F19" i="31"/>
  <c r="F19" i="36"/>
  <c r="H19" i="36"/>
  <c r="R19" i="36"/>
  <c r="P14" i="78"/>
  <c r="P22" i="78"/>
  <c r="P28" i="78"/>
  <c r="Y19" i="36"/>
  <c r="P24" i="48"/>
  <c r="B16" i="15"/>
  <c r="K19" i="32"/>
  <c r="AE19" i="34"/>
  <c r="K19" i="31"/>
  <c r="K19" i="30"/>
  <c r="J8" i="21"/>
  <c r="K19" i="33"/>
  <c r="AA19" i="34"/>
  <c r="R24" i="48"/>
  <c r="B17" i="15"/>
  <c r="K19" i="35"/>
  <c r="B9" i="15"/>
  <c r="B24" i="48"/>
  <c r="J11" i="48"/>
  <c r="K40" i="46"/>
  <c r="K31" i="46"/>
  <c r="L24" i="48"/>
  <c r="C50" i="46"/>
  <c r="F24" i="48"/>
  <c r="K12" i="46"/>
  <c r="K16" i="46"/>
  <c r="K17" i="46"/>
  <c r="K18" i="46"/>
  <c r="K27" i="46"/>
  <c r="K28" i="46"/>
  <c r="K32" i="46"/>
  <c r="K35" i="46"/>
  <c r="K36" i="46"/>
  <c r="C37" i="46"/>
  <c r="J10" i="47" s="1"/>
  <c r="K38" i="46"/>
  <c r="K39" i="46"/>
  <c r="K48" i="46"/>
  <c r="K56" i="46"/>
  <c r="K58" i="46"/>
  <c r="L11" i="46"/>
  <c r="C20" i="46"/>
  <c r="W20" i="71"/>
  <c r="W40" i="71"/>
  <c r="W28" i="71"/>
  <c r="W36" i="71"/>
  <c r="D48" i="71"/>
  <c r="G48" i="71"/>
  <c r="S48" i="71"/>
  <c r="W21" i="71"/>
  <c r="O48" i="71"/>
  <c r="W19" i="71"/>
  <c r="W24" i="71"/>
  <c r="W13" i="71"/>
  <c r="W12" i="71"/>
  <c r="W32" i="71"/>
  <c r="W8" i="71"/>
  <c r="W25" i="71"/>
  <c r="H48" i="71"/>
  <c r="W33" i="71"/>
  <c r="W41" i="71"/>
  <c r="W11" i="71"/>
  <c r="W27" i="71"/>
  <c r="W47" i="71"/>
  <c r="E48" i="71"/>
  <c r="W14" i="71"/>
  <c r="W26" i="71"/>
  <c r="W18" i="71"/>
  <c r="W22" i="71"/>
  <c r="W46" i="71"/>
  <c r="P65" i="78"/>
  <c r="P24" i="78"/>
  <c r="P17" i="78"/>
  <c r="P21" i="78"/>
  <c r="P25" i="78"/>
  <c r="P64" i="78"/>
  <c r="J36" i="64"/>
  <c r="O52" i="110"/>
  <c r="O13" i="110"/>
  <c r="O31" i="110"/>
  <c r="K45" i="110"/>
  <c r="G65" i="110"/>
  <c r="K34" i="110"/>
  <c r="K55" i="110"/>
  <c r="K53" i="110"/>
  <c r="K27" i="110"/>
  <c r="J30" i="64"/>
  <c r="J35" i="64"/>
  <c r="F31" i="68"/>
  <c r="F29" i="68"/>
  <c r="J54" i="64"/>
  <c r="J9" i="64"/>
  <c r="K42" i="110"/>
  <c r="K31" i="110"/>
  <c r="K63" i="110"/>
  <c r="P66" i="78"/>
  <c r="E12" i="64"/>
  <c r="D12" i="64" s="1"/>
  <c r="F51" i="64"/>
  <c r="C55" i="110"/>
  <c r="O55" i="110" s="1"/>
  <c r="D44" i="64"/>
  <c r="C7" i="110"/>
  <c r="J15" i="64"/>
  <c r="P12" i="78"/>
  <c r="P20" i="78"/>
  <c r="P59" i="78"/>
  <c r="P63" i="78"/>
  <c r="P44" i="78"/>
  <c r="P48" i="78"/>
  <c r="P52" i="78"/>
  <c r="P61" i="78"/>
  <c r="D37" i="64"/>
  <c r="I37" i="64" s="1"/>
  <c r="L51" i="110"/>
  <c r="F18" i="64"/>
  <c r="D18" i="64" s="1"/>
  <c r="J55" i="64"/>
  <c r="L39" i="110"/>
  <c r="K39" i="110" s="1"/>
  <c r="M49" i="110"/>
  <c r="G55" i="64"/>
  <c r="D55" i="64" s="1"/>
  <c r="I55" i="64" s="1"/>
  <c r="C20" i="110"/>
  <c r="O20" i="110" s="1"/>
  <c r="C28" i="110"/>
  <c r="M59" i="110"/>
  <c r="K59" i="110" s="1"/>
  <c r="C59" i="110"/>
  <c r="N19" i="110"/>
  <c r="G19" i="64"/>
  <c r="N25" i="110"/>
  <c r="G25" i="64"/>
  <c r="C50" i="110"/>
  <c r="E50" i="64"/>
  <c r="E58" i="64"/>
  <c r="L58" i="110"/>
  <c r="K58" i="110" s="1"/>
  <c r="L16" i="110"/>
  <c r="E16" i="64"/>
  <c r="G32" i="64"/>
  <c r="N32" i="110"/>
  <c r="N40" i="110"/>
  <c r="G40" i="64"/>
  <c r="G48" i="64"/>
  <c r="C48" i="110"/>
  <c r="G64" i="64"/>
  <c r="N64" i="110"/>
  <c r="J38" i="64"/>
  <c r="E42" i="64"/>
  <c r="J42" i="64" s="1"/>
  <c r="F33" i="64"/>
  <c r="K7" i="110"/>
  <c r="J37" i="64"/>
  <c r="G56" i="64"/>
  <c r="F47" i="64"/>
  <c r="M47" i="110"/>
  <c r="K47" i="110" s="1"/>
  <c r="P32" i="78"/>
  <c r="P30" i="78"/>
  <c r="P58" i="78"/>
  <c r="P62" i="78"/>
  <c r="M16" i="110"/>
  <c r="C53" i="110"/>
  <c r="O53" i="110" s="1"/>
  <c r="N28" i="110"/>
  <c r="N48" i="110"/>
  <c r="J10" i="64"/>
  <c r="F25" i="64"/>
  <c r="C25" i="110"/>
  <c r="M25" i="110"/>
  <c r="N35" i="110"/>
  <c r="G35" i="64"/>
  <c r="D35" i="64" s="1"/>
  <c r="I35" i="64" s="1"/>
  <c r="G51" i="64"/>
  <c r="N51" i="110"/>
  <c r="L13" i="110"/>
  <c r="K13" i="110" s="1"/>
  <c r="E13" i="64"/>
  <c r="M62" i="110"/>
  <c r="C62" i="110"/>
  <c r="F62" i="64"/>
  <c r="D62" i="64" s="1"/>
  <c r="F46" i="64"/>
  <c r="M46" i="110"/>
  <c r="M30" i="110"/>
  <c r="K30" i="110" s="1"/>
  <c r="F30" i="64"/>
  <c r="D30" i="64" s="1"/>
  <c r="I30" i="64" s="1"/>
  <c r="J24" i="64"/>
  <c r="C58" i="110"/>
  <c r="L24" i="110"/>
  <c r="C32" i="110"/>
  <c r="O32" i="110" s="1"/>
  <c r="D28" i="64"/>
  <c r="N20" i="110"/>
  <c r="K20" i="110" s="1"/>
  <c r="G20" i="64"/>
  <c r="D20" i="64" s="1"/>
  <c r="I20" i="64" s="1"/>
  <c r="L37" i="110"/>
  <c r="K37" i="110" s="1"/>
  <c r="C37" i="110"/>
  <c r="O37" i="110" s="1"/>
  <c r="C45" i="110"/>
  <c r="O45" i="110" s="1"/>
  <c r="E45" i="64"/>
  <c r="K6" i="110"/>
  <c r="P15" i="78"/>
  <c r="P19" i="78"/>
  <c r="P23" i="78"/>
  <c r="P51" i="78"/>
  <c r="N26" i="110"/>
  <c r="N62" i="110"/>
  <c r="C54" i="110"/>
  <c r="C44" i="110"/>
  <c r="G5" i="64"/>
  <c r="D5" i="64" s="1"/>
  <c r="I5" i="64" s="1"/>
  <c r="G41" i="64"/>
  <c r="E47" i="64"/>
  <c r="E31" i="64"/>
  <c r="D31" i="64" s="1"/>
  <c r="I31" i="64" s="1"/>
  <c r="G6" i="64"/>
  <c r="F7" i="64"/>
  <c r="D7" i="64" s="1"/>
  <c r="E52" i="64"/>
  <c r="J52" i="64" s="1"/>
  <c r="C36" i="110"/>
  <c r="O36" i="110" s="1"/>
  <c r="C27" i="110"/>
  <c r="O27" i="110" s="1"/>
  <c r="K12" i="110"/>
  <c r="C29" i="110"/>
  <c r="P16" i="78"/>
  <c r="J12" i="76"/>
  <c r="J15" i="76" s="1"/>
  <c r="K15" i="76" s="1"/>
  <c r="P18" i="78"/>
  <c r="C39" i="110"/>
  <c r="D15" i="64"/>
  <c r="I15" i="64" s="1"/>
  <c r="C18" i="110"/>
  <c r="C35" i="110"/>
  <c r="O35" i="110" s="1"/>
  <c r="K29" i="110"/>
  <c r="P10" i="78"/>
  <c r="U14" i="55"/>
  <c r="Y14" i="55"/>
  <c r="Q14" i="55"/>
  <c r="AC10" i="55"/>
  <c r="M14" i="55"/>
  <c r="E14" i="55"/>
  <c r="J26" i="66"/>
  <c r="I37" i="55"/>
  <c r="AC35" i="55"/>
  <c r="G13" i="73"/>
  <c r="H11" i="75" s="1"/>
  <c r="H19" i="66"/>
  <c r="AF20" i="70"/>
  <c r="AI20" i="70"/>
  <c r="G50" i="73"/>
  <c r="K42" i="73"/>
  <c r="L42" i="73" s="1"/>
  <c r="AE33" i="70"/>
  <c r="AI19" i="70"/>
  <c r="H12" i="66"/>
  <c r="J12" i="66"/>
  <c r="H9" i="66"/>
  <c r="AF19" i="70"/>
  <c r="J25" i="66"/>
  <c r="AE27" i="70"/>
  <c r="J20" i="66"/>
  <c r="J8" i="66"/>
  <c r="H17" i="66"/>
  <c r="J17" i="66"/>
  <c r="H38" i="62"/>
  <c r="D50" i="73"/>
  <c r="H5" i="66"/>
  <c r="J5" i="66"/>
  <c r="D38" i="62"/>
  <c r="S33" i="67"/>
  <c r="AK11" i="57"/>
  <c r="AK15" i="57" s="1"/>
  <c r="AI11" i="57"/>
  <c r="AI15" i="57" s="1"/>
  <c r="AI21" i="57"/>
  <c r="AI25" i="57"/>
  <c r="AJ31" i="57"/>
  <c r="AJ15" i="57"/>
  <c r="N60" i="110"/>
  <c r="K60" i="110" s="1"/>
  <c r="C60" i="110"/>
  <c r="F24" i="64"/>
  <c r="M24" i="110"/>
  <c r="F41" i="64"/>
  <c r="M41" i="110"/>
  <c r="G16" i="64"/>
  <c r="N16" i="110"/>
  <c r="N24" i="110"/>
  <c r="G24" i="64"/>
  <c r="L33" i="110"/>
  <c r="K33" i="110" s="1"/>
  <c r="C33" i="110"/>
  <c r="O33" i="110" s="1"/>
  <c r="E41" i="64"/>
  <c r="L41" i="110"/>
  <c r="E49" i="64"/>
  <c r="C49" i="110"/>
  <c r="O49" i="110" s="1"/>
  <c r="L49" i="110"/>
  <c r="C57" i="110"/>
  <c r="O57" i="110" s="1"/>
  <c r="L57" i="110"/>
  <c r="K57" i="110" s="1"/>
  <c r="J11" i="64"/>
  <c r="D11" i="64"/>
  <c r="I11" i="64" s="1"/>
  <c r="C16" i="102"/>
  <c r="S32" i="67"/>
  <c r="P46" i="78"/>
  <c r="P50" i="78"/>
  <c r="P54" i="78"/>
  <c r="F11" i="68"/>
  <c r="F26" i="68"/>
  <c r="E57" i="64"/>
  <c r="K61" i="110"/>
  <c r="M10" i="110"/>
  <c r="K10" i="110" s="1"/>
  <c r="F10" i="64"/>
  <c r="C10" i="110"/>
  <c r="O10" i="110" s="1"/>
  <c r="F26" i="64"/>
  <c r="D26" i="64" s="1"/>
  <c r="M26" i="110"/>
  <c r="C26" i="110"/>
  <c r="N9" i="110"/>
  <c r="G9" i="64"/>
  <c r="D9" i="64" s="1"/>
  <c r="I9" i="64" s="1"/>
  <c r="C17" i="110"/>
  <c r="G17" i="64"/>
  <c r="D17" i="64" s="1"/>
  <c r="N17" i="110"/>
  <c r="K17" i="110" s="1"/>
  <c r="G23" i="64"/>
  <c r="N23" i="110"/>
  <c r="E32" i="64"/>
  <c r="L32" i="110"/>
  <c r="C40" i="110"/>
  <c r="L40" i="110"/>
  <c r="E40" i="64"/>
  <c r="E48" i="64"/>
  <c r="L48" i="110"/>
  <c r="L56" i="110"/>
  <c r="K56" i="110" s="1"/>
  <c r="C56" i="110"/>
  <c r="E64" i="64"/>
  <c r="L64" i="110"/>
  <c r="C64" i="110"/>
  <c r="F32" i="64"/>
  <c r="M32" i="110"/>
  <c r="F48" i="64"/>
  <c r="M48" i="110"/>
  <c r="C14" i="110"/>
  <c r="O14" i="110" s="1"/>
  <c r="D65" i="110"/>
  <c r="E14" i="64"/>
  <c r="L14" i="110"/>
  <c r="C22" i="110"/>
  <c r="L22" i="110"/>
  <c r="K22" i="110" s="1"/>
  <c r="E22" i="64"/>
  <c r="G38" i="64"/>
  <c r="D38" i="64" s="1"/>
  <c r="I38" i="64" s="1"/>
  <c r="C38" i="110"/>
  <c r="O38" i="110" s="1"/>
  <c r="N38" i="110"/>
  <c r="K38" i="110" s="1"/>
  <c r="C46" i="110"/>
  <c r="O46" i="110" s="1"/>
  <c r="N46" i="110"/>
  <c r="G46" i="64"/>
  <c r="K54" i="110"/>
  <c r="F64" i="64"/>
  <c r="C41" i="110"/>
  <c r="K18" i="110"/>
  <c r="J46" i="64"/>
  <c r="E56" i="64"/>
  <c r="F43" i="64"/>
  <c r="D43" i="64" s="1"/>
  <c r="C24" i="110"/>
  <c r="O24" i="110" s="1"/>
  <c r="P9" i="78"/>
  <c r="F57" i="64"/>
  <c r="G54" i="64"/>
  <c r="D54" i="64" s="1"/>
  <c r="I54" i="64" s="1"/>
  <c r="M15" i="110"/>
  <c r="E33" i="64"/>
  <c r="C30" i="110"/>
  <c r="O30" i="110" s="1"/>
  <c r="C9" i="110"/>
  <c r="O9" i="110" s="1"/>
  <c r="D27" i="64"/>
  <c r="I27" i="64" s="1"/>
  <c r="U25" i="57"/>
  <c r="U31" i="57" s="1"/>
  <c r="U32" i="57" s="1"/>
  <c r="AK22" i="57"/>
  <c r="H22" i="67" s="1"/>
  <c r="D36" i="64"/>
  <c r="I36" i="64" s="1"/>
  <c r="J51" i="64"/>
  <c r="J20" i="64"/>
  <c r="E65" i="110"/>
  <c r="M5" i="110"/>
  <c r="C5" i="110"/>
  <c r="F52" i="64"/>
  <c r="M52" i="110"/>
  <c r="K52" i="110" s="1"/>
  <c r="L8" i="110"/>
  <c r="E8" i="64"/>
  <c r="C16" i="110"/>
  <c r="C43" i="110"/>
  <c r="D21" i="64"/>
  <c r="D29" i="64"/>
  <c r="E23" i="64"/>
  <c r="C23" i="110"/>
  <c r="M50" i="110"/>
  <c r="F50" i="64"/>
  <c r="C10" i="102"/>
  <c r="S26" i="67"/>
  <c r="P13" i="78"/>
  <c r="P31" i="78"/>
  <c r="P45" i="78"/>
  <c r="P53" i="78"/>
  <c r="P55" i="78"/>
  <c r="B65" i="110"/>
  <c r="L43" i="110"/>
  <c r="K43" i="110" s="1"/>
  <c r="L35" i="110"/>
  <c r="G10" i="64"/>
  <c r="F53" i="64"/>
  <c r="D53" i="64" s="1"/>
  <c r="I53" i="64" s="1"/>
  <c r="F65" i="110"/>
  <c r="N44" i="110"/>
  <c r="K44" i="110" s="1"/>
  <c r="L28" i="110"/>
  <c r="C21" i="110"/>
  <c r="E63" i="64"/>
  <c r="D63" i="64" s="1"/>
  <c r="C47" i="110"/>
  <c r="G22" i="64"/>
  <c r="K36" i="110"/>
  <c r="M14" i="110"/>
  <c r="C61" i="110"/>
  <c r="C8" i="110"/>
  <c r="O8" i="110" s="1"/>
  <c r="F19" i="64"/>
  <c r="L50" i="110"/>
  <c r="C34" i="110"/>
  <c r="F34" i="64"/>
  <c r="F58" i="64"/>
  <c r="L15" i="110"/>
  <c r="L23" i="110"/>
  <c r="S24" i="67"/>
  <c r="C65" i="64"/>
  <c r="E34" i="64"/>
  <c r="N11" i="110"/>
  <c r="C15" i="110"/>
  <c r="O15" i="110" s="1"/>
  <c r="C12" i="110"/>
  <c r="J27" i="64"/>
  <c r="E19" i="64"/>
  <c r="L19" i="110"/>
  <c r="C19" i="110"/>
  <c r="L11" i="110"/>
  <c r="C11" i="110"/>
  <c r="O11" i="110" s="1"/>
  <c r="E6" i="64"/>
  <c r="C6" i="110"/>
  <c r="O6" i="110" s="1"/>
  <c r="P11" i="78"/>
  <c r="H12" i="67"/>
  <c r="C6" i="102"/>
  <c r="Q21" i="57"/>
  <c r="E25" i="57"/>
  <c r="AK26" i="57"/>
  <c r="H26" i="67" s="1"/>
  <c r="K41" i="73"/>
  <c r="L41" i="73" s="1"/>
  <c r="L31" i="73"/>
  <c r="K38" i="73"/>
  <c r="L38" i="73" s="1"/>
  <c r="F43" i="73"/>
  <c r="F13" i="73"/>
  <c r="H12" i="75" s="1"/>
  <c r="F50" i="73"/>
  <c r="L49" i="73"/>
  <c r="H24" i="66"/>
  <c r="AF12" i="70"/>
  <c r="C50" i="73"/>
  <c r="C13" i="73"/>
  <c r="H8" i="75" s="1"/>
  <c r="L47" i="73"/>
  <c r="C43" i="73"/>
  <c r="L10" i="73"/>
  <c r="E10" i="74" s="1"/>
  <c r="H13" i="66"/>
  <c r="AC14" i="53"/>
  <c r="AF32" i="70"/>
  <c r="H26" i="66"/>
  <c r="G43" i="73"/>
  <c r="L46" i="73"/>
  <c r="E50" i="73"/>
  <c r="D43" i="73"/>
  <c r="J24" i="66"/>
  <c r="L11" i="73"/>
  <c r="E11" i="74" s="1"/>
  <c r="D13" i="73"/>
  <c r="H9" i="75" s="1"/>
  <c r="L40" i="73"/>
  <c r="L48" i="73"/>
  <c r="L45" i="73"/>
  <c r="H16" i="66"/>
  <c r="AF22" i="70"/>
  <c r="AI22" i="70"/>
  <c r="J16" i="66"/>
  <c r="AE12" i="70"/>
  <c r="AC17" i="55"/>
  <c r="H28" i="66"/>
  <c r="AE34" i="70"/>
  <c r="AI18" i="70"/>
  <c r="AF21" i="70"/>
  <c r="AI31" i="70"/>
  <c r="J23" i="66"/>
  <c r="F19" i="102"/>
  <c r="G35" i="70"/>
  <c r="O35" i="70"/>
  <c r="S35" i="70"/>
  <c r="W35" i="70"/>
  <c r="J27" i="66"/>
  <c r="J9" i="66"/>
  <c r="Y18" i="55"/>
  <c r="N35" i="70"/>
  <c r="AI32" i="70"/>
  <c r="L19" i="73"/>
  <c r="K13" i="73"/>
  <c r="H15" i="75" s="1"/>
  <c r="K31" i="73"/>
  <c r="K19" i="73"/>
  <c r="K39" i="73"/>
  <c r="L44" i="73"/>
  <c r="L9" i="73"/>
  <c r="E9" i="74" s="1"/>
  <c r="H25" i="66"/>
  <c r="H8" i="66"/>
  <c r="K35" i="70"/>
  <c r="E29" i="66"/>
  <c r="Q35" i="70"/>
  <c r="I35" i="70"/>
  <c r="M35" i="70"/>
  <c r="U35" i="70"/>
  <c r="Y35" i="70"/>
  <c r="AC35" i="70"/>
  <c r="C29" i="66"/>
  <c r="AA35" i="70"/>
  <c r="J35" i="70"/>
  <c r="R35" i="70"/>
  <c r="V35" i="70"/>
  <c r="Z35" i="70"/>
  <c r="AD35" i="70"/>
  <c r="D29" i="66"/>
  <c r="J6" i="66"/>
  <c r="AC47" i="54"/>
  <c r="AC46" i="55"/>
  <c r="E48" i="52"/>
  <c r="U47" i="55"/>
  <c r="AC47" i="51"/>
  <c r="M47" i="55"/>
  <c r="AC47" i="50"/>
  <c r="I47" i="55"/>
  <c r="E47" i="55"/>
  <c r="AC45" i="55"/>
  <c r="E48" i="50"/>
  <c r="AF33" i="70"/>
  <c r="H27" i="66"/>
  <c r="B29" i="66"/>
  <c r="AI33" i="70"/>
  <c r="AC44" i="55"/>
  <c r="E43" i="73"/>
  <c r="F29" i="66"/>
  <c r="E13" i="73"/>
  <c r="H10" i="75" s="1"/>
  <c r="G29" i="66"/>
  <c r="L8" i="73"/>
  <c r="E8" i="74" s="1"/>
  <c r="L12" i="73"/>
  <c r="E12" i="74" s="1"/>
  <c r="AC43" i="55"/>
  <c r="AC42" i="55"/>
  <c r="AC41" i="54"/>
  <c r="AC41" i="52"/>
  <c r="U41" i="55"/>
  <c r="AC40" i="55"/>
  <c r="AC41" i="51"/>
  <c r="Q41" i="55"/>
  <c r="AC41" i="50"/>
  <c r="AF29" i="70"/>
  <c r="C35" i="70"/>
  <c r="I49" i="72"/>
  <c r="F35" i="70"/>
  <c r="AC39" i="55"/>
  <c r="I41" i="55"/>
  <c r="I29" i="66"/>
  <c r="L35" i="70"/>
  <c r="P35" i="70"/>
  <c r="T35" i="70"/>
  <c r="X35" i="70"/>
  <c r="AB35" i="70"/>
  <c r="H6" i="66"/>
  <c r="AI12" i="70"/>
  <c r="D35" i="70"/>
  <c r="E35" i="70"/>
  <c r="H35" i="70"/>
  <c r="B18" i="15" l="1"/>
  <c r="AB20" i="30"/>
  <c r="K18" i="21" s="1"/>
  <c r="B19" i="15"/>
  <c r="AD20" i="30"/>
  <c r="H24" i="48"/>
  <c r="P20" i="30"/>
  <c r="K11" i="21" s="1"/>
  <c r="M20" i="30"/>
  <c r="M20" i="37"/>
  <c r="M20" i="34"/>
  <c r="M20" i="36"/>
  <c r="M20" i="35"/>
  <c r="M20" i="33"/>
  <c r="M20" i="32"/>
  <c r="M20" i="31"/>
  <c r="O20" i="30"/>
  <c r="O20" i="36"/>
  <c r="O20" i="37"/>
  <c r="O20" i="35"/>
  <c r="O20" i="33"/>
  <c r="O20" i="32"/>
  <c r="O20" i="31"/>
  <c r="V19" i="30"/>
  <c r="F19" i="30" s="1"/>
  <c r="V20" i="30"/>
  <c r="E32" i="13"/>
  <c r="E36" i="13"/>
  <c r="E25" i="13"/>
  <c r="E29" i="13"/>
  <c r="E42" i="13"/>
  <c r="E31" i="13"/>
  <c r="E30" i="13"/>
  <c r="E33" i="13"/>
  <c r="E35" i="13"/>
  <c r="E27" i="13"/>
  <c r="E38" i="13"/>
  <c r="E37" i="13"/>
  <c r="E41" i="13"/>
  <c r="E40" i="13"/>
  <c r="E39" i="13"/>
  <c r="E34" i="13"/>
  <c r="E26" i="13"/>
  <c r="E28" i="13"/>
  <c r="L23" i="106"/>
  <c r="L45" i="106" s="1"/>
  <c r="G87" i="11"/>
  <c r="AC16" i="39"/>
  <c r="L17" i="106" s="1"/>
  <c r="F26" i="114"/>
  <c r="L39" i="106"/>
  <c r="K33" i="106"/>
  <c r="K34" i="106"/>
  <c r="K40" i="106"/>
  <c r="K41" i="106"/>
  <c r="K36" i="106"/>
  <c r="K38" i="106"/>
  <c r="K35" i="106"/>
  <c r="K42" i="106"/>
  <c r="K32" i="106"/>
  <c r="K45" i="106"/>
  <c r="K37" i="106"/>
  <c r="K31" i="106"/>
  <c r="K39" i="106"/>
  <c r="K46" i="106"/>
  <c r="F28" i="114"/>
  <c r="Q80" i="39"/>
  <c r="L32" i="57"/>
  <c r="M20" i="38"/>
  <c r="K9" i="21"/>
  <c r="AA20" i="38"/>
  <c r="K17" i="21"/>
  <c r="Q20" i="38"/>
  <c r="AC20" i="38"/>
  <c r="L37" i="106"/>
  <c r="AF38" i="62"/>
  <c r="C31" i="114"/>
  <c r="D31" i="114" s="1"/>
  <c r="Y20" i="38"/>
  <c r="K16" i="21"/>
  <c r="O20" i="38"/>
  <c r="K10" i="21"/>
  <c r="AC8" i="39"/>
  <c r="K68" i="39" s="1"/>
  <c r="L35" i="106"/>
  <c r="AE20" i="38"/>
  <c r="AE38" i="62"/>
  <c r="P16" i="80"/>
  <c r="P20" i="80"/>
  <c r="Y16" i="80"/>
  <c r="H34" i="12"/>
  <c r="L87" i="11"/>
  <c r="I12" i="74" s="1"/>
  <c r="M12" i="74" s="1"/>
  <c r="E15" i="15"/>
  <c r="K87" i="11"/>
  <c r="E18" i="15"/>
  <c r="F18" i="15" s="1"/>
  <c r="I27" i="15" s="1"/>
  <c r="E12" i="15"/>
  <c r="D87" i="11"/>
  <c r="E11" i="15"/>
  <c r="F11" i="15" s="1"/>
  <c r="I21" i="15" s="1"/>
  <c r="I87" i="11"/>
  <c r="L19" i="79"/>
  <c r="E13" i="74"/>
  <c r="H22" i="93"/>
  <c r="H20" i="93"/>
  <c r="W16" i="80"/>
  <c r="X21" i="80"/>
  <c r="W21" i="80"/>
  <c r="X24" i="80"/>
  <c r="W20" i="80"/>
  <c r="Y15" i="80"/>
  <c r="C30" i="114"/>
  <c r="D30" i="114" s="1"/>
  <c r="F24" i="114"/>
  <c r="W22" i="80"/>
  <c r="P15" i="80"/>
  <c r="Y20" i="80"/>
  <c r="X15" i="80"/>
  <c r="P21" i="80"/>
  <c r="P26" i="80"/>
  <c r="C24" i="114"/>
  <c r="D24" i="114" s="1"/>
  <c r="B19" i="114"/>
  <c r="C36" i="114" s="1"/>
  <c r="D36" i="114"/>
  <c r="Y26" i="80"/>
  <c r="P23" i="80"/>
  <c r="W23" i="80"/>
  <c r="P18" i="80"/>
  <c r="Y23" i="80"/>
  <c r="P19" i="80"/>
  <c r="W26" i="80"/>
  <c r="W19" i="80"/>
  <c r="Y18" i="80"/>
  <c r="W18" i="80"/>
  <c r="P22" i="80"/>
  <c r="Y19" i="80"/>
  <c r="Y22" i="80"/>
  <c r="W25" i="80"/>
  <c r="X25" i="80"/>
  <c r="P25" i="80"/>
  <c r="P13" i="80"/>
  <c r="X13" i="80"/>
  <c r="W13" i="80"/>
  <c r="Y25" i="80"/>
  <c r="I8" i="78"/>
  <c r="G42" i="78"/>
  <c r="T46" i="56"/>
  <c r="T47" i="56" s="1"/>
  <c r="E47" i="56"/>
  <c r="U22" i="56"/>
  <c r="U46" i="56"/>
  <c r="S46" i="56"/>
  <c r="S47" i="56" s="1"/>
  <c r="AC23" i="54"/>
  <c r="AB48" i="54"/>
  <c r="AC48" i="54"/>
  <c r="E49" i="54"/>
  <c r="AA23" i="54"/>
  <c r="AB23" i="54"/>
  <c r="AA48" i="54"/>
  <c r="E49" i="53"/>
  <c r="AA23" i="53"/>
  <c r="AC48" i="53"/>
  <c r="AB48" i="53"/>
  <c r="AB23" i="53"/>
  <c r="AA48" i="53"/>
  <c r="AC23" i="52"/>
  <c r="E49" i="52"/>
  <c r="AA48" i="52"/>
  <c r="AB23" i="52"/>
  <c r="AC48" i="52"/>
  <c r="AB48" i="52"/>
  <c r="AA23" i="52"/>
  <c r="E49" i="51"/>
  <c r="D49" i="51"/>
  <c r="AA23" i="51"/>
  <c r="AC23" i="51"/>
  <c r="AB23" i="51"/>
  <c r="W23" i="55"/>
  <c r="AB48" i="51"/>
  <c r="AA47" i="55"/>
  <c r="AA48" i="51"/>
  <c r="AB47" i="55"/>
  <c r="U23" i="55"/>
  <c r="AA23" i="50"/>
  <c r="I23" i="55"/>
  <c r="Q23" i="55"/>
  <c r="C23" i="55"/>
  <c r="H23" i="55"/>
  <c r="AC21" i="55"/>
  <c r="AB37" i="55"/>
  <c r="E23" i="55"/>
  <c r="H48" i="55"/>
  <c r="X23" i="55"/>
  <c r="W48" i="55"/>
  <c r="L48" i="55"/>
  <c r="G23" i="55"/>
  <c r="AG11" i="70"/>
  <c r="AG17" i="70"/>
  <c r="B62" i="63"/>
  <c r="B62" i="64" s="1"/>
  <c r="H17" i="93"/>
  <c r="F12" i="93"/>
  <c r="F30" i="93" s="1"/>
  <c r="H27" i="93"/>
  <c r="H23" i="93"/>
  <c r="H14" i="93"/>
  <c r="H18" i="93"/>
  <c r="H28" i="93"/>
  <c r="H15" i="93"/>
  <c r="G21" i="93"/>
  <c r="H21" i="93" s="1"/>
  <c r="H26" i="93"/>
  <c r="G10" i="93"/>
  <c r="H10" i="93" s="1"/>
  <c r="B52" i="63"/>
  <c r="B52" i="64" s="1"/>
  <c r="H52" i="64" s="1"/>
  <c r="AC23" i="50"/>
  <c r="AC14" i="55"/>
  <c r="T48" i="55"/>
  <c r="AB21" i="55"/>
  <c r="D23" i="55"/>
  <c r="L23" i="55"/>
  <c r="M48" i="55"/>
  <c r="AA14" i="55"/>
  <c r="E49" i="50"/>
  <c r="M23" i="55"/>
  <c r="Q48" i="55"/>
  <c r="AA37" i="55"/>
  <c r="AC31" i="55"/>
  <c r="O48" i="55"/>
  <c r="K48" i="55"/>
  <c r="AA31" i="55"/>
  <c r="P48" i="55"/>
  <c r="K23" i="55"/>
  <c r="AB14" i="55"/>
  <c r="O23" i="55"/>
  <c r="AA21" i="55"/>
  <c r="S48" i="55"/>
  <c r="AB48" i="50"/>
  <c r="E48" i="55"/>
  <c r="G48" i="55"/>
  <c r="AA41" i="55"/>
  <c r="AB23" i="50"/>
  <c r="AA48" i="50"/>
  <c r="AB31" i="55"/>
  <c r="AB18" i="55"/>
  <c r="P23" i="55"/>
  <c r="C48" i="55"/>
  <c r="X48" i="55"/>
  <c r="S23" i="55"/>
  <c r="T23" i="55"/>
  <c r="D48" i="55"/>
  <c r="U48" i="55"/>
  <c r="AA18" i="55"/>
  <c r="AB41" i="55"/>
  <c r="M8" i="54"/>
  <c r="M8" i="53"/>
  <c r="Q8" i="50"/>
  <c r="M8" i="51"/>
  <c r="M8" i="55"/>
  <c r="M8" i="52"/>
  <c r="Y48" i="55"/>
  <c r="B56" i="63"/>
  <c r="B56" i="64" s="1"/>
  <c r="B16" i="102"/>
  <c r="D16" i="102" s="1"/>
  <c r="AG21" i="70"/>
  <c r="AG16" i="70"/>
  <c r="AG13" i="70"/>
  <c r="H14" i="75"/>
  <c r="H16" i="75" s="1"/>
  <c r="H17" i="75" s="1"/>
  <c r="L9" i="76"/>
  <c r="B21" i="63"/>
  <c r="B21" i="64" s="1"/>
  <c r="L12" i="106"/>
  <c r="L34" i="106" s="1"/>
  <c r="AC17" i="39"/>
  <c r="L18" i="106" s="1"/>
  <c r="L40" i="106" s="1"/>
  <c r="AA23" i="39"/>
  <c r="K73" i="39"/>
  <c r="K74" i="39"/>
  <c r="L11" i="106"/>
  <c r="L33" i="106" s="1"/>
  <c r="R20" i="38"/>
  <c r="U20" i="38"/>
  <c r="AC13" i="39"/>
  <c r="K77" i="39"/>
  <c r="L19" i="106"/>
  <c r="L41" i="106" s="1"/>
  <c r="K20" i="38"/>
  <c r="H20" i="38"/>
  <c r="F20" i="38"/>
  <c r="AG34" i="70"/>
  <c r="I20" i="77"/>
  <c r="B31" i="63"/>
  <c r="B31" i="64" s="1"/>
  <c r="H31" i="64" s="1"/>
  <c r="B54" i="63"/>
  <c r="B54" i="64" s="1"/>
  <c r="H54" i="64" s="1"/>
  <c r="AG29" i="70"/>
  <c r="AG23" i="70"/>
  <c r="B23" i="63"/>
  <c r="B23" i="64" s="1"/>
  <c r="B8" i="63"/>
  <c r="B8" i="64" s="1"/>
  <c r="B17" i="102"/>
  <c r="D17" i="102" s="1"/>
  <c r="AG27" i="70"/>
  <c r="X16" i="48"/>
  <c r="X20" i="48" s="1"/>
  <c r="X24" i="48" s="1"/>
  <c r="U19" i="35"/>
  <c r="B63" i="63"/>
  <c r="B63" i="64" s="1"/>
  <c r="Y16" i="48"/>
  <c r="Y20" i="48" s="1"/>
  <c r="AC19" i="34"/>
  <c r="U19" i="37"/>
  <c r="B59" i="63"/>
  <c r="B59" i="64" s="1"/>
  <c r="J13" i="76"/>
  <c r="U19" i="30"/>
  <c r="Z17" i="48"/>
  <c r="AA17" i="48"/>
  <c r="Z13" i="48"/>
  <c r="Z14" i="48"/>
  <c r="AG31" i="70"/>
  <c r="B15" i="102"/>
  <c r="B47" i="63"/>
  <c r="B47" i="64" s="1"/>
  <c r="B39" i="63"/>
  <c r="B39" i="64" s="1"/>
  <c r="B11" i="102"/>
  <c r="D11" i="102" s="1"/>
  <c r="B36" i="63"/>
  <c r="B36" i="64" s="1"/>
  <c r="H36" i="64" s="1"/>
  <c r="U19" i="33"/>
  <c r="J14" i="21"/>
  <c r="U19" i="31"/>
  <c r="B17" i="63"/>
  <c r="B17" i="64" s="1"/>
  <c r="D51" i="64"/>
  <c r="I51" i="64" s="1"/>
  <c r="B38" i="63"/>
  <c r="B38" i="64" s="1"/>
  <c r="H38" i="64" s="1"/>
  <c r="B40" i="63"/>
  <c r="B40" i="64" s="1"/>
  <c r="H40" i="64" s="1"/>
  <c r="B29" i="63"/>
  <c r="B29" i="64" s="1"/>
  <c r="B20" i="63"/>
  <c r="B20" i="64" s="1"/>
  <c r="H20" i="64" s="1"/>
  <c r="B9" i="63"/>
  <c r="B9" i="64" s="1"/>
  <c r="H9" i="64" s="1"/>
  <c r="F19" i="32"/>
  <c r="O19" i="37"/>
  <c r="O19" i="34"/>
  <c r="O19" i="35"/>
  <c r="O19" i="32"/>
  <c r="O19" i="30"/>
  <c r="U19" i="32"/>
  <c r="O19" i="31"/>
  <c r="O19" i="36"/>
  <c r="O19" i="33"/>
  <c r="U19" i="36"/>
  <c r="AG18" i="70"/>
  <c r="B28" i="63"/>
  <c r="B28" i="64" s="1"/>
  <c r="Q60" i="78"/>
  <c r="Q56" i="78" s="1"/>
  <c r="B12" i="63"/>
  <c r="B12" i="64" s="1"/>
  <c r="AG22" i="70"/>
  <c r="K46" i="110"/>
  <c r="B16" i="63"/>
  <c r="B16" i="64" s="1"/>
  <c r="B9" i="102"/>
  <c r="D9" i="102" s="1"/>
  <c r="B64" i="63"/>
  <c r="B64" i="64" s="1"/>
  <c r="B24" i="63"/>
  <c r="B24" i="64" s="1"/>
  <c r="H24" i="64" s="1"/>
  <c r="Q49" i="78"/>
  <c r="B35" i="63"/>
  <c r="B35" i="64" s="1"/>
  <c r="H35" i="64" s="1"/>
  <c r="K33" i="46"/>
  <c r="B34" i="63"/>
  <c r="B34" i="64" s="1"/>
  <c r="H34" i="64" s="1"/>
  <c r="L20" i="46"/>
  <c r="B33" i="63"/>
  <c r="B33" i="64" s="1"/>
  <c r="H33" i="64" s="1"/>
  <c r="K16" i="48"/>
  <c r="K20" i="48" s="1"/>
  <c r="AA18" i="48"/>
  <c r="B12" i="15"/>
  <c r="B14" i="63"/>
  <c r="B14" i="64" s="1"/>
  <c r="Q19" i="36"/>
  <c r="B7" i="102"/>
  <c r="D7" i="102" s="1"/>
  <c r="B44" i="63"/>
  <c r="B44" i="64" s="1"/>
  <c r="B27" i="63"/>
  <c r="B27" i="64" s="1"/>
  <c r="H27" i="64" s="1"/>
  <c r="B8" i="102"/>
  <c r="D8" i="102" s="1"/>
  <c r="B46" i="63"/>
  <c r="B46" i="64" s="1"/>
  <c r="H46" i="64" s="1"/>
  <c r="B45" i="63"/>
  <c r="B45" i="64" s="1"/>
  <c r="H45" i="64" s="1"/>
  <c r="AG30" i="70"/>
  <c r="B22" i="63"/>
  <c r="B22" i="64" s="1"/>
  <c r="AG33" i="70"/>
  <c r="AG15" i="70"/>
  <c r="B18" i="63"/>
  <c r="B18" i="64" s="1"/>
  <c r="AA13" i="48"/>
  <c r="AA11" i="48"/>
  <c r="B25" i="12"/>
  <c r="C11" i="15" s="1"/>
  <c r="E10" i="15"/>
  <c r="E34" i="12"/>
  <c r="B9" i="12"/>
  <c r="C9" i="15" s="1"/>
  <c r="E17" i="15"/>
  <c r="F17" i="15" s="1"/>
  <c r="I26" i="15" s="1"/>
  <c r="B29" i="12"/>
  <c r="C12" i="15" s="1"/>
  <c r="F85" i="12"/>
  <c r="J85" i="12"/>
  <c r="E85" i="12"/>
  <c r="E19" i="15"/>
  <c r="F19" i="15" s="1"/>
  <c r="I28" i="15" s="1"/>
  <c r="E16" i="15"/>
  <c r="F16" i="15" s="1"/>
  <c r="I25" i="15" s="1"/>
  <c r="B56" i="12"/>
  <c r="C16" i="15" s="1"/>
  <c r="B43" i="12"/>
  <c r="C15" i="15" s="1"/>
  <c r="E14" i="15"/>
  <c r="F14" i="15" s="1"/>
  <c r="I23" i="15" s="1"/>
  <c r="I85" i="12"/>
  <c r="B37" i="12"/>
  <c r="C14" i="15" s="1"/>
  <c r="F87" i="11"/>
  <c r="H87" i="11"/>
  <c r="E87" i="11"/>
  <c r="E89" i="11" s="1"/>
  <c r="B17" i="12"/>
  <c r="C10" i="15" s="1"/>
  <c r="J34" i="12"/>
  <c r="I34" i="12"/>
  <c r="H85" i="12"/>
  <c r="D34" i="12"/>
  <c r="G34" i="12"/>
  <c r="B73" i="12"/>
  <c r="C19" i="15" s="1"/>
  <c r="B67" i="12"/>
  <c r="C18" i="15" s="1"/>
  <c r="K85" i="12"/>
  <c r="E9" i="15"/>
  <c r="F9" i="15" s="1"/>
  <c r="I19" i="15" s="1"/>
  <c r="F34" i="12"/>
  <c r="D85" i="12"/>
  <c r="K34" i="12"/>
  <c r="B61" i="12"/>
  <c r="C17" i="15" s="1"/>
  <c r="G85" i="12"/>
  <c r="B34" i="11"/>
  <c r="S19" i="77" s="1"/>
  <c r="U19" i="79" s="1"/>
  <c r="W19" i="79" s="1"/>
  <c r="J37" i="106"/>
  <c r="J33" i="106"/>
  <c r="J36" i="106"/>
  <c r="J45" i="106"/>
  <c r="J41" i="106"/>
  <c r="J35" i="106"/>
  <c r="H23" i="41"/>
  <c r="H41" i="41"/>
  <c r="H28" i="41"/>
  <c r="H16" i="41"/>
  <c r="H37" i="41"/>
  <c r="H44" i="41"/>
  <c r="H39" i="41"/>
  <c r="H26" i="41"/>
  <c r="H19" i="41"/>
  <c r="H35" i="41"/>
  <c r="H25" i="41"/>
  <c r="H32" i="41"/>
  <c r="H17" i="41"/>
  <c r="H15" i="41"/>
  <c r="H27" i="41"/>
  <c r="H31" i="41"/>
  <c r="H43" i="41"/>
  <c r="H18" i="41"/>
  <c r="H21" i="41"/>
  <c r="H34" i="41"/>
  <c r="H38" i="41"/>
  <c r="H24" i="41"/>
  <c r="H30" i="41"/>
  <c r="H29" i="41"/>
  <c r="H22" i="41"/>
  <c r="H14" i="41"/>
  <c r="H20" i="41"/>
  <c r="H40" i="41"/>
  <c r="H42" i="41"/>
  <c r="H45" i="41"/>
  <c r="J42" i="106"/>
  <c r="J34" i="106"/>
  <c r="G18" i="38"/>
  <c r="G17" i="38"/>
  <c r="I46" i="106"/>
  <c r="I33" i="106"/>
  <c r="I40" i="106"/>
  <c r="I35" i="106"/>
  <c r="I42" i="106"/>
  <c r="I36" i="106"/>
  <c r="I34" i="106"/>
  <c r="I41" i="106"/>
  <c r="I45" i="106"/>
  <c r="I39" i="106"/>
  <c r="I31" i="106"/>
  <c r="I37" i="106"/>
  <c r="I32" i="106"/>
  <c r="I38" i="106"/>
  <c r="I21" i="21"/>
  <c r="J46" i="106"/>
  <c r="H33" i="41"/>
  <c r="H36" i="41"/>
  <c r="H20" i="77"/>
  <c r="B51" i="63"/>
  <c r="B51" i="64" s="1"/>
  <c r="H51" i="64" s="1"/>
  <c r="B43" i="63"/>
  <c r="B43" i="64" s="1"/>
  <c r="M19" i="79"/>
  <c r="B11" i="63"/>
  <c r="B11" i="64" s="1"/>
  <c r="B15" i="63"/>
  <c r="B15" i="64" s="1"/>
  <c r="H15" i="64" s="1"/>
  <c r="AG25" i="70"/>
  <c r="B53" i="63"/>
  <c r="B53" i="64" s="1"/>
  <c r="H53" i="64" s="1"/>
  <c r="B25" i="63"/>
  <c r="B25" i="64" s="1"/>
  <c r="B85" i="63"/>
  <c r="B32" i="63"/>
  <c r="B32" i="64" s="1"/>
  <c r="H32" i="64" s="1"/>
  <c r="B18" i="102"/>
  <c r="D18" i="102" s="1"/>
  <c r="B19" i="63"/>
  <c r="B19" i="64" s="1"/>
  <c r="B6" i="63"/>
  <c r="B6" i="64" s="1"/>
  <c r="H6" i="64" s="1"/>
  <c r="B58" i="63"/>
  <c r="B58" i="64" s="1"/>
  <c r="B49" i="63"/>
  <c r="B49" i="64" s="1"/>
  <c r="H49" i="64" s="1"/>
  <c r="B14" i="102"/>
  <c r="B41" i="63"/>
  <c r="B41" i="64" s="1"/>
  <c r="B13" i="102"/>
  <c r="D13" i="102" s="1"/>
  <c r="D16" i="76"/>
  <c r="AG24" i="70"/>
  <c r="B57" i="63"/>
  <c r="B57" i="64" s="1"/>
  <c r="H57" i="64" s="1"/>
  <c r="AG28" i="70"/>
  <c r="D65" i="63"/>
  <c r="B37" i="63"/>
  <c r="B37" i="64" s="1"/>
  <c r="H37" i="64" s="1"/>
  <c r="B30" i="63"/>
  <c r="B30" i="64" s="1"/>
  <c r="H30" i="64" s="1"/>
  <c r="E19" i="102"/>
  <c r="G19" i="102" s="1"/>
  <c r="AG26" i="70"/>
  <c r="J14" i="76"/>
  <c r="B12" i="102"/>
  <c r="D12" i="102" s="1"/>
  <c r="B13" i="63"/>
  <c r="B13" i="64" s="1"/>
  <c r="H13" i="64" s="1"/>
  <c r="B50" i="63"/>
  <c r="B50" i="64" s="1"/>
  <c r="H50" i="64" s="1"/>
  <c r="B7" i="63"/>
  <c r="B7" i="64" s="1"/>
  <c r="B10" i="63"/>
  <c r="B10" i="64" s="1"/>
  <c r="H10" i="64" s="1"/>
  <c r="B26" i="63"/>
  <c r="B26" i="64" s="1"/>
  <c r="D46" i="64"/>
  <c r="I46" i="64" s="1"/>
  <c r="B60" i="63"/>
  <c r="B60" i="64" s="1"/>
  <c r="AG19" i="70"/>
  <c r="AG20" i="70"/>
  <c r="B10" i="102"/>
  <c r="D10" i="102" s="1"/>
  <c r="B61" i="63"/>
  <c r="B61" i="64" s="1"/>
  <c r="B48" i="63"/>
  <c r="B48" i="64" s="1"/>
  <c r="B5" i="63"/>
  <c r="B5" i="64" s="1"/>
  <c r="H5" i="64" s="1"/>
  <c r="Q43" i="78"/>
  <c r="B55" i="63"/>
  <c r="B55" i="64" s="1"/>
  <c r="H55" i="64" s="1"/>
  <c r="B42" i="63"/>
  <c r="B42" i="64" s="1"/>
  <c r="C65" i="63"/>
  <c r="B6" i="102"/>
  <c r="D6" i="102" s="1"/>
  <c r="O27" i="80"/>
  <c r="N12" i="80"/>
  <c r="O12" i="80" s="1"/>
  <c r="AC18" i="55"/>
  <c r="G18" i="91"/>
  <c r="E18" i="91"/>
  <c r="E18" i="86" s="1"/>
  <c r="AA19" i="36"/>
  <c r="D19" i="64"/>
  <c r="H11" i="93"/>
  <c r="K25" i="46"/>
  <c r="Y17" i="80"/>
  <c r="X17" i="80"/>
  <c r="W17" i="80"/>
  <c r="P17" i="80"/>
  <c r="C30" i="93"/>
  <c r="H12" i="93"/>
  <c r="AC9" i="39"/>
  <c r="AB23" i="39"/>
  <c r="D24" i="48"/>
  <c r="B10" i="15"/>
  <c r="F10" i="15" s="1"/>
  <c r="I20" i="15" s="1"/>
  <c r="H29" i="93"/>
  <c r="AE19" i="36"/>
  <c r="T25" i="40"/>
  <c r="I48" i="55"/>
  <c r="P14" i="80"/>
  <c r="Y14" i="80"/>
  <c r="X14" i="80"/>
  <c r="W14" i="80"/>
  <c r="K41" i="110"/>
  <c r="N24" i="48"/>
  <c r="I25" i="72"/>
  <c r="H79" i="72" s="1"/>
  <c r="O8" i="54"/>
  <c r="S8" i="50"/>
  <c r="O8" i="51"/>
  <c r="O8" i="55"/>
  <c r="O8" i="53"/>
  <c r="O8" i="52"/>
  <c r="E12" i="10"/>
  <c r="G12" i="10"/>
  <c r="F34" i="107"/>
  <c r="J87" i="11"/>
  <c r="I11" i="74" s="1"/>
  <c r="M11" i="74" s="1"/>
  <c r="B85" i="11"/>
  <c r="P19" i="77" s="1"/>
  <c r="Z12" i="48"/>
  <c r="AG14" i="70"/>
  <c r="L8" i="52"/>
  <c r="L8" i="55"/>
  <c r="L8" i="53"/>
  <c r="L8" i="51"/>
  <c r="L8" i="54"/>
  <c r="P8" i="50"/>
  <c r="D24" i="10"/>
  <c r="G24" i="10" s="1"/>
  <c r="V19" i="77"/>
  <c r="E13" i="93"/>
  <c r="B15" i="15"/>
  <c r="B20" i="15" s="1"/>
  <c r="K20" i="46"/>
  <c r="K35" i="110"/>
  <c r="K37" i="46"/>
  <c r="T24" i="48"/>
  <c r="Y19" i="34"/>
  <c r="Y19" i="31"/>
  <c r="V12" i="80"/>
  <c r="AC23" i="53"/>
  <c r="G16" i="38"/>
  <c r="H32" i="106"/>
  <c r="H35" i="106"/>
  <c r="H38" i="106"/>
  <c r="H42" i="106"/>
  <c r="G21" i="21"/>
  <c r="H31" i="106"/>
  <c r="H34" i="106"/>
  <c r="H37" i="106"/>
  <c r="H41" i="106"/>
  <c r="H33" i="106"/>
  <c r="H36" i="106"/>
  <c r="H40" i="106"/>
  <c r="H45" i="106"/>
  <c r="H46" i="106"/>
  <c r="G15" i="38"/>
  <c r="G46" i="106"/>
  <c r="F21" i="21"/>
  <c r="G31" i="106"/>
  <c r="G34" i="106"/>
  <c r="G37" i="106"/>
  <c r="G41" i="106"/>
  <c r="G33" i="106"/>
  <c r="G36" i="106"/>
  <c r="G40" i="106"/>
  <c r="G45" i="106"/>
  <c r="G32" i="106"/>
  <c r="G35" i="106"/>
  <c r="G38" i="106"/>
  <c r="G42" i="106"/>
  <c r="D14" i="10"/>
  <c r="G14" i="10" s="1"/>
  <c r="AG32" i="70"/>
  <c r="K50" i="46"/>
  <c r="D13" i="64"/>
  <c r="I13" i="64" s="1"/>
  <c r="G12" i="38"/>
  <c r="D31" i="106"/>
  <c r="D34" i="106"/>
  <c r="D37" i="106"/>
  <c r="D41" i="106"/>
  <c r="C21" i="21"/>
  <c r="D33" i="106"/>
  <c r="D36" i="106"/>
  <c r="D40" i="106"/>
  <c r="D45" i="106"/>
  <c r="D32" i="106"/>
  <c r="D35" i="106"/>
  <c r="D38" i="106"/>
  <c r="D42" i="106"/>
  <c r="G11" i="38"/>
  <c r="B21" i="21"/>
  <c r="C33" i="106"/>
  <c r="C36" i="106"/>
  <c r="C40" i="106"/>
  <c r="C45" i="106"/>
  <c r="C32" i="106"/>
  <c r="C35" i="106"/>
  <c r="C38" i="106"/>
  <c r="C42" i="106"/>
  <c r="C46" i="106"/>
  <c r="C31" i="106"/>
  <c r="C37" i="106"/>
  <c r="C34" i="106"/>
  <c r="C41" i="106"/>
  <c r="G14" i="38"/>
  <c r="F32" i="106"/>
  <c r="F35" i="106"/>
  <c r="F38" i="106"/>
  <c r="F42" i="106"/>
  <c r="F46" i="106"/>
  <c r="E21" i="21"/>
  <c r="F33" i="106"/>
  <c r="F36" i="106"/>
  <c r="F40" i="106"/>
  <c r="F45" i="106"/>
  <c r="F31" i="106"/>
  <c r="F34" i="106"/>
  <c r="F37" i="106"/>
  <c r="F41" i="106"/>
  <c r="G12" i="80"/>
  <c r="K27" i="80"/>
  <c r="K12" i="80" s="1"/>
  <c r="P49" i="78"/>
  <c r="K30" i="46"/>
  <c r="J19" i="21"/>
  <c r="AE19" i="33"/>
  <c r="AE19" i="35"/>
  <c r="AE19" i="32"/>
  <c r="AE19" i="31"/>
  <c r="AE19" i="37"/>
  <c r="AE19" i="30"/>
  <c r="K60" i="46"/>
  <c r="J16" i="48"/>
  <c r="J20" i="48" s="1"/>
  <c r="J24" i="48" s="1"/>
  <c r="Z11" i="48"/>
  <c r="AA19" i="37"/>
  <c r="AA19" i="31"/>
  <c r="AA19" i="35"/>
  <c r="J17" i="21"/>
  <c r="AA19" i="30"/>
  <c r="AA19" i="33"/>
  <c r="AA19" i="32"/>
  <c r="Y19" i="33"/>
  <c r="Y19" i="32"/>
  <c r="Y19" i="37"/>
  <c r="Y19" i="35"/>
  <c r="Y19" i="30"/>
  <c r="J16" i="21"/>
  <c r="W48" i="71"/>
  <c r="D16" i="64"/>
  <c r="K28" i="110"/>
  <c r="K49" i="110"/>
  <c r="K51" i="110"/>
  <c r="F35" i="68"/>
  <c r="K23" i="110"/>
  <c r="D41" i="64"/>
  <c r="K62" i="110"/>
  <c r="J13" i="64"/>
  <c r="P60" i="78"/>
  <c r="P56" i="78" s="1"/>
  <c r="K16" i="110"/>
  <c r="P43" i="78"/>
  <c r="E65" i="64"/>
  <c r="J65" i="64" s="1"/>
  <c r="K64" i="110"/>
  <c r="K48" i="110"/>
  <c r="D24" i="64"/>
  <c r="I24" i="64" s="1"/>
  <c r="J31" i="64"/>
  <c r="D52" i="64"/>
  <c r="I52" i="64" s="1"/>
  <c r="D22" i="64"/>
  <c r="J45" i="64"/>
  <c r="D45" i="64"/>
  <c r="I45" i="64" s="1"/>
  <c r="K25" i="110"/>
  <c r="D64" i="64"/>
  <c r="N65" i="110"/>
  <c r="K9" i="110"/>
  <c r="K15" i="110"/>
  <c r="K50" i="110"/>
  <c r="D47" i="64"/>
  <c r="K19" i="110"/>
  <c r="D58" i="64"/>
  <c r="F65" i="64"/>
  <c r="D50" i="64"/>
  <c r="D42" i="64"/>
  <c r="I42" i="64" s="1"/>
  <c r="K40" i="110"/>
  <c r="K26" i="110"/>
  <c r="K24" i="110"/>
  <c r="D25" i="64"/>
  <c r="AC37" i="55"/>
  <c r="AG12" i="70"/>
  <c r="AE35" i="70"/>
  <c r="Y23" i="55"/>
  <c r="K43" i="73"/>
  <c r="AK25" i="57"/>
  <c r="AJ32" i="57"/>
  <c r="AI31" i="57"/>
  <c r="AI32" i="57" s="1"/>
  <c r="C65" i="110"/>
  <c r="O65" i="110" s="1"/>
  <c r="O5" i="110"/>
  <c r="D56" i="64"/>
  <c r="J14" i="64"/>
  <c r="D14" i="64"/>
  <c r="I14" i="64" s="1"/>
  <c r="K8" i="110"/>
  <c r="L65" i="110"/>
  <c r="D48" i="64"/>
  <c r="I48" i="64" s="1"/>
  <c r="J48" i="64"/>
  <c r="S31" i="67"/>
  <c r="C15" i="102"/>
  <c r="S22" i="67"/>
  <c r="H16" i="67"/>
  <c r="E31" i="57"/>
  <c r="E32" i="57" s="1"/>
  <c r="H25" i="67"/>
  <c r="C14" i="102"/>
  <c r="D33" i="64"/>
  <c r="I33" i="64" s="1"/>
  <c r="J33" i="64"/>
  <c r="D40" i="64"/>
  <c r="J32" i="64"/>
  <c r="D32" i="64"/>
  <c r="I32" i="64" s="1"/>
  <c r="D10" i="64"/>
  <c r="I10" i="64" s="1"/>
  <c r="D57" i="64"/>
  <c r="I57" i="64" s="1"/>
  <c r="J57" i="64"/>
  <c r="D49" i="64"/>
  <c r="I49" i="64" s="1"/>
  <c r="J49" i="64"/>
  <c r="G65" i="64"/>
  <c r="Q31" i="57"/>
  <c r="Q32" i="57" s="1"/>
  <c r="AK21" i="57"/>
  <c r="D8" i="64"/>
  <c r="I8" i="64" s="1"/>
  <c r="J8" i="64"/>
  <c r="D6" i="64"/>
  <c r="J6" i="64"/>
  <c r="D34" i="64"/>
  <c r="M65" i="110"/>
  <c r="K32" i="110"/>
  <c r="K11" i="110"/>
  <c r="K5" i="110"/>
  <c r="D23" i="64"/>
  <c r="K14" i="110"/>
  <c r="L50" i="73"/>
  <c r="K88" i="73" s="1"/>
  <c r="AF35" i="70"/>
  <c r="H29" i="66"/>
  <c r="L39" i="73"/>
  <c r="L43" i="73" s="1"/>
  <c r="AC47" i="55"/>
  <c r="AC48" i="51"/>
  <c r="AC48" i="50"/>
  <c r="J29" i="66"/>
  <c r="L13" i="73"/>
  <c r="AC41" i="55"/>
  <c r="AI35" i="70"/>
  <c r="W19" i="37" l="1"/>
  <c r="W19" i="30"/>
  <c r="W19" i="31"/>
  <c r="W19" i="35"/>
  <c r="W19" i="32"/>
  <c r="L8" i="75"/>
  <c r="W19" i="33"/>
  <c r="L9" i="75"/>
  <c r="I89" i="46"/>
  <c r="G89" i="46"/>
  <c r="W20" i="30"/>
  <c r="W20" i="37"/>
  <c r="W20" i="36"/>
  <c r="W20" i="35"/>
  <c r="W20" i="34"/>
  <c r="W20" i="33"/>
  <c r="W20" i="32"/>
  <c r="W20" i="31"/>
  <c r="R20" i="30"/>
  <c r="K15" i="21"/>
  <c r="Q20" i="30"/>
  <c r="Q20" i="37"/>
  <c r="Q20" i="36"/>
  <c r="Q20" i="34"/>
  <c r="Q20" i="35"/>
  <c r="Q20" i="33"/>
  <c r="Q20" i="32"/>
  <c r="Q20" i="31"/>
  <c r="H20" i="30"/>
  <c r="K12" i="21" s="1"/>
  <c r="F20" i="30"/>
  <c r="AE20" i="30"/>
  <c r="AE20" i="37"/>
  <c r="AE20" i="36"/>
  <c r="AE20" i="35"/>
  <c r="AE20" i="34"/>
  <c r="AE20" i="33"/>
  <c r="AE20" i="32"/>
  <c r="AE20" i="31"/>
  <c r="J15" i="21"/>
  <c r="W19" i="36"/>
  <c r="W19" i="34"/>
  <c r="AC20" i="30"/>
  <c r="AC20" i="36"/>
  <c r="AC20" i="37"/>
  <c r="AC20" i="35"/>
  <c r="AC20" i="34"/>
  <c r="AC20" i="33"/>
  <c r="AC20" i="32"/>
  <c r="AC20" i="31"/>
  <c r="K19" i="21"/>
  <c r="D15" i="15"/>
  <c r="G20" i="38"/>
  <c r="H87" i="12"/>
  <c r="I20" i="38"/>
  <c r="L9" i="106"/>
  <c r="AA49" i="50"/>
  <c r="S20" i="38"/>
  <c r="AC49" i="52"/>
  <c r="D12" i="15"/>
  <c r="D18" i="15"/>
  <c r="F12" i="15"/>
  <c r="I22" i="15" s="1"/>
  <c r="E87" i="12"/>
  <c r="D11" i="15"/>
  <c r="D10" i="15"/>
  <c r="I9" i="74"/>
  <c r="M9" i="74" s="1"/>
  <c r="I8" i="74"/>
  <c r="R19" i="30"/>
  <c r="S19" i="34" s="1"/>
  <c r="F36" i="114"/>
  <c r="M8" i="78"/>
  <c r="M42" i="78" s="1"/>
  <c r="K8" i="78"/>
  <c r="I42" i="78"/>
  <c r="U47" i="56"/>
  <c r="AC49" i="54"/>
  <c r="AB49" i="54"/>
  <c r="AA49" i="54"/>
  <c r="AA49" i="53"/>
  <c r="AC49" i="53"/>
  <c r="AB49" i="53"/>
  <c r="AB49" i="52"/>
  <c r="AA49" i="52"/>
  <c r="AA49" i="51"/>
  <c r="AC49" i="51"/>
  <c r="W49" i="55"/>
  <c r="AB49" i="51"/>
  <c r="I49" i="55"/>
  <c r="U49" i="55"/>
  <c r="Q49" i="55"/>
  <c r="C49" i="55"/>
  <c r="H49" i="55"/>
  <c r="G49" i="55"/>
  <c r="K49" i="55"/>
  <c r="L49" i="55"/>
  <c r="AC23" i="55"/>
  <c r="X49" i="55"/>
  <c r="E49" i="55"/>
  <c r="D49" i="55"/>
  <c r="T49" i="55"/>
  <c r="AC19" i="37"/>
  <c r="AC19" i="32"/>
  <c r="AB48" i="55"/>
  <c r="AC49" i="50"/>
  <c r="G30" i="93"/>
  <c r="O49" i="55"/>
  <c r="M49" i="55"/>
  <c r="P49" i="55"/>
  <c r="AB49" i="50"/>
  <c r="AA48" i="55"/>
  <c r="AA23" i="55"/>
  <c r="S49" i="55"/>
  <c r="AB23" i="55"/>
  <c r="Y49" i="55"/>
  <c r="Q8" i="53"/>
  <c r="Q8" i="54"/>
  <c r="Q8" i="51"/>
  <c r="Q8" i="52"/>
  <c r="U8" i="50"/>
  <c r="Q8" i="55"/>
  <c r="J14" i="47"/>
  <c r="K76" i="39"/>
  <c r="L14" i="106"/>
  <c r="L36" i="106" s="1"/>
  <c r="K75" i="39"/>
  <c r="J18" i="21"/>
  <c r="AC19" i="35"/>
  <c r="AC19" i="36"/>
  <c r="J16" i="76"/>
  <c r="AA16" i="48"/>
  <c r="AA20" i="48" s="1"/>
  <c r="D15" i="102"/>
  <c r="AC19" i="30"/>
  <c r="AC19" i="33"/>
  <c r="AC19" i="31"/>
  <c r="B13" i="15"/>
  <c r="B21" i="15" s="1"/>
  <c r="J89" i="46"/>
  <c r="H89" i="46"/>
  <c r="Q19" i="32"/>
  <c r="Q19" i="30"/>
  <c r="J11" i="21"/>
  <c r="B65" i="63"/>
  <c r="Q19" i="31"/>
  <c r="Q19" i="37"/>
  <c r="Q19" i="33"/>
  <c r="Q19" i="35"/>
  <c r="Q19" i="34"/>
  <c r="C89" i="46"/>
  <c r="E89" i="46"/>
  <c r="F89" i="46"/>
  <c r="D17" i="15"/>
  <c r="G87" i="12"/>
  <c r="J87" i="12"/>
  <c r="C13" i="15"/>
  <c r="F87" i="12"/>
  <c r="D14" i="15"/>
  <c r="D19" i="15"/>
  <c r="I87" i="12"/>
  <c r="D16" i="15"/>
  <c r="K87" i="12"/>
  <c r="E20" i="15"/>
  <c r="F20" i="15" s="1"/>
  <c r="E13" i="15"/>
  <c r="D9" i="15"/>
  <c r="U19" i="77"/>
  <c r="V19" i="79"/>
  <c r="C20" i="15"/>
  <c r="D87" i="12"/>
  <c r="B85" i="12"/>
  <c r="T19" i="77"/>
  <c r="B34" i="12"/>
  <c r="D14" i="102"/>
  <c r="B19" i="102"/>
  <c r="AG35" i="70"/>
  <c r="AK31" i="57"/>
  <c r="AK32" i="57" s="1"/>
  <c r="AL34" i="57" s="1"/>
  <c r="B65" i="64"/>
  <c r="H65" i="64" s="1"/>
  <c r="D19" i="10"/>
  <c r="B26" i="10"/>
  <c r="H13" i="93"/>
  <c r="E30" i="93"/>
  <c r="Q19" i="77"/>
  <c r="R19" i="79"/>
  <c r="R19" i="77"/>
  <c r="K69" i="39"/>
  <c r="L10" i="106"/>
  <c r="L32" i="106" s="1"/>
  <c r="AC23" i="39"/>
  <c r="E14" i="10"/>
  <c r="W12" i="80"/>
  <c r="X12" i="80"/>
  <c r="W19" i="77"/>
  <c r="X19" i="79"/>
  <c r="X19" i="77"/>
  <c r="C26" i="10"/>
  <c r="B87" i="11"/>
  <c r="E24" i="10"/>
  <c r="S8" i="54"/>
  <c r="S8" i="55"/>
  <c r="C7" i="56" s="1"/>
  <c r="S8" i="51"/>
  <c r="W8" i="50"/>
  <c r="S8" i="52"/>
  <c r="S8" i="53"/>
  <c r="C19" i="102"/>
  <c r="P8" i="51"/>
  <c r="P8" i="53"/>
  <c r="P8" i="55"/>
  <c r="P8" i="54"/>
  <c r="P8" i="52"/>
  <c r="T8" i="50"/>
  <c r="C17" i="10"/>
  <c r="W27" i="80"/>
  <c r="X27" i="80"/>
  <c r="P27" i="80"/>
  <c r="P12" i="80" s="1"/>
  <c r="Y27" i="80"/>
  <c r="F15" i="15"/>
  <c r="I24" i="15" s="1"/>
  <c r="Y12" i="80"/>
  <c r="Z16" i="48"/>
  <c r="Z20" i="48" s="1"/>
  <c r="Z24" i="48" s="1"/>
  <c r="D89" i="46"/>
  <c r="M19" i="33"/>
  <c r="M19" i="31"/>
  <c r="M19" i="34"/>
  <c r="M19" i="35"/>
  <c r="M19" i="36"/>
  <c r="M19" i="30"/>
  <c r="M19" i="32"/>
  <c r="J9" i="21"/>
  <c r="M19" i="37"/>
  <c r="D13" i="10"/>
  <c r="G13" i="10" s="1"/>
  <c r="B17" i="10"/>
  <c r="D25" i="93"/>
  <c r="D101" i="46"/>
  <c r="H101" i="46"/>
  <c r="J101" i="46"/>
  <c r="G101" i="46"/>
  <c r="E101" i="46"/>
  <c r="I101" i="46"/>
  <c r="F101" i="46"/>
  <c r="C101" i="46"/>
  <c r="AC48" i="55"/>
  <c r="K90" i="73"/>
  <c r="K87" i="73"/>
  <c r="K92" i="73"/>
  <c r="S30" i="67"/>
  <c r="H31" i="67"/>
  <c r="S35" i="67" s="1"/>
  <c r="K65" i="110"/>
  <c r="D65" i="64"/>
  <c r="I65" i="64" s="1"/>
  <c r="I6" i="64"/>
  <c r="S27" i="67"/>
  <c r="K89" i="73"/>
  <c r="K91" i="73"/>
  <c r="L13" i="75"/>
  <c r="L14" i="75"/>
  <c r="L11" i="75"/>
  <c r="L12" i="75"/>
  <c r="L15" i="75"/>
  <c r="L10" i="75"/>
  <c r="G20" i="30" l="1"/>
  <c r="G20" i="37"/>
  <c r="G20" i="35"/>
  <c r="G20" i="32"/>
  <c r="G20" i="36"/>
  <c r="G22" i="36" s="1"/>
  <c r="G20" i="34"/>
  <c r="G20" i="33"/>
  <c r="G20" i="31"/>
  <c r="K21" i="21"/>
  <c r="I20" i="30"/>
  <c r="I20" i="35"/>
  <c r="I20" i="34"/>
  <c r="I20" i="36"/>
  <c r="I20" i="33"/>
  <c r="I20" i="32"/>
  <c r="I20" i="37"/>
  <c r="I20" i="31"/>
  <c r="S20" i="30"/>
  <c r="S20" i="37"/>
  <c r="S20" i="36"/>
  <c r="S20" i="34"/>
  <c r="S20" i="35"/>
  <c r="S20" i="33"/>
  <c r="S20" i="32"/>
  <c r="S20" i="31"/>
  <c r="K20" i="21"/>
  <c r="S19" i="33"/>
  <c r="S19" i="37"/>
  <c r="S19" i="31"/>
  <c r="S19" i="30"/>
  <c r="S19" i="32"/>
  <c r="I13" i="74"/>
  <c r="M13" i="74" s="1"/>
  <c r="J20" i="21"/>
  <c r="S19" i="35"/>
  <c r="S19" i="36"/>
  <c r="B28" i="10"/>
  <c r="L24" i="106"/>
  <c r="L46" i="106" s="1"/>
  <c r="L31" i="106"/>
  <c r="M8" i="74"/>
  <c r="K42" i="78"/>
  <c r="O42" i="78" s="1"/>
  <c r="O8" i="78"/>
  <c r="Q8" i="78" s="1"/>
  <c r="Q42" i="78" s="1"/>
  <c r="AC49" i="55"/>
  <c r="AB49" i="55"/>
  <c r="AA49" i="55"/>
  <c r="Y8" i="50"/>
  <c r="U8" i="55"/>
  <c r="E7" i="56" s="1"/>
  <c r="U8" i="51"/>
  <c r="U8" i="52"/>
  <c r="U8" i="54"/>
  <c r="U8" i="53"/>
  <c r="F13" i="15"/>
  <c r="D19" i="102"/>
  <c r="K89" i="46"/>
  <c r="B87" i="12"/>
  <c r="D13" i="15"/>
  <c r="E21" i="15"/>
  <c r="F21" i="15" s="1"/>
  <c r="I18" i="15" s="1"/>
  <c r="C21" i="15"/>
  <c r="D20" i="15"/>
  <c r="G19" i="10"/>
  <c r="E19" i="10"/>
  <c r="E13" i="10"/>
  <c r="K80" i="39"/>
  <c r="M19" i="77"/>
  <c r="G19" i="34"/>
  <c r="G19" i="36"/>
  <c r="G19" i="31"/>
  <c r="G19" i="30"/>
  <c r="J21" i="21"/>
  <c r="G19" i="35"/>
  <c r="G19" i="32"/>
  <c r="G19" i="37"/>
  <c r="G19" i="33"/>
  <c r="T8" i="55"/>
  <c r="D7" i="56" s="1"/>
  <c r="X8" i="50"/>
  <c r="T8" i="53"/>
  <c r="T8" i="54"/>
  <c r="T8" i="52"/>
  <c r="T8" i="51"/>
  <c r="S19" i="79"/>
  <c r="T19" i="79"/>
  <c r="Z19" i="79"/>
  <c r="Y19" i="79"/>
  <c r="D26" i="10"/>
  <c r="G26" i="10" s="1"/>
  <c r="K7" i="56"/>
  <c r="C7" i="57"/>
  <c r="I19" i="34"/>
  <c r="I19" i="30"/>
  <c r="J12" i="21"/>
  <c r="I19" i="36"/>
  <c r="I19" i="35"/>
  <c r="I19" i="33"/>
  <c r="I19" i="31"/>
  <c r="I19" i="32"/>
  <c r="I19" i="37"/>
  <c r="D30" i="93"/>
  <c r="H25" i="93"/>
  <c r="W8" i="55"/>
  <c r="G7" i="56" s="1"/>
  <c r="W8" i="53"/>
  <c r="W8" i="52"/>
  <c r="W8" i="51"/>
  <c r="W8" i="54"/>
  <c r="AA8" i="50"/>
  <c r="D17" i="10"/>
  <c r="G17" i="10" s="1"/>
  <c r="C28" i="10"/>
  <c r="K101" i="46"/>
  <c r="H32" i="67"/>
  <c r="S21" i="67" s="1"/>
  <c r="D28" i="10" l="1"/>
  <c r="M7" i="56"/>
  <c r="E7" i="57"/>
  <c r="Y8" i="52"/>
  <c r="Y8" i="54"/>
  <c r="Y8" i="51"/>
  <c r="Y8" i="53"/>
  <c r="AC8" i="50"/>
  <c r="Y8" i="55"/>
  <c r="I7" i="56" s="1"/>
  <c r="D21" i="15"/>
  <c r="E17" i="10"/>
  <c r="E26" i="10"/>
  <c r="G28" i="10"/>
  <c r="AA8" i="54"/>
  <c r="AA8" i="53"/>
  <c r="AA8" i="51"/>
  <c r="AA8" i="55"/>
  <c r="AA8" i="52"/>
  <c r="D7" i="57"/>
  <c r="L7" i="56"/>
  <c r="O19" i="77"/>
  <c r="O19" i="79"/>
  <c r="N19" i="77"/>
  <c r="S7" i="56"/>
  <c r="W7" i="57" s="1"/>
  <c r="K7" i="57"/>
  <c r="O7" i="57"/>
  <c r="X8" i="52"/>
  <c r="X8" i="54"/>
  <c r="X8" i="53"/>
  <c r="X8" i="55"/>
  <c r="H7" i="56" s="1"/>
  <c r="X8" i="51"/>
  <c r="AB8" i="50"/>
  <c r="S75" i="39"/>
  <c r="S74" i="39"/>
  <c r="S77" i="39"/>
  <c r="S70" i="39"/>
  <c r="S79" i="39"/>
  <c r="S72" i="39"/>
  <c r="S71" i="39"/>
  <c r="S76" i="39"/>
  <c r="S73" i="39"/>
  <c r="S68" i="39"/>
  <c r="S78" i="39"/>
  <c r="H30" i="93"/>
  <c r="G7" i="57"/>
  <c r="O7" i="56"/>
  <c r="S7" i="57" s="1"/>
  <c r="S69" i="39"/>
  <c r="Q7" i="56" l="1"/>
  <c r="U7" i="57" s="1"/>
  <c r="I7" i="57"/>
  <c r="AC8" i="53"/>
  <c r="AC8" i="51"/>
  <c r="AC8" i="55"/>
  <c r="AC8" i="52"/>
  <c r="AC8" i="54"/>
  <c r="Q7" i="57"/>
  <c r="U7" i="56"/>
  <c r="Y7" i="57" s="1"/>
  <c r="M7" i="57"/>
  <c r="E28" i="10"/>
  <c r="S80" i="39"/>
  <c r="P7" i="56"/>
  <c r="T7" i="57" s="1"/>
  <c r="H7" i="57"/>
  <c r="P19" i="79"/>
  <c r="Q19" i="79"/>
  <c r="T7" i="56"/>
  <c r="X7" i="57" s="1"/>
  <c r="L7" i="57"/>
  <c r="P7" i="57"/>
  <c r="J21" i="93"/>
  <c r="J16" i="93"/>
  <c r="J28" i="93"/>
  <c r="J20" i="93"/>
  <c r="J18" i="93"/>
  <c r="J15" i="93"/>
  <c r="J14" i="93"/>
  <c r="J22" i="93"/>
  <c r="J27" i="93"/>
  <c r="J17" i="93"/>
  <c r="J26" i="93"/>
  <c r="J19" i="93"/>
  <c r="J10" i="93"/>
  <c r="J23" i="93"/>
  <c r="J24" i="93"/>
  <c r="J12" i="93"/>
  <c r="J29" i="93"/>
  <c r="J11" i="93"/>
  <c r="J13" i="93"/>
  <c r="AI7" i="57"/>
  <c r="AA7" i="57"/>
  <c r="AE7" i="57" s="1"/>
  <c r="AB8" i="54"/>
  <c r="AB8" i="55"/>
  <c r="AB8" i="53"/>
  <c r="AB8" i="52"/>
  <c r="AB8" i="51"/>
  <c r="J25" i="93"/>
  <c r="B8" i="58" l="1"/>
  <c r="J30" i="93"/>
  <c r="AK7" i="57"/>
  <c r="AC7" i="57"/>
  <c r="AG7" i="57" s="1"/>
  <c r="AJ7" i="57"/>
  <c r="AB7" i="57"/>
  <c r="AF7" i="57" s="1"/>
  <c r="B8" i="59"/>
  <c r="B8" i="60" s="1"/>
  <c r="B8" i="61" s="1"/>
  <c r="B8" i="62" s="1"/>
  <c r="F8" i="58"/>
  <c r="C8" i="58" l="1"/>
  <c r="G8" i="58" s="1"/>
  <c r="D8" i="58"/>
  <c r="D8" i="59"/>
  <c r="D8" i="60" s="1"/>
  <c r="D8" i="61" s="1"/>
  <c r="D8" i="62" s="1"/>
  <c r="H8" i="58"/>
  <c r="F8" i="59"/>
  <c r="F8" i="60" s="1"/>
  <c r="F8" i="61" s="1"/>
  <c r="F8" i="62" s="1"/>
  <c r="J8" i="58"/>
  <c r="C8" i="59" l="1"/>
  <c r="C8" i="60" s="1"/>
  <c r="C8" i="61" s="1"/>
  <c r="C8" i="62" s="1"/>
  <c r="L8" i="58"/>
  <c r="H8" i="59"/>
  <c r="H8" i="60" s="1"/>
  <c r="H8" i="61" s="1"/>
  <c r="H8" i="62" s="1"/>
  <c r="J8" i="59"/>
  <c r="J8" i="60" s="1"/>
  <c r="J8" i="61" s="1"/>
  <c r="J8" i="62" s="1"/>
  <c r="N8" i="58"/>
  <c r="G8" i="59"/>
  <c r="G8" i="60" s="1"/>
  <c r="G8" i="61" s="1"/>
  <c r="G8" i="62" s="1"/>
  <c r="K8" i="58"/>
  <c r="L8" i="59" l="1"/>
  <c r="L8" i="60" s="1"/>
  <c r="L8" i="61" s="1"/>
  <c r="L8" i="62" s="1"/>
  <c r="P8" i="58"/>
  <c r="O8" i="58"/>
  <c r="K8" i="59"/>
  <c r="K8" i="60" s="1"/>
  <c r="K8" i="61" s="1"/>
  <c r="K8" i="62" s="1"/>
  <c r="R8" i="58"/>
  <c r="V8" i="58" s="1"/>
  <c r="Z8" i="58" s="1"/>
  <c r="AD8" i="58"/>
  <c r="AD8" i="59" s="1"/>
  <c r="AD8" i="60" s="1"/>
  <c r="AD8" i="61" s="1"/>
  <c r="AD8" i="62" s="1"/>
  <c r="N8" i="59"/>
  <c r="AF8" i="58" l="1"/>
  <c r="AF8" i="59" s="1"/>
  <c r="AF8" i="60" s="1"/>
  <c r="AF8" i="61" s="1"/>
  <c r="AF8" i="62" s="1"/>
  <c r="P8" i="59"/>
  <c r="T8" i="58"/>
  <c r="X8" i="58" s="1"/>
  <c r="AB8" i="58" s="1"/>
  <c r="R8" i="59"/>
  <c r="N8" i="60"/>
  <c r="N8" i="61" s="1"/>
  <c r="AE8" i="58"/>
  <c r="AE8" i="59" s="1"/>
  <c r="AE8" i="60" s="1"/>
  <c r="AE8" i="61" s="1"/>
  <c r="AE8" i="62" s="1"/>
  <c r="S8" i="58"/>
  <c r="W8" i="58" s="1"/>
  <c r="AA8" i="58" s="1"/>
  <c r="O8" i="59"/>
  <c r="P8" i="60" l="1"/>
  <c r="P8" i="61" s="1"/>
  <c r="T8" i="59"/>
  <c r="S8" i="59"/>
  <c r="O8" i="60"/>
  <c r="O8" i="61" s="1"/>
  <c r="N8" i="62"/>
  <c r="R8" i="61"/>
  <c r="V8" i="61" s="1"/>
  <c r="Z8" i="61" s="1"/>
  <c r="V8" i="59"/>
  <c r="Z8" i="59" s="1"/>
  <c r="R8" i="60"/>
  <c r="V8" i="60" s="1"/>
  <c r="Z8" i="60" s="1"/>
  <c r="X8" i="59" l="1"/>
  <c r="AB8" i="59" s="1"/>
  <c r="T8" i="60"/>
  <c r="X8" i="60" s="1"/>
  <c r="AB8" i="60" s="1"/>
  <c r="P8" i="62"/>
  <c r="T8" i="62" s="1"/>
  <c r="X8" i="62" s="1"/>
  <c r="AB8" i="62" s="1"/>
  <c r="T8" i="61"/>
  <c r="X8" i="61" s="1"/>
  <c r="AB8" i="61" s="1"/>
  <c r="S8" i="61"/>
  <c r="W8" i="61" s="1"/>
  <c r="AA8" i="61" s="1"/>
  <c r="O8" i="62"/>
  <c r="S8" i="62" s="1"/>
  <c r="W8" i="62" s="1"/>
  <c r="AA8" i="62" s="1"/>
  <c r="W8" i="59"/>
  <c r="AA8" i="59" s="1"/>
  <c r="S8" i="60"/>
  <c r="W8" i="60" s="1"/>
  <c r="AA8" i="60" s="1"/>
  <c r="V8" i="62"/>
  <c r="Z8" i="62" s="1"/>
  <c r="R8" i="62"/>
</calcChain>
</file>

<file path=xl/sharedStrings.xml><?xml version="1.0" encoding="utf-8"?>
<sst xmlns="http://schemas.openxmlformats.org/spreadsheetml/2006/main" count="5764" uniqueCount="1613">
  <si>
    <t>POLICONSUMO</t>
  </si>
  <si>
    <t>ESQUIZOFRENIA</t>
  </si>
  <si>
    <t>TRASTORNOS DE LA CONDUCTA ALIMENTARIA</t>
  </si>
  <si>
    <t>RETRASO MENTAL</t>
  </si>
  <si>
    <t>TRASTORNO DE PERSONALIDAD</t>
  </si>
  <si>
    <t>CONS.  Y
POSTAS</t>
  </si>
  <si>
    <t>PREVENTIVAS  menores  de  20  años</t>
  </si>
  <si>
    <t xml:space="preserve">SERVICIO SALUD  ACONCAGUA  </t>
  </si>
  <si>
    <t>CONSULTORIOS
 Y  POSTAS</t>
  </si>
  <si>
    <t>*Nota  :  Prevención  considera las  acciones  de  :</t>
  </si>
  <si>
    <t xml:space="preserve">           -  Aplicación  de  sellante</t>
  </si>
  <si>
    <t xml:space="preserve">           -  Fluoración  tópica</t>
  </si>
  <si>
    <t xml:space="preserve">           -  Pulido  coronario</t>
  </si>
  <si>
    <t>ATENCIONES DE URGENCIA  SEGUN ESTABLECIMIENTOS</t>
  </si>
  <si>
    <t>E S T A B L E C I M I E N T O S</t>
  </si>
  <si>
    <t xml:space="preserve"> FUNCIONARIO</t>
  </si>
  <si>
    <t xml:space="preserve"> GRUPO</t>
  </si>
  <si>
    <t>H. SAN  FELIPE</t>
  </si>
  <si>
    <t>H. LOS ANDES</t>
  </si>
  <si>
    <t>H. LLAY- LLAY</t>
  </si>
  <si>
    <t>H. PUTAENDO</t>
  </si>
  <si>
    <t>SAPU
L.ANDES</t>
  </si>
  <si>
    <t>SAPU
S. FELIPE</t>
  </si>
  <si>
    <t xml:space="preserve"> INFANTIL</t>
  </si>
  <si>
    <t xml:space="preserve"> ADOLESCENTE</t>
  </si>
  <si>
    <t xml:space="preserve"> MUJER</t>
  </si>
  <si>
    <t xml:space="preserve"> ADULTO</t>
  </si>
  <si>
    <t xml:space="preserve"> ADULTO MAYOR</t>
  </si>
  <si>
    <t xml:space="preserve"> ENFERMERA</t>
  </si>
  <si>
    <t xml:space="preserve"> MATRONA</t>
  </si>
  <si>
    <t xml:space="preserve"> AUXILIAR</t>
  </si>
  <si>
    <t xml:space="preserve">INDICE  CONSULTA MEDICA  DE URGENCIA </t>
  </si>
  <si>
    <t xml:space="preserve">SERVICIO DE SALUD   ACONCAGUA    </t>
  </si>
  <si>
    <t>CONSULTAS MEDICAS</t>
  </si>
  <si>
    <t>INDICE DE CONSULTA</t>
  </si>
  <si>
    <t>ATENCIONES MEDICAS DE URGENCIA  SEGUN ESTABLECIMIENTOS</t>
  </si>
  <si>
    <t>HOSP. SAN  FELIPE</t>
  </si>
  <si>
    <t>H.SAN CAMILO</t>
  </si>
  <si>
    <t>HOSP. LOS  ANDES</t>
  </si>
  <si>
    <t>H.LOS ANDES</t>
  </si>
  <si>
    <t>HOSP. LLAY  LLAY</t>
  </si>
  <si>
    <t>H.LLAY-LLAY</t>
  </si>
  <si>
    <t>HOSP. PSIQUIATRICO</t>
  </si>
  <si>
    <t>H.PSIQ.</t>
  </si>
  <si>
    <t>HOSP.  PUTAENDO</t>
  </si>
  <si>
    <t>SAPU  SAN  FELIPE</t>
  </si>
  <si>
    <t>SAPU S.F.</t>
  </si>
  <si>
    <t>SAPU L.A.</t>
  </si>
  <si>
    <t>CONS. MUNICIPALES</t>
  </si>
  <si>
    <t>MUNIC.</t>
  </si>
  <si>
    <t>INTERVENCIONES  QUIRURGICAS  ELECTIVAS  Y   URGENCIAS</t>
  </si>
  <si>
    <t xml:space="preserve">  INTERVENCIONES
  QUIRURGICAS</t>
  </si>
  <si>
    <t>HOSP. SAN
 FELIPE</t>
  </si>
  <si>
    <t>HOSP. LOS
ANDES</t>
  </si>
  <si>
    <t>HOSP. 
PSIQUIA.</t>
  </si>
  <si>
    <t>NO AMBULATORIAS  MAYORES</t>
  </si>
  <si>
    <t>MAYOR AMBULATORIAS</t>
  </si>
  <si>
    <t>MENORES</t>
  </si>
  <si>
    <t xml:space="preserve"> MENORES</t>
  </si>
  <si>
    <t>PERFIL DE INTERVENCIONES  QUIRURGICAS</t>
  </si>
  <si>
    <t>MAYORES  ELECTIVAS Y URGENCIAS</t>
  </si>
  <si>
    <t>SERVICIO  DE  SALUD   ACONCAGUA</t>
  </si>
  <si>
    <t>SERVICIO DE SALUD</t>
  </si>
  <si>
    <t>HOSP. SAN CAMILO</t>
  </si>
  <si>
    <t>ELECTIVA</t>
  </si>
  <si>
    <t>POB.</t>
  </si>
  <si>
    <t>T/E</t>
  </si>
  <si>
    <t>T/U</t>
  </si>
  <si>
    <t xml:space="preserve">                            </t>
  </si>
  <si>
    <t>POR  ESTABLECIMIENTOS</t>
  </si>
  <si>
    <t xml:space="preserve">  INTERVENCIONES</t>
  </si>
  <si>
    <t>HOSP. PUTAENDO</t>
  </si>
  <si>
    <t>A.  PRIMARIA</t>
  </si>
  <si>
    <t xml:space="preserve"> CIR. OFTALMICA</t>
  </si>
  <si>
    <t xml:space="preserve"> CIR. OTORRINOLOGICA</t>
  </si>
  <si>
    <t xml:space="preserve"> CIR. DE LA CABEZA Y CUELLO</t>
  </si>
  <si>
    <t xml:space="preserve"> CIR. PLASTICA Y REPARAD.</t>
  </si>
  <si>
    <t xml:space="preserve"> TEGUMENTOS</t>
  </si>
  <si>
    <t xml:space="preserve"> CIR. CARDIOVASCULAR</t>
  </si>
  <si>
    <t xml:space="preserve"> CIR. TORAXICA</t>
  </si>
  <si>
    <t xml:space="preserve"> CIR. ABDOMINAL</t>
  </si>
  <si>
    <t xml:space="preserve"> CIR. PROCTOLOGICA</t>
  </si>
  <si>
    <t xml:space="preserve"> CIR. UROLOGICA Y SUP.</t>
  </si>
  <si>
    <t xml:space="preserve"> CIR. DE LA MAMA</t>
  </si>
  <si>
    <t xml:space="preserve"> CIR. GINECOLOGICA</t>
  </si>
  <si>
    <t xml:space="preserve"> CIR. OBSTETRICA</t>
  </si>
  <si>
    <t xml:space="preserve"> TRAUMATOLOGIA Y ORTOP.</t>
  </si>
  <si>
    <t xml:space="preserve"> ODONTOLOGIA</t>
  </si>
  <si>
    <t xml:space="preserve"> RETIRO ELEMENTOS OSTEO.</t>
  </si>
  <si>
    <t xml:space="preserve"> T O T A L   INT.  QUIR.</t>
  </si>
  <si>
    <t xml:space="preserve"> ABREU</t>
  </si>
  <si>
    <t xml:space="preserve"> ANESTESIA  EPIDURAL</t>
  </si>
  <si>
    <t xml:space="preserve"> CUR. SIMPLE  AMBULATORIA</t>
  </si>
  <si>
    <t>PROCEDIMIENTO DE PODOLOGÍA</t>
  </si>
  <si>
    <t xml:space="preserve"> AUTOCUIDADO PACIEN. DID</t>
  </si>
  <si>
    <t xml:space="preserve"> OXIGENOTERAPIA DOMICILIO</t>
  </si>
  <si>
    <t xml:space="preserve"> SUB- TOTAL  LABORATORIO</t>
  </si>
  <si>
    <t xml:space="preserve"> HEMATOLOGICOS</t>
  </si>
  <si>
    <t xml:space="preserve"> BIOQUIMICOS</t>
  </si>
  <si>
    <t xml:space="preserve"> HORMONALES</t>
  </si>
  <si>
    <t xml:space="preserve"> INMUNOLOGICOS</t>
  </si>
  <si>
    <t xml:space="preserve"> MICROBIOLOGICOS</t>
  </si>
  <si>
    <t xml:space="preserve"> a) Bacteria  y Hongos</t>
  </si>
  <si>
    <t xml:space="preserve"> b) Parásitos</t>
  </si>
  <si>
    <t xml:space="preserve"> c) Virus</t>
  </si>
  <si>
    <t xml:space="preserve"> PROC. DE DETER. DIRECTA</t>
  </si>
  <si>
    <t xml:space="preserve"> EXA.  DE  DEPOSICIONES</t>
  </si>
  <si>
    <t xml:space="preserve"> ORINA</t>
  </si>
  <si>
    <t xml:space="preserve"> SUB- TOTAL  IMAGENOLOGIA</t>
  </si>
  <si>
    <t xml:space="preserve"> RADIOLOGICOS SIMPLES</t>
  </si>
  <si>
    <t xml:space="preserve"> RADIOLOGICOS COMPLEJOS</t>
  </si>
  <si>
    <t xml:space="preserve"> TOMOGRAFIA AXIAL  COMP.</t>
  </si>
  <si>
    <t xml:space="preserve"> ULTRASONOGRAFIA</t>
  </si>
  <si>
    <t xml:space="preserve"> ECOTOMOGRAFIAS</t>
  </si>
  <si>
    <t xml:space="preserve"> SUB- TOTAL  ANAT. PATOLOG.</t>
  </si>
  <si>
    <t xml:space="preserve"> PROC.  DE  ORTOPEDIA</t>
  </si>
  <si>
    <t xml:space="preserve"> HEMODIALISIS CON BICARBONATO MENSUAL</t>
  </si>
  <si>
    <t xml:space="preserve"> HEMODIALISIS CON BICARBONATO  SESIÓN</t>
  </si>
  <si>
    <t xml:space="preserve"> EXAMENES  DE LABORATORIO E IMAGENOLOGIA  SEGUN AÑOS Y ESTABLECIMIENTOS</t>
  </si>
  <si>
    <t>(tasa x 100Hbs.)</t>
  </si>
  <si>
    <t>LABORATORIO  A.P.</t>
  </si>
  <si>
    <t>E.DIAG</t>
  </si>
  <si>
    <t>IMAG</t>
  </si>
  <si>
    <t>T/D</t>
  </si>
  <si>
    <t>T/ I</t>
  </si>
  <si>
    <r>
      <t xml:space="preserve">  SIMPLE     </t>
    </r>
    <r>
      <rPr>
        <sz val="8"/>
        <rFont val="Arial"/>
        <family val="2"/>
      </rPr>
      <t xml:space="preserve"> </t>
    </r>
  </si>
  <si>
    <r>
      <t xml:space="preserve"> </t>
    </r>
    <r>
      <rPr>
        <sz val="8"/>
        <rFont val="Arial"/>
        <family val="2"/>
      </rPr>
      <t>EUTOCICO</t>
    </r>
  </si>
  <si>
    <r>
      <t xml:space="preserve"> NO  PROF. (</t>
    </r>
    <r>
      <rPr>
        <sz val="6"/>
        <rFont val="Arial"/>
        <family val="2"/>
      </rPr>
      <t xml:space="preserve">FUERA  DE SERV. </t>
    </r>
    <r>
      <rPr>
        <sz val="8"/>
        <rFont val="Arial"/>
        <family val="2"/>
      </rPr>
      <t>)</t>
    </r>
  </si>
  <si>
    <t>CONSOLIDADO EGRESOS HOSPITALARIOS</t>
  </si>
  <si>
    <t xml:space="preserve">         MOVIMIENTO      DE        HOSPITALIZADOS</t>
  </si>
  <si>
    <t>INGRESO-EGRESO</t>
  </si>
  <si>
    <t xml:space="preserve">     DIAS DE CAMA   </t>
  </si>
  <si>
    <t xml:space="preserve">  DIAS DE EGRESADOS</t>
  </si>
  <si>
    <t xml:space="preserve">    INDICADORES</t>
  </si>
  <si>
    <t>SERVICIOS</t>
  </si>
  <si>
    <t>EXIS.</t>
  </si>
  <si>
    <t>INGRESOS</t>
  </si>
  <si>
    <t xml:space="preserve">     EGRESOS</t>
  </si>
  <si>
    <t>CLINICOS</t>
  </si>
  <si>
    <t>Nº DE 
CAMAS</t>
  </si>
  <si>
    <t>MES
ANTER.</t>
  </si>
  <si>
    <t>CAE</t>
  </si>
  <si>
    <t>OTROS
HOSP.</t>
  </si>
  <si>
    <t>OTRA
PROC.</t>
  </si>
  <si>
    <t>ALTA
HOGAR</t>
  </si>
  <si>
    <t>TRASL
O SERV.</t>
  </si>
  <si>
    <t>FALLEC</t>
  </si>
  <si>
    <t>MES
SIGUEN</t>
  </si>
  <si>
    <t>MISMO DIA</t>
  </si>
  <si>
    <t xml:space="preserve">   EN  
TRABAJO </t>
  </si>
  <si>
    <t>OCUPAD</t>
  </si>
  <si>
    <t>BENEF</t>
  </si>
  <si>
    <t>%
OCUP.</t>
  </si>
  <si>
    <t>X DIAS
EST.</t>
  </si>
  <si>
    <t>ROTACION</t>
  </si>
  <si>
    <t>SUSTI-
TUCION</t>
  </si>
  <si>
    <t xml:space="preserve"> MATERNIDAD</t>
  </si>
  <si>
    <t xml:space="preserve"> R.N. CUNA</t>
  </si>
  <si>
    <t xml:space="preserve"> U.C.I. NEONATAL</t>
  </si>
  <si>
    <t xml:space="preserve"> U.C.I. ADUL</t>
  </si>
  <si>
    <t xml:space="preserve"> U.T.I. ADUL</t>
  </si>
  <si>
    <t xml:space="preserve"> PENSIONADO</t>
  </si>
  <si>
    <t>CESFAM  RURAL</t>
  </si>
  <si>
    <t>CESFAM  URBANO</t>
  </si>
  <si>
    <t>Nota : Indice  de  rotación  es  promedio  mensual</t>
  </si>
  <si>
    <t>EGRESOS HOSPITAL      SAN   FELIPE</t>
  </si>
  <si>
    <t>EGRESOS  HOSPITAL      LOS  ANDES</t>
  </si>
  <si>
    <t>EGRESOS HOSPITAL      LLAY  LLAY</t>
  </si>
  <si>
    <t>EGRESOS   HOSPITAL     PUTAENDO</t>
  </si>
  <si>
    <t>EGRESOS HOSPITAL      PSIQUIATRICO</t>
  </si>
  <si>
    <t xml:space="preserve">   P.CORTA  EST.</t>
  </si>
  <si>
    <t xml:space="preserve">   P.MEDIA  EST.</t>
  </si>
  <si>
    <t xml:space="preserve">   CRONICOS</t>
  </si>
  <si>
    <t xml:space="preserve">   UNIDAD EMERGENCIA</t>
  </si>
  <si>
    <t xml:space="preserve">   FOR. MED. COM.</t>
  </si>
  <si>
    <t xml:space="preserve">   FOR. ALT.. COM.</t>
  </si>
  <si>
    <t xml:space="preserve">   U.E.  ( UEPI)</t>
  </si>
  <si>
    <t xml:space="preserve">   PENSIONADO</t>
  </si>
  <si>
    <t>EGRESOS HOSPITALARIOS  INDICE OCUPACIONAL Y  PROMEDIO DIAS ESTADA</t>
  </si>
  <si>
    <t>CONSOLIDADO SERVICIO SALUD</t>
  </si>
  <si>
    <t xml:space="preserve">DOTACIÓN </t>
  </si>
  <si>
    <t xml:space="preserve">PROMEDIO </t>
  </si>
  <si>
    <t>INDICE</t>
  </si>
  <si>
    <t>PROM.</t>
  </si>
  <si>
    <t>DE  CAMAS</t>
  </si>
  <si>
    <t>EGRESOS</t>
  </si>
  <si>
    <t>OCUPACIONAL</t>
  </si>
  <si>
    <t>DIA  ESTAD.</t>
  </si>
  <si>
    <t>HOSPITAL   SAN FELIPE</t>
  </si>
  <si>
    <t>HOSPITAL   LOS  ANDES</t>
  </si>
  <si>
    <t xml:space="preserve">HOSPITAL   LLAY  LLAY  </t>
  </si>
  <si>
    <t>HOSPITAL   PUTAENDO</t>
  </si>
  <si>
    <t xml:space="preserve">HOSPITAL   PSIQUIATRICO </t>
  </si>
  <si>
    <t>TOTAL  EGRESOS HOSPITALARIOS POR GRUPO DE CAUSAS SEGUN COMUNAS</t>
  </si>
  <si>
    <t>D50 - D90</t>
  </si>
  <si>
    <t xml:space="preserve"> ENF. DE LA SANGRE Y ORG. HEMA</t>
  </si>
  <si>
    <t>F00 - F99</t>
  </si>
  <si>
    <t xml:space="preserve"> TRASTORNOS MENTALES</t>
  </si>
  <si>
    <t>G00 - G99</t>
  </si>
  <si>
    <t xml:space="preserve"> SIST. NERVIOSO Y ORG. SENTIDO</t>
  </si>
  <si>
    <t>H00 - H99</t>
  </si>
  <si>
    <t xml:space="preserve"> ENF. DEL OJO Y SUS ANEXOS</t>
  </si>
  <si>
    <t>L00 - L99</t>
  </si>
  <si>
    <t xml:space="preserve"> ENF. PIEL Y TEJIDO CELULAR</t>
  </si>
  <si>
    <t>M00 - M99</t>
  </si>
  <si>
    <t xml:space="preserve"> ENF. SIST. OSTEOMUSCULAR</t>
  </si>
  <si>
    <t>O00 - O99</t>
  </si>
  <si>
    <t xml:space="preserve"> EMB. PARTO  Y PUERPERIO</t>
  </si>
  <si>
    <t xml:space="preserve"> TRAUMAT.   ENVENENAMIENTO
 Y  OTRAS CAUSAS  EXTERNAS</t>
  </si>
  <si>
    <t>TOTAL  EGRESOS HOSPITALARIOS POR GRUPO DE CAUSAS SEGUN GRUPOS  ETAREOS</t>
  </si>
  <si>
    <t xml:space="preserve">H O S P I T A L E S </t>
  </si>
  <si>
    <t>% SEGUN</t>
  </si>
  <si>
    <t>PATOLOGIA</t>
  </si>
  <si>
    <t>HOSPITAL  SAN FELIPE</t>
  </si>
  <si>
    <t xml:space="preserve">  </t>
  </si>
  <si>
    <t>HOSPITAL  LLAY LLAY</t>
  </si>
  <si>
    <t>HOSPITAL  PUTAENDO</t>
  </si>
  <si>
    <t>HOSPITAL  PSIQUIATRICO</t>
  </si>
  <si>
    <t>G L O S A R I O</t>
  </si>
  <si>
    <t>Interrupción del  embarazo  antes  de  que  el  feto  haya  llegado  a  un  
estado en  que  sea  viable,(pueda vivir) generalmente  antes  de  las 20 
semanas  de gestación.</t>
  </si>
  <si>
    <t>Es aquella en que un paciente está  hospitalizado.</t>
  </si>
  <si>
    <t xml:space="preserve"> El total de la capacidad instalada en un Servicio de Hospitalización.</t>
  </si>
  <si>
    <t>El total de pacientes hospitalizados en un día o período.</t>
  </si>
  <si>
    <t xml:space="preserve">Es aquella en que el paciente permanece en observación, sin dar  origen a  hospitalización </t>
  </si>
  <si>
    <t>Diferencia entre los nacimientos  menos las defunciones dividido por la población  multiplicado por 100.</t>
  </si>
  <si>
    <t xml:space="preserve">El producto que se obtiene multiplicando el total de camas disponibles  por  el  total  de días de  un  período                                                                                                                      </t>
  </si>
  <si>
    <t>El total de camas ocupadas en un día  o en un período.</t>
  </si>
  <si>
    <t xml:space="preserve"> Paciente  que habiendo estado hospitalizado es dado de alta , vivo o fallecido.</t>
  </si>
  <si>
    <r>
      <t xml:space="preserve"> </t>
    </r>
    <r>
      <rPr>
        <sz val="10"/>
        <rFont val="Arial"/>
        <family val="2"/>
      </rPr>
      <t>Actividades de prevención dividido por el total de actividades.</t>
    </r>
  </si>
  <si>
    <r>
      <t xml:space="preserve"> </t>
    </r>
    <r>
      <rPr>
        <sz val="10"/>
        <rFont val="Arial"/>
        <family val="2"/>
      </rPr>
      <t>Población  mayor  de 65 años dividido por población  menor de 15 años</t>
    </r>
  </si>
  <si>
    <t xml:space="preserve"> Es  el grado de uso de la capacidad instalada.</t>
  </si>
  <si>
    <t>HEPATITIS C</t>
  </si>
  <si>
    <t>COLERA</t>
  </si>
  <si>
    <t>MENINGITIS LISTERIANA</t>
  </si>
  <si>
    <t>INFLUENZA    b</t>
  </si>
  <si>
    <t>ENF. MENINGO (BACTE)</t>
  </si>
  <si>
    <t>MENINGITIS BACTERIANAS NO</t>
  </si>
  <si>
    <t>SARAMPION</t>
  </si>
  <si>
    <t>ENF.  CHAGAS</t>
  </si>
  <si>
    <t>FIEBRE  AMARILLA</t>
  </si>
  <si>
    <t>ENF. CREUTZFELD-JACOB</t>
  </si>
  <si>
    <r>
      <t xml:space="preserve"> </t>
    </r>
    <r>
      <rPr>
        <sz val="10"/>
        <rFont val="Arial"/>
        <family val="2"/>
      </rPr>
      <t>Porcentaje  de defunciones  ocurridas en  personas  de  50  años  
 y  más respecto  del  total  de  defunciones.</t>
    </r>
  </si>
  <si>
    <t xml:space="preserve">Es un cociente obtenido por comparación de valores sucesivos  que  miden  
un fenómeno que  transcurre a  través  del  tiempo  y  multiplicado  por  100 </t>
  </si>
  <si>
    <t xml:space="preserve"> Es el número de días que, en promedio, cada cama disponible
 permanece desocupada  entre  el  alta de  un paciente  y  el 
 ingreso  de  otro. </t>
  </si>
  <si>
    <t xml:space="preserve">Es una proporción  multiplicada por 100 , con el objeto de facilitar
la  comprensión  del  dato. </t>
  </si>
  <si>
    <t>Es el número de días que , en promedio , cada paciente  permanece  hospitalizado, en  un  período  dado.</t>
  </si>
  <si>
    <t xml:space="preserve">Es un cociente  que expresa la fracción que corresponde  a la ocurrencia
de  determinado fenómeno, en  realción con  la  unidad, peso  que tiene  una  parte  dentro  de  un  todo. </t>
  </si>
  <si>
    <t>Fracción  en  el  cual  el  númerador   no  esta  contenido  en  el 
denominador.</t>
  </si>
  <si>
    <t xml:space="preserve">Es la cantidad de pacientes que , en promedio , ocupan  una  cama  disponible  en  un  período   dado. </t>
  </si>
  <si>
    <t>Es una medida  de probabilidad de ocurrencia  de un fenómeno en una
población  expuesta  al  riesgo de  sufrir el  mencionado  fenómeno.</t>
  </si>
  <si>
    <t>Riesgo de enfermedad por cualquier causa  presente  en una  población  en  un período  determinado.</t>
  </si>
  <si>
    <t>Número de nacidos muertos  por cada  1000 nacidos vivos</t>
  </si>
  <si>
    <t>Número de fallecidos  por  cada  1000 habitantes.</t>
  </si>
  <si>
    <t>Número fallecidos menores  de 1 año por cada 1.000  nacidos    vivos.</t>
  </si>
  <si>
    <t xml:space="preserve">Número de fallecidos mayores 28 días y menores de   1  año  por  cada  1.000  nacidos  vivos. </t>
  </si>
  <si>
    <t>VIOLENCIA  DE GENERO  VICTIMA</t>
  </si>
  <si>
    <t>VIOLENCIA  DE  GENERO  AGRESOR</t>
  </si>
  <si>
    <t>PRIMER EPISODIO ESQUIZOFRENIA CON OCUPACION REGULAR</t>
  </si>
  <si>
    <t>CECOF
STA. MARIA</t>
  </si>
  <si>
    <t xml:space="preserve">Número de mujeres fallecidas ,embarazadas y en período perinatal(hasta 40 días) por cada  1.000 nacidos  vivos.  </t>
  </si>
  <si>
    <t>Número de fallecidos menores de 28 días por cada   1.000   nacidos  vivos.</t>
  </si>
  <si>
    <t>Número de fallecidos menores de 7 días por cada 1.000  nacidos  vivos.</t>
  </si>
  <si>
    <t>Nacidos muertos más fallecidos &lt; 7 días por cada 1.000  nacidos  vivos.</t>
  </si>
  <si>
    <t>Número de recién  nacidos vivos por cada  1000 habitantes.</t>
  </si>
  <si>
    <t>Cecof Cerrillos</t>
  </si>
  <si>
    <t>CESFAM
LLAY LLAY</t>
  </si>
  <si>
    <t>CESFAM
CORDILLERA</t>
  </si>
  <si>
    <t>Probabilidad de encontrar enfermos de cualquier causa en una población  en  un  momento o  período  dado.</t>
  </si>
  <si>
    <t>2.</t>
  </si>
  <si>
    <t>3.</t>
  </si>
  <si>
    <t>5.</t>
  </si>
  <si>
    <t>6.</t>
  </si>
  <si>
    <t>7.</t>
  </si>
  <si>
    <t>8.</t>
  </si>
  <si>
    <t>9.</t>
  </si>
  <si>
    <t>10.</t>
  </si>
  <si>
    <t>11.</t>
  </si>
  <si>
    <t>12.</t>
  </si>
  <si>
    <t>13.</t>
  </si>
  <si>
    <t>14.</t>
  </si>
  <si>
    <t>15.</t>
  </si>
  <si>
    <t>2.  1.</t>
  </si>
  <si>
    <t>4.</t>
  </si>
  <si>
    <t>16.</t>
  </si>
  <si>
    <t>Enfermedades Transmisibles...............................................................</t>
  </si>
  <si>
    <t>3.  1.</t>
  </si>
  <si>
    <t>Porcentaje  de cesáreas del total de partos..........................................</t>
  </si>
  <si>
    <t>Nacidos Vivos y Muertos según Peso , atención prof. Parto por Comuna..</t>
  </si>
  <si>
    <t>Tendencia  Esterilización Femenina por  Establecimiento......................</t>
  </si>
  <si>
    <t>Consultas  y  controles   programa infantil   nivel  primario......................</t>
  </si>
  <si>
    <t>Consultas  y  controles  programa adolescente nivel  primario.................</t>
  </si>
  <si>
    <t>Consultas  y  controles  programa de la mujer  nivel  primario..................</t>
  </si>
  <si>
    <t>Consultas  y  controles  programa adulto nivel primario...........................</t>
  </si>
  <si>
    <t>Consultas  y  controles  programa adulto Mayor  nivel primario..........................</t>
  </si>
  <si>
    <t>Consolidado nivel primario....................................................................</t>
  </si>
  <si>
    <t>Consultas  Psicólogo  nivel primario...................................</t>
  </si>
  <si>
    <t>17.</t>
  </si>
  <si>
    <t>Consultas  Médicas  nivel primario...................................</t>
  </si>
  <si>
    <t>18.</t>
  </si>
  <si>
    <t>Consultas   programa infantil  nivel  secundario....................</t>
  </si>
  <si>
    <t>19.</t>
  </si>
  <si>
    <t>Consultas   programa adolescente nivel secundario..............</t>
  </si>
  <si>
    <t>20.</t>
  </si>
  <si>
    <t>Consultas   programa adulto nivel secundario........................</t>
  </si>
  <si>
    <t>21.</t>
  </si>
  <si>
    <t>Consultas   programa adulto Mayor  nivel secundario..........................</t>
  </si>
  <si>
    <t>22.</t>
  </si>
  <si>
    <t>Consolidado nivel  secundario..............................................................</t>
  </si>
  <si>
    <t>23.</t>
  </si>
  <si>
    <t>Interconsultas Generadas  en Atención  Primaria…………………………..</t>
  </si>
  <si>
    <t>Interconsultas APS atendidas  en  el  nivel secundario………………………..</t>
  </si>
  <si>
    <t>24.</t>
  </si>
  <si>
    <t>Personas  atendidas  y  prestaciones  GES ………………………………..</t>
  </si>
  <si>
    <t>25.</t>
  </si>
  <si>
    <t>Cecof  Los  Andes</t>
  </si>
  <si>
    <t>Cecof  San Felipe</t>
  </si>
  <si>
    <t>Cecof  las Cadenas</t>
  </si>
  <si>
    <t>Registro  Atenciones  OIRS …………………………………………………..</t>
  </si>
  <si>
    <t>26.</t>
  </si>
  <si>
    <t>27.</t>
  </si>
  <si>
    <t xml:space="preserve"> CECOF San  Felipe</t>
  </si>
  <si>
    <t xml:space="preserve"> Hospital de Llay Llay</t>
  </si>
  <si>
    <t>28.</t>
  </si>
  <si>
    <t>29.</t>
  </si>
  <si>
    <t>Programa de Alimentación Complementaria..........................................</t>
  </si>
  <si>
    <t>30.</t>
  </si>
  <si>
    <t>Población  con  Empa  vigente  ………………………………………………</t>
  </si>
  <si>
    <t>31.</t>
  </si>
  <si>
    <t>32.</t>
  </si>
  <si>
    <t>Tasa de  prevención  odontológica.......................................................................</t>
  </si>
  <si>
    <t>Consultas  de Urgencia según  Establecimientos..................................</t>
  </si>
  <si>
    <t>34.</t>
  </si>
  <si>
    <t>35.</t>
  </si>
  <si>
    <t>36.</t>
  </si>
  <si>
    <t>Interv. Quir. Electivas y  Urgencia  según establecimientos..........................</t>
  </si>
  <si>
    <t>37.</t>
  </si>
  <si>
    <t>Perfil de intervenciones quirúrgicas .......................................................</t>
  </si>
  <si>
    <t>38.</t>
  </si>
  <si>
    <t>40.</t>
  </si>
  <si>
    <t xml:space="preserve"> CECOF  LOS  ANDES</t>
  </si>
  <si>
    <t xml:space="preserve"> CECOF STA.  MARIA</t>
  </si>
  <si>
    <t>41.</t>
  </si>
  <si>
    <t>42.</t>
  </si>
  <si>
    <t>44.</t>
  </si>
  <si>
    <t>45.</t>
  </si>
  <si>
    <t>46.</t>
  </si>
  <si>
    <t>47.</t>
  </si>
  <si>
    <t>48.</t>
  </si>
  <si>
    <t>49.</t>
  </si>
  <si>
    <t>43.</t>
  </si>
  <si>
    <t>DIRECCION</t>
  </si>
  <si>
    <t>PUTAENDO</t>
  </si>
  <si>
    <t>PSIQUIATRICO</t>
  </si>
  <si>
    <t xml:space="preserve">   ADMINISTRATIVOS</t>
  </si>
  <si>
    <t xml:space="preserve">   AUXILIARES</t>
  </si>
  <si>
    <t xml:space="preserve">   MEDICOS</t>
  </si>
  <si>
    <t xml:space="preserve">   DENTISTAS</t>
  </si>
  <si>
    <t xml:space="preserve">    T O T A L </t>
  </si>
  <si>
    <t>DISTANCIA  EN  KM  DESDE  ESTABLECIMIENTOS  PRIMARIOS  A  CENTROS</t>
  </si>
  <si>
    <t>DE  MAYOR  COMPLEJIDAD  SERV.  DE  SALUD  ACONCAGUA</t>
  </si>
  <si>
    <t>POSTAS</t>
  </si>
  <si>
    <t>HOSP. TIPO  4</t>
  </si>
  <si>
    <t>HOSP. TIPO  2 y 3</t>
  </si>
  <si>
    <t>VIÑA O VALPARAISO</t>
  </si>
  <si>
    <t>PIGUCHEN</t>
  </si>
  <si>
    <t>GUZMANES</t>
  </si>
  <si>
    <t>ORILLA</t>
  </si>
  <si>
    <t>QUEB. HERRERA</t>
  </si>
  <si>
    <t>STA. FILOMENA</t>
  </si>
  <si>
    <t>STA. MARIA</t>
  </si>
  <si>
    <t>LAS CADENAS</t>
  </si>
  <si>
    <t>CURIMON</t>
  </si>
  <si>
    <t>SAN FELIPE</t>
  </si>
  <si>
    <t>HOSP. TIPO  1</t>
  </si>
  <si>
    <t>PANQUEHUE</t>
  </si>
  <si>
    <t>CERRILLOS</t>
  </si>
  <si>
    <t>CATEMU</t>
  </si>
  <si>
    <t>LLAY  LLAY</t>
  </si>
  <si>
    <t>RIO  BLANCO</t>
  </si>
  <si>
    <t>SAN VICENTE</t>
  </si>
  <si>
    <t>CALLE  LARGA</t>
  </si>
  <si>
    <t>LO CALVO</t>
  </si>
  <si>
    <t>LOS  ANDES</t>
  </si>
  <si>
    <t>C. BOTADO</t>
  </si>
  <si>
    <t>SAN ESTEBAN</t>
  </si>
  <si>
    <t>C. AHUMADA</t>
  </si>
  <si>
    <t>RIO COLORADO</t>
  </si>
  <si>
    <t>RINCONADA</t>
  </si>
  <si>
    <t>DISTANCIA 
APROXIMADA
EN KILOMETROS</t>
  </si>
  <si>
    <t>H.LOS  ANDES</t>
  </si>
  <si>
    <t>H.SAN FELIPE</t>
  </si>
  <si>
    <t>C.SAN FELIPE</t>
  </si>
  <si>
    <t>H.PUTAENDO</t>
  </si>
  <si>
    <t>C.PUTAENDO</t>
  </si>
  <si>
    <t>H.LLAY  LLAY</t>
  </si>
  <si>
    <t>C.LLAY  LLAY</t>
  </si>
  <si>
    <t>VIÑA O VALPSO</t>
  </si>
  <si>
    <t>Q. HERRERA</t>
  </si>
  <si>
    <t xml:space="preserve">  ESTA
MENTOS</t>
  </si>
  <si>
    <t>PLANTA</t>
  </si>
  <si>
    <t>LEY</t>
  </si>
  <si>
    <t xml:space="preserve">  SUBTOTAL</t>
  </si>
  <si>
    <t xml:space="preserve"> LEY</t>
  </si>
  <si>
    <t xml:space="preserve">  DIRECTIVOS</t>
  </si>
  <si>
    <t>HOSP. SAN
CAMILO</t>
  </si>
  <si>
    <t xml:space="preserve">HOSP. LOS
ANDES </t>
  </si>
  <si>
    <t>HOSP.
LLAY LLAY</t>
  </si>
  <si>
    <t>HOSP.
PUTAENDO</t>
  </si>
  <si>
    <t xml:space="preserve">HOSP.
PSIQUIATRICO </t>
  </si>
  <si>
    <t>CONS. GRAL.
SAN FELIPE</t>
  </si>
  <si>
    <t>TOTAL
DOTACION</t>
  </si>
  <si>
    <t xml:space="preserve">  DENTISTA</t>
  </si>
  <si>
    <t xml:space="preserve">   DIRECTIVOS</t>
  </si>
  <si>
    <t xml:space="preserve">   PROFESIONAL</t>
  </si>
  <si>
    <t xml:space="preserve">  TECNICOS</t>
  </si>
  <si>
    <t xml:space="preserve">  MEDICO</t>
  </si>
  <si>
    <t xml:space="preserve">  Q. FARMACEUTICO</t>
  </si>
  <si>
    <t xml:space="preserve">  BIOQUIMICOS</t>
  </si>
  <si>
    <t>DOTACION   SERVICIO  DE  SALUD  ACONCAGUA  POR  ESTABLECIMIENTOS</t>
  </si>
  <si>
    <t>DOTACION   DE  FUNCIONARIOS  DE  ESTABLECIMIENTOS  DE  LA  SALUD  MUNICIPAL</t>
  </si>
  <si>
    <t>Cecof Lo Calvo</t>
  </si>
  <si>
    <t xml:space="preserve">   ODONTOLOGOS</t>
  </si>
  <si>
    <t xml:space="preserve">   PSICOLOGO/A</t>
  </si>
  <si>
    <t xml:space="preserve">   MATRON/A</t>
  </si>
  <si>
    <t xml:space="preserve">   ENFERMERA/O</t>
  </si>
  <si>
    <t xml:space="preserve">   ASISTENTE  SOCIAL</t>
  </si>
  <si>
    <t xml:space="preserve">   NUTRICIONISTA</t>
  </si>
  <si>
    <t xml:space="preserve">   KINESIOLOGOS</t>
  </si>
  <si>
    <t xml:space="preserve">   OTROS CAT. B</t>
  </si>
  <si>
    <t xml:space="preserve">  TOTAL CAT. C</t>
  </si>
  <si>
    <t xml:space="preserve">  TOTAL CAT. D</t>
  </si>
  <si>
    <t xml:space="preserve">  TOTAL CAT. E</t>
  </si>
  <si>
    <t xml:space="preserve">  TOTAL CAT. F</t>
  </si>
  <si>
    <t>SAN 
ESTEBAN</t>
  </si>
  <si>
    <t>CALLE
LARGA</t>
  </si>
  <si>
    <t>SAN 
FELIPE</t>
  </si>
  <si>
    <t>SANTA
MARIA</t>
  </si>
  <si>
    <t xml:space="preserve">  CATEGORIAS</t>
  </si>
  <si>
    <t>OTRAS</t>
  </si>
  <si>
    <t>CATEGORIAS</t>
  </si>
  <si>
    <t>CATEGORIA</t>
  </si>
  <si>
    <t>A</t>
  </si>
  <si>
    <t>B</t>
  </si>
  <si>
    <t xml:space="preserve">   PLANTA</t>
  </si>
  <si>
    <t>Servicios de Salud 
y Comunas</t>
  </si>
  <si>
    <t>Sexo</t>
  </si>
  <si>
    <t>Hombres</t>
  </si>
  <si>
    <t>Mujeres</t>
  </si>
  <si>
    <t>Total</t>
  </si>
  <si>
    <t>0-4</t>
  </si>
  <si>
    <t>5-9</t>
  </si>
  <si>
    <t>10-14</t>
  </si>
  <si>
    <t>15-19</t>
  </si>
  <si>
    <t>20-24</t>
  </si>
  <si>
    <t>25-29</t>
  </si>
  <si>
    <t>30-34</t>
  </si>
  <si>
    <t>35-39</t>
  </si>
  <si>
    <t>40-44</t>
  </si>
  <si>
    <t>45-49</t>
  </si>
  <si>
    <t>50-54</t>
  </si>
  <si>
    <t>55-59</t>
  </si>
  <si>
    <t>60-64</t>
  </si>
  <si>
    <t>65-69</t>
  </si>
  <si>
    <t>70-74</t>
  </si>
  <si>
    <t>75-79</t>
  </si>
  <si>
    <t>80 y +</t>
  </si>
  <si>
    <t>POBLACION URBANA , RURAL , SUPERFICIE Y DENSIDAD SEGUN  COMUNA</t>
  </si>
  <si>
    <t>P O B L A C I O N</t>
  </si>
  <si>
    <t>%</t>
  </si>
  <si>
    <t>SUPERFICIE</t>
  </si>
  <si>
    <t>DENSIDAD</t>
  </si>
  <si>
    <t xml:space="preserve">   COMUNAS</t>
  </si>
  <si>
    <t>URBANA</t>
  </si>
  <si>
    <t>RURAL</t>
  </si>
  <si>
    <t>TOTAL</t>
  </si>
  <si>
    <t>RURALIDAD</t>
  </si>
  <si>
    <t>KM</t>
  </si>
  <si>
    <t>(hab. / Km)</t>
  </si>
  <si>
    <t xml:space="preserve">  LOS ANDES</t>
  </si>
  <si>
    <t xml:space="preserve">  SAN ESTEBAN</t>
  </si>
  <si>
    <t xml:space="preserve">  CALLE LARGA</t>
  </si>
  <si>
    <t xml:space="preserve">  RINCONADA</t>
  </si>
  <si>
    <t xml:space="preserve">  PROV. LOS  ANDES</t>
  </si>
  <si>
    <t xml:space="preserve">  SAN FELIPE</t>
  </si>
  <si>
    <t xml:space="preserve">  PUTAENDO</t>
  </si>
  <si>
    <t xml:space="preserve">  STA.  MARIA</t>
  </si>
  <si>
    <t xml:space="preserve">  PANQUEHUE</t>
  </si>
  <si>
    <t xml:space="preserve">  LLAY - LLAY</t>
  </si>
  <si>
    <t xml:space="preserve">  CATEMU</t>
  </si>
  <si>
    <t xml:space="preserve"> CECOF SAN FELIPE</t>
  </si>
  <si>
    <t xml:space="preserve">  PROV. SAN  FELIPE</t>
  </si>
  <si>
    <t xml:space="preserve">  T O T A L </t>
  </si>
  <si>
    <t>POBLACION  TOTAL  SERVICIO DE SALUD</t>
  </si>
  <si>
    <t>COMUNAS</t>
  </si>
  <si>
    <t>-1a.</t>
  </si>
  <si>
    <t>12 - 23 m.</t>
  </si>
  <si>
    <t>2 - 5 a.</t>
  </si>
  <si>
    <t>6 - 9 a.</t>
  </si>
  <si>
    <t>10 - 14 a.</t>
  </si>
  <si>
    <t>15 - 19 a.</t>
  </si>
  <si>
    <t>20 - 44 a.</t>
  </si>
  <si>
    <t>45 - 64 a.</t>
  </si>
  <si>
    <t>65 y + a.</t>
  </si>
  <si>
    <t>C. LOS ANDES</t>
  </si>
  <si>
    <t>*</t>
  </si>
  <si>
    <t>Río Blanco</t>
  </si>
  <si>
    <t>V. O'Higgins</t>
  </si>
  <si>
    <t>Saladillo</t>
  </si>
  <si>
    <t>C. SAN ESTEBAN</t>
  </si>
  <si>
    <t>San Esteban</t>
  </si>
  <si>
    <t>Cariño botado</t>
  </si>
  <si>
    <t>Río Colorado</t>
  </si>
  <si>
    <t>C. Ahumada</t>
  </si>
  <si>
    <t>San Francisco</t>
  </si>
  <si>
    <t>C. CALLE LARGA</t>
  </si>
  <si>
    <t>Calle Larga</t>
  </si>
  <si>
    <t>San Vicente</t>
  </si>
  <si>
    <t>C. RINCONADA</t>
  </si>
  <si>
    <t>Rinconada</t>
  </si>
  <si>
    <t>Casuto</t>
  </si>
  <si>
    <t>Auco</t>
  </si>
  <si>
    <t>PROV. LOS ANDES</t>
  </si>
  <si>
    <t>San Felipe</t>
  </si>
  <si>
    <t>Curimón</t>
  </si>
  <si>
    <t>C. PUTAENDO</t>
  </si>
  <si>
    <t>Putaendo</t>
  </si>
  <si>
    <t>Queb. Herrera</t>
  </si>
  <si>
    <t>Las Coimas</t>
  </si>
  <si>
    <t>Rinc. de Silva</t>
  </si>
  <si>
    <t xml:space="preserve">La Orilla </t>
  </si>
  <si>
    <t>Granallas</t>
  </si>
  <si>
    <t>Guzmanes</t>
  </si>
  <si>
    <t xml:space="preserve">Piguchen </t>
  </si>
  <si>
    <t>Lo Vicuña</t>
  </si>
  <si>
    <t>Casablanca</t>
  </si>
  <si>
    <t>Los Patos</t>
  </si>
  <si>
    <t>C. STA MARIA</t>
  </si>
  <si>
    <t>Sta. María</t>
  </si>
  <si>
    <t>Sta. Filom.-Jahuel</t>
  </si>
  <si>
    <t>C. PANQUEHUE</t>
  </si>
  <si>
    <t>Panquehue</t>
  </si>
  <si>
    <t>Esc. Palomar</t>
  </si>
  <si>
    <t>Viña Errazuriz</t>
  </si>
  <si>
    <t>Lo Campo</t>
  </si>
  <si>
    <t>C. LLAY LLAY</t>
  </si>
  <si>
    <t>Llay  Llay</t>
  </si>
  <si>
    <t>E. Meiggs</t>
  </si>
  <si>
    <t xml:space="preserve">Los Loros </t>
  </si>
  <si>
    <t>Las Vegas</t>
  </si>
  <si>
    <t>C. CATEMU</t>
  </si>
  <si>
    <t>Catemu</t>
  </si>
  <si>
    <t xml:space="preserve">Ñilhue </t>
  </si>
  <si>
    <t>Compuertas</t>
  </si>
  <si>
    <t>San José</t>
  </si>
  <si>
    <t>Reinoso</t>
  </si>
  <si>
    <t>Sta. Isabel</t>
  </si>
  <si>
    <t>Sta. Margarita</t>
  </si>
  <si>
    <t xml:space="preserve">El Cobre </t>
  </si>
  <si>
    <t>El Seco</t>
  </si>
  <si>
    <t>PROV. SAN FELIPE</t>
  </si>
  <si>
    <t>T O T A L</t>
  </si>
  <si>
    <t>POBLACION  TOTAL  FEMENINA SERVICIO DE SALUD</t>
  </si>
  <si>
    <t>-10a.</t>
  </si>
  <si>
    <t>45 - 49 a.</t>
  </si>
  <si>
    <t>50 - 64 a.</t>
  </si>
  <si>
    <t>EMBARA-
ZADA</t>
  </si>
  <si>
    <t xml:space="preserve">ÍNDICE DE VEJEZ  POR COMUNAS </t>
  </si>
  <si>
    <t xml:space="preserve">SERVICIO DE SALUD   ACONCAGUA  </t>
  </si>
  <si>
    <t>TASA DE FECUNDIDAD SEGUN COMUNAS</t>
  </si>
  <si>
    <t>POB. FEM.
TOTAL</t>
  </si>
  <si>
    <t>% DE MUJERES 
EN EDAD FERTIL</t>
  </si>
  <si>
    <t>MUJERES
15 - 49 AÑOS</t>
  </si>
  <si>
    <t xml:space="preserve">  TASA
FECUNDIDAD
  %o</t>
  </si>
  <si>
    <t xml:space="preserve"> LOS ANDES</t>
  </si>
  <si>
    <t xml:space="preserve"> SAN ESTEBAN</t>
  </si>
  <si>
    <t xml:space="preserve"> RINCONADA</t>
  </si>
  <si>
    <t xml:space="preserve"> SAN FELIPE</t>
  </si>
  <si>
    <t xml:space="preserve"> PUTAENDO</t>
  </si>
  <si>
    <t xml:space="preserve"> STA. MARIA</t>
  </si>
  <si>
    <t xml:space="preserve"> PANQUEHUE</t>
  </si>
  <si>
    <t xml:space="preserve"> LLAY  LLAY</t>
  </si>
  <si>
    <t xml:space="preserve"> CATEMU</t>
  </si>
  <si>
    <t xml:space="preserve"> T O T A L </t>
  </si>
  <si>
    <t>CRECIMIENTO   VEGETATIVO  POR  PROVINCIAS,   COMUNAS  Y  AÑOS</t>
  </si>
  <si>
    <t xml:space="preserve">SERVICIO DE SALUD   ACONCAGUA   </t>
  </si>
  <si>
    <t xml:space="preserve"> CESFAM. LLAY  LLAY</t>
  </si>
  <si>
    <t xml:space="preserve"> CESFAM  STA. MARIA</t>
  </si>
  <si>
    <t>LOS ANDES</t>
  </si>
  <si>
    <t>SAN  ESTEBAN</t>
  </si>
  <si>
    <t>PROV. LOS  ANDES</t>
  </si>
  <si>
    <t>SAN  FELIPE</t>
  </si>
  <si>
    <t>STA.  MARIA</t>
  </si>
  <si>
    <t xml:space="preserve">LLAY  LLAY  </t>
  </si>
  <si>
    <t>PROV.  SAN  FELIPE</t>
  </si>
  <si>
    <t xml:space="preserve">T O T A L </t>
  </si>
  <si>
    <t>POBLACION  SEGUN  PAIS REGION  SERV. DE SALUD  Y COMUNAS</t>
  </si>
  <si>
    <t xml:space="preserve"> P R O V I N C I A S   Y   C O M U N A S</t>
  </si>
  <si>
    <t>AÑOS</t>
  </si>
  <si>
    <t>CECOF LO  CALVO</t>
  </si>
  <si>
    <t>CECOF LOS ANDES</t>
  </si>
  <si>
    <t>CECOF  LAS  CADENAS</t>
  </si>
  <si>
    <t>CECOF  CERRILLOS</t>
  </si>
  <si>
    <t>PAIS</t>
  </si>
  <si>
    <t>REGION</t>
  </si>
  <si>
    <t>SERV. SALUD</t>
  </si>
  <si>
    <t>PROV.</t>
  </si>
  <si>
    <t>ACONCAGUA</t>
  </si>
  <si>
    <t>SAN ESTEB.</t>
  </si>
  <si>
    <t>CALLE LAR.</t>
  </si>
  <si>
    <t xml:space="preserve">SAN FELIPE </t>
  </si>
  <si>
    <t>LLAY LLAY</t>
  </si>
  <si>
    <t>CECOF</t>
  </si>
  <si>
    <t>San Felipe  N°  2</t>
  </si>
  <si>
    <t>NATALIDAD SEGUN PAIS REGION  SERV. DE SALUD  Y COMUNAS</t>
  </si>
  <si>
    <t>Nº</t>
  </si>
  <si>
    <t>TASA</t>
  </si>
  <si>
    <t>MORTALIDAD  FETAL  TARDIA SEGUN PAIS REGION  SERV. DE SALUD  Y COMUNAS</t>
  </si>
  <si>
    <t>MORTALIDAD  PERINATAL  SEGUN PAIS REGION  SERV. DE SALUD  Y COMUNAS</t>
  </si>
  <si>
    <t xml:space="preserve">NACIDOS 
VIVOS  </t>
  </si>
  <si>
    <t xml:space="preserve">           TASA        POR  1.000  Nacidos vivos</t>
  </si>
  <si>
    <t>MORTALIDAD  NEONATAL PRECOZ  SEGUN PAIS REGION  SERV. DE SALUD  Y COMUNAS</t>
  </si>
  <si>
    <t>MORTALIDAD  NEONATAL   SEGUN PAIS REGION  SERV. DE SALUD  Y COMUNAS</t>
  </si>
  <si>
    <t>MORTALIDAD  INFANTIL TARDIA   SEGUN  PAIS REGION  SERV. DE SALUD  Y COMUNAS</t>
  </si>
  <si>
    <t>MORTALIDAD  INFANTIL    SEGUN  PAIS REGION  SERV. DE SALUD  Y COMUNAS</t>
  </si>
  <si>
    <t>MORTALIDAD  MATERNA   SEGUN  PAIS REGION  SERV. DE SALUD  Y COMUNAS</t>
  </si>
  <si>
    <t>MORTALIDAD  GENERAL   SEGUN  PAIS REGION  SERV. DE SALUD  Y COMUNAS</t>
  </si>
  <si>
    <t>( CIE  10 )</t>
  </si>
  <si>
    <t xml:space="preserve">   CODIGO</t>
  </si>
  <si>
    <t>P R O V I N C I A S     Y    C O M U N A S</t>
  </si>
  <si>
    <t xml:space="preserve">   INTERNA-
   CIONAL</t>
  </si>
  <si>
    <t xml:space="preserve"> GRUPO  DE CAUSAS</t>
  </si>
  <si>
    <t>PROV.
LOS ANDES</t>
  </si>
  <si>
    <t>S. ESTEBAN</t>
  </si>
  <si>
    <t>C. LARGA</t>
  </si>
  <si>
    <t>PROV.
SAN FELIPE</t>
  </si>
  <si>
    <t>S. FELIPE</t>
  </si>
  <si>
    <t>LLAY-LLAY</t>
  </si>
  <si>
    <t>OTROS</t>
  </si>
  <si>
    <t>I 00 - I 99</t>
  </si>
  <si>
    <t xml:space="preserve"> ENF. APARATO CIRCULATORIO</t>
  </si>
  <si>
    <t>C00 - D48</t>
  </si>
  <si>
    <t xml:space="preserve"> TUMORES</t>
  </si>
  <si>
    <t>J00 - J99</t>
  </si>
  <si>
    <t xml:space="preserve"> ENF. APARATO RESPIRATORIO</t>
  </si>
  <si>
    <t>*  Cesfam  Llay llay, San  Felipe y  Los  Andes</t>
  </si>
  <si>
    <t>S00 - Z99</t>
  </si>
  <si>
    <t xml:space="preserve"> TRAUMAT. Y  ENVENENAMIENTO</t>
  </si>
  <si>
    <t>K00 - K99</t>
  </si>
  <si>
    <t xml:space="preserve"> ENF. APARATO DIGESTIVO</t>
  </si>
  <si>
    <t>N00 - N99</t>
  </si>
  <si>
    <t xml:space="preserve"> ENF. APARATO GENITOURINARIO</t>
  </si>
  <si>
    <t>A00 - B99</t>
  </si>
  <si>
    <t xml:space="preserve"> INFECC.  Y PARASITARIAS</t>
  </si>
  <si>
    <t>R00 - R99</t>
  </si>
  <si>
    <t>SIGNOS, ENF. MAL DEFINIDAS</t>
  </si>
  <si>
    <t>E00 - E99</t>
  </si>
  <si>
    <t xml:space="preserve"> ENF. GLANDULAS ENDOCRINAS</t>
  </si>
  <si>
    <t>P00 - P99</t>
  </si>
  <si>
    <t xml:space="preserve"> AFEC. PERIODO PERINATAL</t>
  </si>
  <si>
    <t>Q00 - Q99</t>
  </si>
  <si>
    <t xml:space="preserve"> ANOMALIAS  CONGENITAS</t>
  </si>
  <si>
    <t xml:space="preserve">G R U P O S       E T A R E O S </t>
  </si>
  <si>
    <t>N.M</t>
  </si>
  <si>
    <t>0 - 7d</t>
  </si>
  <si>
    <t>7-27 d</t>
  </si>
  <si>
    <t>1 - 11 m</t>
  </si>
  <si>
    <t>1 - 4 a</t>
  </si>
  <si>
    <t>5 - 9 a</t>
  </si>
  <si>
    <t>10 - 14 a</t>
  </si>
  <si>
    <t>15 -19 a</t>
  </si>
  <si>
    <t>20 - 44 a</t>
  </si>
  <si>
    <t>45 - 64 a</t>
  </si>
  <si>
    <t>65 y + a</t>
  </si>
  <si>
    <t xml:space="preserve"> SIGNOS, ENF. MAL DEFINIDAS</t>
  </si>
  <si>
    <t xml:space="preserve"> OTRAS</t>
  </si>
  <si>
    <t xml:space="preserve"> TOTAL</t>
  </si>
  <si>
    <t>pais</t>
  </si>
  <si>
    <t>Paìs</t>
  </si>
  <si>
    <t>SS</t>
  </si>
  <si>
    <t>AÑOS  DE  VIDA POTENCIALMENTE   PERDIDOS  (AVPP) SEGÚN  GRUPO  DE  CAUSAS Y  QUINQUENIOS</t>
  </si>
  <si>
    <t>1 - 4</t>
  </si>
  <si>
    <t>5 - 9</t>
  </si>
  <si>
    <t>10 - 14</t>
  </si>
  <si>
    <t>15 - 19</t>
  </si>
  <si>
    <t>20 - 24</t>
  </si>
  <si>
    <t>25 - 29</t>
  </si>
  <si>
    <t>30 - 34</t>
  </si>
  <si>
    <t>35 - 39</t>
  </si>
  <si>
    <t>40 - 44</t>
  </si>
  <si>
    <t>45 - 49</t>
  </si>
  <si>
    <t>50 - 54</t>
  </si>
  <si>
    <t>55 - 59</t>
  </si>
  <si>
    <t>60 - 64</t>
  </si>
  <si>
    <t>65 - 69</t>
  </si>
  <si>
    <t>70 - 74</t>
  </si>
  <si>
    <t>75 - 79</t>
  </si>
  <si>
    <t>80 Y +</t>
  </si>
  <si>
    <t xml:space="preserve">Nota :  Se  consideraron   de  1  a  79   años  </t>
  </si>
  <si>
    <t>Nota:  no  incluye  los  menores  de  1  año  en  el  total</t>
  </si>
  <si>
    <t xml:space="preserve"> U.T.I.  NEONATAL</t>
  </si>
  <si>
    <t>CECOF  Q. HERRERA</t>
  </si>
  <si>
    <t xml:space="preserve">NOTIFICACIONES  DE LAS  PRINCIPALES  </t>
  </si>
  <si>
    <t>ENFERMEDADES  TRANSMISIBLES</t>
  </si>
  <si>
    <t xml:space="preserve">PAIS  </t>
  </si>
  <si>
    <t>S.S.ACONCAGUA</t>
  </si>
  <si>
    <t>ENFERMEDADES</t>
  </si>
  <si>
    <t xml:space="preserve">CASOS </t>
  </si>
  <si>
    <t>DIFTERIA</t>
  </si>
  <si>
    <t>TOS FERINA</t>
  </si>
  <si>
    <t>TETANO NEOT</t>
  </si>
  <si>
    <t>RESTO TETANO</t>
  </si>
  <si>
    <t>RUBEOLA</t>
  </si>
  <si>
    <t>TIFOIDEA  Y PARAT.</t>
  </si>
  <si>
    <t>HEPATITIS A</t>
  </si>
  <si>
    <t>HEPATITIS B</t>
  </si>
  <si>
    <t>RESTOS DE HEPATIT.</t>
  </si>
  <si>
    <t>TUBERCULOSIS</t>
  </si>
  <si>
    <t>CARBUNCO</t>
  </si>
  <si>
    <t>BRUCELOSIS</t>
  </si>
  <si>
    <t xml:space="preserve"> VIH/SIDA</t>
  </si>
  <si>
    <t>SIFILIS</t>
  </si>
  <si>
    <t>GONORREA</t>
  </si>
  <si>
    <t>PAROTIDITIS</t>
  </si>
  <si>
    <t>MALARIA</t>
  </si>
  <si>
    <t>HIDATIDOSIS</t>
  </si>
  <si>
    <t>TRIQUINOISIS</t>
  </si>
  <si>
    <t>HANTAVIRUS</t>
  </si>
  <si>
    <t>DENGUE</t>
  </si>
  <si>
    <t>Tasas   por  100.000  hab.</t>
  </si>
  <si>
    <t>QUE  PRESENTAN  DESVIACIONES  EN  SU CALIFICACION  NUTRICIONAL</t>
  </si>
  <si>
    <t xml:space="preserve"> POB.  BAJO</t>
  </si>
  <si>
    <t xml:space="preserve"> COMUNA</t>
  </si>
  <si>
    <t xml:space="preserve"> LOCALIDAD</t>
  </si>
  <si>
    <t xml:space="preserve"> CONTROL</t>
  </si>
  <si>
    <t>PESO / EDAD</t>
  </si>
  <si>
    <t>PESO / TALLA</t>
  </si>
  <si>
    <t>TALLA / EDAD</t>
  </si>
  <si>
    <t xml:space="preserve"> CESFAM L.A. Nº 1 (M)</t>
  </si>
  <si>
    <t xml:space="preserve"> CESFAM L.A. Nº 2</t>
  </si>
  <si>
    <t xml:space="preserve"> CECOF L. ANDES</t>
  </si>
  <si>
    <t xml:space="preserve"> CESFAM S. ESTEBAN</t>
  </si>
  <si>
    <t xml:space="preserve"> CALLE  LARGA</t>
  </si>
  <si>
    <t xml:space="preserve"> CESFAM CALLE LARGA</t>
  </si>
  <si>
    <t xml:space="preserve"> CESFAM  RINCONADA</t>
  </si>
  <si>
    <t xml:space="preserve"> PROV.</t>
  </si>
  <si>
    <t xml:space="preserve"> CONS. S. FELIPE</t>
  </si>
  <si>
    <t xml:space="preserve"> CESFAM  S. FELIPE N° 2</t>
  </si>
  <si>
    <t xml:space="preserve"> CONS. CURIMON</t>
  </si>
  <si>
    <t xml:space="preserve"> CESFAM  PUTAENDO</t>
  </si>
  <si>
    <t xml:space="preserve"> CESDFAM  STA. MARIA</t>
  </si>
  <si>
    <t xml:space="preserve"> CECOF STA. MARIA</t>
  </si>
  <si>
    <t xml:space="preserve"> CESFAM PANQUEHUE</t>
  </si>
  <si>
    <t xml:space="preserve"> CONS. LLAY  LLAY</t>
  </si>
  <si>
    <t xml:space="preserve"> CESFAM  CATEMU</t>
  </si>
  <si>
    <t>COMUNA   Y  CALIFICACION   NUTRICIONAL</t>
  </si>
  <si>
    <t>DESNUTRIDO</t>
  </si>
  <si>
    <t>SOBRE  PESO</t>
  </si>
  <si>
    <t>OBESO</t>
  </si>
  <si>
    <t>NORMAL</t>
  </si>
  <si>
    <t>LOCALIDAD</t>
  </si>
  <si>
    <t>ESTADO  NUTRICIONAL  DE   EMBARAZADAS  USUARIAS  BAJO  CONTROL  SEGUN  COMUNAS</t>
  </si>
  <si>
    <t>OBESA</t>
  </si>
  <si>
    <t>BAJO  PESO</t>
  </si>
  <si>
    <t xml:space="preserve"> CALLE LARGA</t>
  </si>
  <si>
    <t xml:space="preserve"> SAN FELIPE </t>
  </si>
  <si>
    <t xml:space="preserve"> STA.  MARIA</t>
  </si>
  <si>
    <t xml:space="preserve"> LLAY   LLAY</t>
  </si>
  <si>
    <t xml:space="preserve"> T O T A L</t>
  </si>
  <si>
    <t>NACIMIENTOS Y PARTOS POR ESTABLECIMIENTOS</t>
  </si>
  <si>
    <t>SERVICIO DE  SALUD  ACONCAGUA</t>
  </si>
  <si>
    <t>ESTABLECIMIENTOS</t>
  </si>
  <si>
    <t xml:space="preserve"> NACIDOS</t>
  </si>
  <si>
    <t>HOSP.SAN  FELIPE</t>
  </si>
  <si>
    <t>HOSP.LOS ANDES</t>
  </si>
  <si>
    <t>HOSP. LLAY-LLAY</t>
  </si>
  <si>
    <t>SALADILLO</t>
  </si>
  <si>
    <t xml:space="preserve"> VIVOS Y MUERTOS</t>
  </si>
  <si>
    <t>N.V.</t>
  </si>
  <si>
    <t>N.M.</t>
  </si>
  <si>
    <t xml:space="preserve">   999 gr.</t>
  </si>
  <si>
    <t xml:space="preserve"> 1000 - 1499 gr.</t>
  </si>
  <si>
    <t xml:space="preserve"> 1500 - 1999 gr.</t>
  </si>
  <si>
    <t xml:space="preserve"> 2000 - 2400 gr</t>
  </si>
  <si>
    <t xml:space="preserve"> 2500 - 2999 gr</t>
  </si>
  <si>
    <t xml:space="preserve"> 3000 - 3499 gr</t>
  </si>
  <si>
    <t xml:space="preserve"> 3500 - 3999 gr.</t>
  </si>
  <si>
    <t xml:space="preserve"> 4000 - 4499</t>
  </si>
  <si>
    <t xml:space="preserve"> 4500 - y + gr.</t>
  </si>
  <si>
    <t>PARTOS SEGUN OCURRENCIA TIPO Y ATENCION</t>
  </si>
  <si>
    <t xml:space="preserve"> OCURRENCIA</t>
  </si>
  <si>
    <t xml:space="preserve">                      </t>
  </si>
  <si>
    <t xml:space="preserve"> DISTOCICO</t>
  </si>
  <si>
    <t xml:space="preserve"> GEMELAR </t>
  </si>
  <si>
    <t xml:space="preserve"> EUTOCICO</t>
  </si>
  <si>
    <t xml:space="preserve">                     </t>
  </si>
  <si>
    <t xml:space="preserve"> TIPO DE PARTOS</t>
  </si>
  <si>
    <t xml:space="preserve"> TERMINO</t>
  </si>
  <si>
    <t xml:space="preserve"> PREMATURO</t>
  </si>
  <si>
    <t xml:space="preserve"> ATENCION DEL PARTO</t>
  </si>
  <si>
    <t xml:space="preserve"> MEDICO</t>
  </si>
  <si>
    <t xml:space="preserve"> MATRONA </t>
  </si>
  <si>
    <t xml:space="preserve"> PARTOS</t>
  </si>
  <si>
    <t xml:space="preserve"> NORMALES</t>
  </si>
  <si>
    <t xml:space="preserve"> DIST.VAGINAL</t>
  </si>
  <si>
    <t xml:space="preserve"> CESAREA</t>
  </si>
  <si>
    <t>PARTOS  SEGUN EDAD DE LA MADRE</t>
  </si>
  <si>
    <t>45 Y +</t>
  </si>
  <si>
    <t>HOSP. SAN   FELIPE</t>
  </si>
  <si>
    <t>HOSP. LOS ANDES</t>
  </si>
  <si>
    <t>HOSP. LLAY LLAY</t>
  </si>
  <si>
    <t>ISAPRE RIO BLANCO</t>
  </si>
  <si>
    <t>ABORTOS SEGUN EDAD DE LA MUJER</t>
  </si>
  <si>
    <t>HOSP. SAN  CAMILO</t>
  </si>
  <si>
    <t xml:space="preserve">  GRAFICOS DE PARTOS  Y  ABORTOS SEGÚN EDAD DE LA MADRE</t>
  </si>
  <si>
    <t>SERVICIO  DE SALUD  ACONCAGUA</t>
  </si>
  <si>
    <t>PORCENTAJE DE PARTOS  SEGUN EDAD DE LA MADRE</t>
  </si>
  <si>
    <t>PORCENTAJE  DE  ABORTOS SEGUN EDAD DE LA MUJER</t>
  </si>
  <si>
    <t xml:space="preserve">PORCENTAJE  DE CESAREAS  / TOTAL DE PARTOS 
TOTAL  Y  BENEFICIARIOS  POR ESTABLECIMIENTOS </t>
  </si>
  <si>
    <t>TOTAL  beneficiarios</t>
  </si>
  <si>
    <t xml:space="preserve"> HOSP. SAN  CAMILO</t>
  </si>
  <si>
    <t xml:space="preserve"> HOSP. LOS ANDES</t>
  </si>
  <si>
    <t xml:space="preserve"> HOSP. LLAY LLAY</t>
  </si>
  <si>
    <t>Benef.</t>
  </si>
  <si>
    <t>cesareas  beneficiarios</t>
  </si>
  <si>
    <t xml:space="preserve"> HOSP. SAN   FELIPE</t>
  </si>
  <si>
    <t xml:space="preserve"> ISAPRE RIO BLANCO</t>
  </si>
  <si>
    <t>Porcentaje</t>
  </si>
  <si>
    <t xml:space="preserve"> </t>
  </si>
  <si>
    <t>RECIEN  NACIDOS VIVOS  Y MUERTOS  POR COMUNA DE RESIDENCIA</t>
  </si>
  <si>
    <t xml:space="preserve">C O M U N A S </t>
  </si>
  <si>
    <t xml:space="preserve">  P E S O</t>
  </si>
  <si>
    <t>L. ANDES</t>
  </si>
  <si>
    <t>CALLE   L.</t>
  </si>
  <si>
    <t>LLAY - LLAY</t>
  </si>
  <si>
    <t>V</t>
  </si>
  <si>
    <t>M</t>
  </si>
  <si>
    <t xml:space="preserve"> CECOF SAN  FELIPE</t>
  </si>
  <si>
    <t xml:space="preserve">         - 900 grs</t>
  </si>
  <si>
    <t>1000 - 1499 grs</t>
  </si>
  <si>
    <t>1500 - 1999 grs</t>
  </si>
  <si>
    <t>2000 - 2499 grs</t>
  </si>
  <si>
    <t>2500 - 2999 grs</t>
  </si>
  <si>
    <t xml:space="preserve">       Sub-total</t>
  </si>
  <si>
    <t>3000 - 3499 grs</t>
  </si>
  <si>
    <t>3500 - 3999 grs</t>
  </si>
  <si>
    <t>4000  y  +  grs</t>
  </si>
  <si>
    <t xml:space="preserve"> PROF. DEL  PARTO</t>
  </si>
  <si>
    <t>PERFIL  ESTERILIZACION  FEMENINA  y MASCULINA  POR ESTABLECIMIENTOS  Y GRUPOS  DE EDAD</t>
  </si>
  <si>
    <t xml:space="preserve">SERVICIO DE SALUD  ACONCAGUA    </t>
  </si>
  <si>
    <t>HOSPITAL  SAN   FELIPE</t>
  </si>
  <si>
    <t>HOSPITAL  LOS ANDES</t>
  </si>
  <si>
    <t>HOSPITAL  LLAY  -  LLAY</t>
  </si>
  <si>
    <t>GRUPOS   DE  EDAD</t>
  </si>
  <si>
    <t>- 19  AÑOS</t>
  </si>
  <si>
    <t>20 - 34  AÑOS</t>
  </si>
  <si>
    <t>35 y +  AÑOS</t>
  </si>
  <si>
    <t>TOTAL  MASCULINA</t>
  </si>
  <si>
    <t xml:space="preserve"> CONSULTAS   Y  CONTROLES  POR  ESTABLECIMIENTOS Y PROFESIONALES</t>
  </si>
  <si>
    <t>PROGRAMA  INFANTIL  NIVEL  PRIMARIO</t>
  </si>
  <si>
    <t>MEDICO</t>
  </si>
  <si>
    <t>ENFERMERA</t>
  </si>
  <si>
    <t>MATRONA</t>
  </si>
  <si>
    <t>NUTRICIONISTA</t>
  </si>
  <si>
    <t>ASISTENTE SOCIAL</t>
  </si>
  <si>
    <t xml:space="preserve">  LOS  ANDES</t>
  </si>
  <si>
    <t xml:space="preserve">  CALLE  LARGA</t>
  </si>
  <si>
    <t xml:space="preserve">  PROVINCIA    DE LOS   ANDES</t>
  </si>
  <si>
    <t xml:space="preserve">  SAN  FELIPE</t>
  </si>
  <si>
    <t xml:space="preserve"> HOSP. PSIQUIATRICO</t>
  </si>
  <si>
    <t xml:space="preserve">  LLAY  LLAY</t>
  </si>
  <si>
    <t xml:space="preserve">  PROVINCIA    DE  SAN  FELIPE</t>
  </si>
  <si>
    <t>PROGRAMA    ADOLESCENTE  NIVEL  PRIMARIO</t>
  </si>
  <si>
    <t>PROGRAMA    DE  LA  MUJER   NIVEL  PRIMARIO</t>
  </si>
  <si>
    <t>PROGRAMA    DEL  ADULTO   NIVEL  PRIMARIO</t>
  </si>
  <si>
    <t>PROGRAMA    DEL  ADULTO  MAYOR   NIVEL  PRIMARIO</t>
  </si>
  <si>
    <t>CONSOLIDADO   NIVEL  PRIMARIO</t>
  </si>
  <si>
    <t xml:space="preserve"> CONSULTAS   DE  PSICOLOGO   EN  EL  NIVEL  PRIMARIO  Y  SECUNDARIO
 SALUD  MENTAL      PSICODIAGNOSTICO Y  PSICOTERAPIA</t>
  </si>
  <si>
    <t>INFANTIL</t>
  </si>
  <si>
    <t>ADOLESCENTE</t>
  </si>
  <si>
    <t>ADULTO</t>
  </si>
  <si>
    <t>ADULTO MAYOR</t>
  </si>
  <si>
    <t xml:space="preserve"> HOSP. LOS  ANDES</t>
  </si>
  <si>
    <t xml:space="preserve"> CONSULTAS   MEDICAS  NIVEL  PRIMARIO   POR  PROGRAMA</t>
  </si>
  <si>
    <t>MATERNAL</t>
  </si>
  <si>
    <t>ADULTO  MAYOR</t>
  </si>
  <si>
    <t>SALUD  MENTAL</t>
  </si>
  <si>
    <t>CONS. IRA</t>
  </si>
  <si>
    <t xml:space="preserve"> CONS. Nº 1  (M)</t>
  </si>
  <si>
    <t xml:space="preserve"> CONS. Nº 2</t>
  </si>
  <si>
    <t xml:space="preserve"> CONS. S. ESTEBAN</t>
  </si>
  <si>
    <t xml:space="preserve"> CONS. CALLE  LARGA</t>
  </si>
  <si>
    <t xml:space="preserve"> CONS. RINCONADA</t>
  </si>
  <si>
    <t xml:space="preserve"> CONS. SAN FELIPE</t>
  </si>
  <si>
    <t xml:space="preserve"> CONS. SAN FELIPE N° 2</t>
  </si>
  <si>
    <t xml:space="preserve"> CONS. PUTAENDO</t>
  </si>
  <si>
    <t xml:space="preserve"> CONS. STA. MARIA</t>
  </si>
  <si>
    <t xml:space="preserve"> CONS. PANQUEHUE</t>
  </si>
  <si>
    <t xml:space="preserve"> CONS.  CATEMU</t>
  </si>
  <si>
    <t>PROGRAMA  INFANTIL  NIVEL  SECUNDARIO</t>
  </si>
  <si>
    <t xml:space="preserve"> CONSULTAS  MEDICAS</t>
  </si>
  <si>
    <t xml:space="preserve"> ESPECIALIDAD</t>
  </si>
  <si>
    <t xml:space="preserve"> HOSP. SAN  FELIPE</t>
  </si>
  <si>
    <t xml:space="preserve"> HOSP. LLAY  LLAY</t>
  </si>
  <si>
    <t xml:space="preserve"> PEDIATRIA</t>
  </si>
  <si>
    <t xml:space="preserve"> MEDICINA INTERNA  </t>
  </si>
  <si>
    <t xml:space="preserve"> NEONATOLOGIA</t>
  </si>
  <si>
    <t xml:space="preserve"> BRONCOPULMONAR</t>
  </si>
  <si>
    <t xml:space="preserve"> CARDIOLOGIA</t>
  </si>
  <si>
    <t xml:space="preserve"> ENDOCRINOLOGIA</t>
  </si>
  <si>
    <t xml:space="preserve"> GASTROENTEROLOGIA</t>
  </si>
  <si>
    <t xml:space="preserve"> HEMATOLOGIA</t>
  </si>
  <si>
    <t xml:space="preserve"> NEFROLOGIA</t>
  </si>
  <si>
    <t xml:space="preserve"> REUMATOLOGIA</t>
  </si>
  <si>
    <t xml:space="preserve"> DERMATOLOGIA</t>
  </si>
  <si>
    <t xml:space="preserve"> ENFER. TRANS. SEXUAL</t>
  </si>
  <si>
    <t xml:space="preserve"> NEUROLOGIA</t>
  </si>
  <si>
    <t xml:space="preserve"> PSIQUIATRIA</t>
  </si>
  <si>
    <t xml:space="preserve"> CIRUGIA</t>
  </si>
  <si>
    <t xml:space="preserve"> CIRUGIA  MAMA</t>
  </si>
  <si>
    <t xml:space="preserve"> CIRUGIA  PLASTICA</t>
  </si>
  <si>
    <t xml:space="preserve"> NEUROCIRUGIA</t>
  </si>
  <si>
    <t xml:space="preserve"> OBSTETRICIA</t>
  </si>
  <si>
    <t xml:space="preserve"> GINECOLOGIA</t>
  </si>
  <si>
    <t xml:space="preserve"> OFTALMOLOGIA</t>
  </si>
  <si>
    <t xml:space="preserve"> OTORRINOLARINGOLOGIA</t>
  </si>
  <si>
    <t xml:space="preserve"> TRAUMATOLOGIA</t>
  </si>
  <si>
    <t xml:space="preserve"> UROLOGIA</t>
  </si>
  <si>
    <t xml:space="preserve"> MEDICINA FISICA Y REHABILITA.</t>
  </si>
  <si>
    <t xml:space="preserve">  OTRAS ATENCIONES  PROFESIONALES</t>
  </si>
  <si>
    <t xml:space="preserve">  ENFERMERA</t>
  </si>
  <si>
    <t xml:space="preserve">  MATRONA</t>
  </si>
  <si>
    <t xml:space="preserve">  NUTRICIONISTA</t>
  </si>
  <si>
    <t xml:space="preserve">  PSICOLOGOS</t>
  </si>
  <si>
    <t xml:space="preserve">  FONOAUDIOLOGO</t>
  </si>
  <si>
    <t xml:space="preserve">  KINESIOLOGO</t>
  </si>
  <si>
    <t xml:space="preserve"> TERAPEUTA OCUPACIONAL</t>
  </si>
  <si>
    <t xml:space="preserve"> TECNOLOGO  MEDICO</t>
  </si>
  <si>
    <t xml:space="preserve">  ASISTENTE  SOCIAL</t>
  </si>
  <si>
    <t>PROGRAMA  ADOLESCENTE  NIVEL  SECUNDARIO</t>
  </si>
  <si>
    <t>CARDIOLOGIA</t>
  </si>
  <si>
    <t>PROGRAMA  ADULTO  NIVEL  SECUNDARIO</t>
  </si>
  <si>
    <t>PROGRAMA  ADULTO  MAYOR  NIVEL  SECUNDARIO</t>
  </si>
  <si>
    <t>CONSOLIDADO  NIVEL  SECUNDARIO</t>
  </si>
  <si>
    <t>ESPECIALIDAD</t>
  </si>
  <si>
    <t>Nº 1</t>
  </si>
  <si>
    <t>Nº 2</t>
  </si>
  <si>
    <t xml:space="preserve"> CURIMON</t>
  </si>
  <si>
    <t xml:space="preserve"> SAN FELIPE N° 2</t>
  </si>
  <si>
    <t xml:space="preserve"> LLAILLAY</t>
  </si>
  <si>
    <t xml:space="preserve"> SANTA MARIA</t>
  </si>
  <si>
    <t>&lt; 15  años</t>
  </si>
  <si>
    <t>&gt; 15  años</t>
  </si>
  <si>
    <t>Intercon
sultas APS</t>
  </si>
  <si>
    <t>TOTAL 
CONSULTAS</t>
  </si>
  <si>
    <t>PORCENTAJE  DE 
 COBERTURA</t>
  </si>
  <si>
    <t>APS</t>
  </si>
  <si>
    <t>CAE/CDT</t>
  </si>
  <si>
    <t>URGENCIA</t>
  </si>
  <si>
    <t>SERVICIO  DE  SALUD  ACONCAGUA</t>
  </si>
  <si>
    <t>HOSP. 
PUTAENDO</t>
  </si>
  <si>
    <t xml:space="preserve">  ESTABLECIMIENTOS</t>
  </si>
  <si>
    <t>RECLAMOS
RECIBIDOS</t>
  </si>
  <si>
    <t>SUGERENCIAS
RECIBIDAS</t>
  </si>
  <si>
    <t>FELICITACIONES
RECIBIDAS</t>
  </si>
  <si>
    <t>RECLAMOS
RESPONDIDOS  N° y  %</t>
  </si>
  <si>
    <t xml:space="preserve"> Hospital Los Andes</t>
  </si>
  <si>
    <t xml:space="preserve"> CES Cordillera</t>
  </si>
  <si>
    <t xml:space="preserve"> CES Centenario</t>
  </si>
  <si>
    <t xml:space="preserve"> Hospital San Camilo</t>
  </si>
  <si>
    <t xml:space="preserve"> Hospital Putaendo</t>
  </si>
  <si>
    <t xml:space="preserve"> Hospital PSiquiatrico</t>
  </si>
  <si>
    <t xml:space="preserve"> CONSULTAS   MEDICAS  NIVEL PRIMARIO  POR  ESTABLECIMIENTOS</t>
  </si>
  <si>
    <t>Población</t>
  </si>
  <si>
    <t>Ssalud</t>
  </si>
  <si>
    <t>Los  Andes</t>
  </si>
  <si>
    <t>san  esteban</t>
  </si>
  <si>
    <t>Calle  larga</t>
  </si>
  <si>
    <t>Prov.Los  andes</t>
  </si>
  <si>
    <t xml:space="preserve"> CONS. L.A. Nº 1  (M)</t>
  </si>
  <si>
    <t>san Felipe</t>
  </si>
  <si>
    <t xml:space="preserve"> CONS. L.A. Nº 2</t>
  </si>
  <si>
    <t>Sta. Maria</t>
  </si>
  <si>
    <t xml:space="preserve"> CONS. CALLE  LAR.</t>
  </si>
  <si>
    <t>llay llay</t>
  </si>
  <si>
    <t>catemu</t>
  </si>
  <si>
    <t>Prov.San felipe</t>
  </si>
  <si>
    <t xml:space="preserve">  PROVINCIA    DE SAN  FELIPE</t>
  </si>
  <si>
    <t>TASA  CONSULTA   MEDICO  HABITANTE  AÑO NIVEL PRIMARIO</t>
  </si>
  <si>
    <t>SEGÚN  COMUNA</t>
  </si>
  <si>
    <t xml:space="preserve"> PROGRAMA NACIONAL DE ALIMENTACION COMPLEMENTARIA</t>
  </si>
  <si>
    <t xml:space="preserve"> DISTRIBUCION  DE ALIMENTOS</t>
  </si>
  <si>
    <t>SUB-PROGRAMA</t>
  </si>
  <si>
    <t>ALIMENTOS</t>
  </si>
  <si>
    <t xml:space="preserve">  LECHE 26%</t>
  </si>
  <si>
    <t xml:space="preserve">   BASICO</t>
  </si>
  <si>
    <t xml:space="preserve">  L. CEREAL</t>
  </si>
  <si>
    <t xml:space="preserve"> PURITA MAMA</t>
  </si>
  <si>
    <t xml:space="preserve"> SUB-TOTAL</t>
  </si>
  <si>
    <t xml:space="preserve">   REFUERZO </t>
  </si>
  <si>
    <t xml:space="preserve">  MI  SOPITA</t>
  </si>
  <si>
    <t xml:space="preserve">  SUB-TOTAL</t>
  </si>
  <si>
    <t xml:space="preserve">  TOTAL</t>
  </si>
  <si>
    <t>POBLACION</t>
  </si>
  <si>
    <t>PACAM</t>
  </si>
  <si>
    <t>LEPTOSPIROSIS</t>
  </si>
  <si>
    <t xml:space="preserve"> ECOGRAFIAS OBSTETRICAS</t>
  </si>
  <si>
    <t xml:space="preserve"> ECOTOMOGRAFIAS  ABDOMINAL</t>
  </si>
  <si>
    <t xml:space="preserve"> TOTAL  EMPA  TOMADOS   POR  SEXO   COMUNAS  Y  ESTABLECIMIENTOS</t>
  </si>
  <si>
    <t xml:space="preserve">  COMUNAS</t>
  </si>
  <si>
    <t xml:space="preserve">CONSULTORIO </t>
  </si>
  <si>
    <t xml:space="preserve">Total  Empa
</t>
  </si>
  <si>
    <t xml:space="preserve">Pob.  Usuaria
</t>
  </si>
  <si>
    <t>Cobertura 
Pob.  Usuaria</t>
  </si>
  <si>
    <t>HOMBRES</t>
  </si>
  <si>
    <t>MUJERES</t>
  </si>
  <si>
    <t>VIGENTES</t>
  </si>
  <si>
    <t>20 - 64 AÑOS</t>
  </si>
  <si>
    <t xml:space="preserve"> PACIENTES    BAJO  CONTROL  SEGÚN  PATOLOGIA  DE  SALUD  MENTAL  </t>
  </si>
  <si>
    <t xml:space="preserve"> PATOLOGIA</t>
  </si>
  <si>
    <t>CONSULTORIOS</t>
  </si>
  <si>
    <t xml:space="preserve">SAN 
ESTEBAN </t>
  </si>
  <si>
    <t xml:space="preserve">CALLE 
LARGA </t>
  </si>
  <si>
    <t>ABUSO SEXUAL</t>
  </si>
  <si>
    <t>DEPRESIÓN POST PARTO</t>
  </si>
  <si>
    <t>TRASTORNO BIPOLAR</t>
  </si>
  <si>
    <t>DEPRESIÓN LEVE</t>
  </si>
  <si>
    <t>DEPRESIÓN MODERADA</t>
  </si>
  <si>
    <t>DEPRESIÓN GRAVE</t>
  </si>
  <si>
    <t>NÚMERO DE PACIENTES EN CONTROL
 EN EL PROGRAMA</t>
  </si>
  <si>
    <t>CECOF
SAN.FELIPE</t>
  </si>
  <si>
    <t xml:space="preserve"> CESFAM  LLAY  LLAY</t>
  </si>
  <si>
    <t>INTERCONSULTAS</t>
  </si>
  <si>
    <t>RESOLUTIVIDAD</t>
  </si>
  <si>
    <t>ODONTOLOGO</t>
  </si>
  <si>
    <t>CONSULTAS</t>
  </si>
  <si>
    <t>CONSULTAS *</t>
  </si>
  <si>
    <t>Nota: Consultas * =  Primeras consultas  mas consultas  urgencia</t>
  </si>
  <si>
    <t>CONSULTAS NUEVAS/TOTAL CONS.</t>
  </si>
  <si>
    <t xml:space="preserve"> CECOF  S. ESTEBAN</t>
  </si>
  <si>
    <t xml:space="preserve"> CECOF  CATEMU</t>
  </si>
  <si>
    <t xml:space="preserve">Número de mujeres fallecidas ,ocurrida después  de los  42 días  pero antes  de  
un  año de  la  terminación  del embarazo    por cada  1.000 nacidos  vivos.  </t>
  </si>
  <si>
    <t xml:space="preserve">RESONANCIA MAGNÉTICA </t>
  </si>
  <si>
    <t>QUIMICO FARMACEUTICO</t>
  </si>
  <si>
    <t>FETO Y RN ENF. INFEC. Y PAR  MADRE</t>
  </si>
  <si>
    <t xml:space="preserve"> CECOF LO  CALVO</t>
  </si>
  <si>
    <t xml:space="preserve"> CECOF CATEMU</t>
  </si>
  <si>
    <t xml:space="preserve"> KINESIOLOGO</t>
  </si>
  <si>
    <t xml:space="preserve"> POSTAS S. ESTEBAN</t>
  </si>
  <si>
    <t xml:space="preserve"> POSTAS  L.A. Nº 1 (M)</t>
  </si>
  <si>
    <t xml:space="preserve"> POSTA CALLE LARGA</t>
  </si>
  <si>
    <t xml:space="preserve"> POSTAS  PUTAENDO</t>
  </si>
  <si>
    <t xml:space="preserve"> POSTAS  STA. MARIA</t>
  </si>
  <si>
    <t>Número de partos dividido por población femenina de 15 a 49 años</t>
  </si>
  <si>
    <t xml:space="preserve">CECOF
ESTEBAN </t>
  </si>
  <si>
    <t>SOLICITUDES</t>
  </si>
  <si>
    <t>SOLICITUDES
LEY 20285</t>
  </si>
  <si>
    <t xml:space="preserve"> POSTA RIO BLANCO</t>
  </si>
  <si>
    <t xml:space="preserve"> CECOF. ESTEBAN</t>
  </si>
  <si>
    <t xml:space="preserve"> POSTAS  S. ESTEBAN</t>
  </si>
  <si>
    <t xml:space="preserve"> PRAIS</t>
  </si>
  <si>
    <t xml:space="preserve"> POSTAS  CALLE LARGA</t>
  </si>
  <si>
    <t xml:space="preserve"> CECOF S. ESTEBAN</t>
  </si>
  <si>
    <t>PRAIS</t>
  </si>
  <si>
    <t xml:space="preserve">        TASA        POR  1.000  hab.</t>
  </si>
  <si>
    <t>Endodoncia</t>
  </si>
  <si>
    <t>Rehabilitación Oral  Fija</t>
  </si>
  <si>
    <t>Periodoncia</t>
  </si>
  <si>
    <t>ODONTOLOGIA</t>
  </si>
  <si>
    <t xml:space="preserve"> CECOF S. FELIPE </t>
  </si>
  <si>
    <t>CECOF
LOS ANDES</t>
  </si>
  <si>
    <t>CECOF
CATEMU</t>
  </si>
  <si>
    <t>CATEGORIZACION</t>
  </si>
  <si>
    <t>C1</t>
  </si>
  <si>
    <t>C2</t>
  </si>
  <si>
    <t>C3</t>
  </si>
  <si>
    <t>C4</t>
  </si>
  <si>
    <t>C5</t>
  </si>
  <si>
    <t>SIN CATEG.</t>
  </si>
  <si>
    <t>CONS. SUR
MUNICIPALES</t>
  </si>
  <si>
    <t>BEBIDA LACTEA</t>
  </si>
  <si>
    <t xml:space="preserve"> PROGRAMA ADULTO  MAYOR  KILOS  DISTRIBUIDOS</t>
  </si>
  <si>
    <t>S.  REHABILITACION</t>
  </si>
  <si>
    <t>Imagenología Oral y Maxilofacial</t>
  </si>
  <si>
    <t>Patología Oral</t>
  </si>
  <si>
    <t>Implantología Buco Maxilofacial</t>
  </si>
  <si>
    <t>CONSULTAS NUEVAS APS/TOTAL CONS.</t>
  </si>
  <si>
    <t>SERVICIO  DE SALUD   ACONCAGUA</t>
  </si>
  <si>
    <t xml:space="preserve"> U.T.I. PEDIATRIA</t>
  </si>
  <si>
    <t>CODIGO</t>
  </si>
  <si>
    <t>AREAS</t>
  </si>
  <si>
    <t xml:space="preserve"> AREA MED.Q-BASICA</t>
  </si>
  <si>
    <t xml:space="preserve"> AREA MED. QUIR. MED</t>
  </si>
  <si>
    <t xml:space="preserve"> PEDIATRIA BASICA</t>
  </si>
  <si>
    <t xml:space="preserve"> A.M.QUIR.PED. BAS.</t>
  </si>
  <si>
    <t xml:space="preserve"> HOSP. PUTAENDO</t>
  </si>
  <si>
    <t>Nota: Categorización  NO  incluye  urgencias  Obstetricas</t>
  </si>
  <si>
    <t>TENDENCIA   DEFUNCIONES POR GRUPO DE CAUSAS</t>
  </si>
  <si>
    <t>TASA   DEFUNCIONES POR GRUPO DE CAUSAS</t>
  </si>
  <si>
    <t>CATEG_A1</t>
  </si>
  <si>
    <t>CATEG_A2</t>
  </si>
  <si>
    <t>CATEG_A3</t>
  </si>
  <si>
    <t>CATEG_B1</t>
  </si>
  <si>
    <t>CATEG_B2</t>
  </si>
  <si>
    <t>CATEG_B3</t>
  </si>
  <si>
    <t>CATEG_C1</t>
  </si>
  <si>
    <t>CATEG_C2</t>
  </si>
  <si>
    <t>CATEG_C3</t>
  </si>
  <si>
    <t>CATEG_D1</t>
  </si>
  <si>
    <t>CATEG_D2</t>
  </si>
  <si>
    <t>CATEG_D3</t>
  </si>
  <si>
    <t> 403 - ÁREA MÉDICA QUIRURGICO</t>
  </si>
  <si>
    <t> 409 - PEDIATRÍA INDIFERENCIADA</t>
  </si>
  <si>
    <t> 413 - NEONATOLOGÍA CUNAS</t>
  </si>
  <si>
    <t> 416 - OBSTETRICIA Y GINECOLOGÍA</t>
  </si>
  <si>
    <t> 405 - UNIDAD DE CUIDADOS INTENSIVOS     (UCI) ADULTO</t>
  </si>
  <si>
    <t> 406 - UNIDAD DE TRATAMIENTO INTERMEDIO
              (UTI) INDIFERENCIADO</t>
  </si>
  <si>
    <t>415 - UNIDAD DE TRATAMIENTO INTERMEDIO
              (UTI) NEONATOLOGÍA</t>
  </si>
  <si>
    <t>412 - UNIDAD DE TRATAMIENTO INTERMEDIO (UTI)
          PEDIATRÍA</t>
  </si>
  <si>
    <t> 414 - UNIDAD DE CUIDADOS INTENSIVOS (UCI) 
           NEONATOLOGÍA</t>
  </si>
  <si>
    <t> 404 - ÁREA MÉDICA QUIRURGICA  MEDIOS</t>
  </si>
  <si>
    <t> 407 - PEDIATRÍA INDIFERENCIADA</t>
  </si>
  <si>
    <t> 413 - NEONATOLOGÍA INCUBADORA</t>
  </si>
  <si>
    <t>SERVICIOS  CLINICOS</t>
  </si>
  <si>
    <t>Es  la  proporción de personas que  mueren  por  una  enfermedad entre  los 
afectados por  la  misma en  un  periodo y  área determinada.</t>
  </si>
  <si>
    <t>Categorizado</t>
  </si>
  <si>
    <t xml:space="preserve">Ocupado </t>
  </si>
  <si>
    <t>Categorizados  D2-D3</t>
  </si>
  <si>
    <t>SAN FELIPE EL REAL</t>
  </si>
  <si>
    <t>SEGISMUNDO ITURRA</t>
  </si>
  <si>
    <t>CORDILLERA ANDINA</t>
  </si>
  <si>
    <t>CENTENARIO</t>
  </si>
  <si>
    <t>C.SEGISMUNDO ITURRA</t>
  </si>
  <si>
    <t>C.SAN FELIPE EL  REAL</t>
  </si>
  <si>
    <t>CORDILLERA  ANDINA</t>
  </si>
  <si>
    <t xml:space="preserve"> CESFAM  CENTENARIO</t>
  </si>
  <si>
    <t xml:space="preserve"> CESFAM  C. ANDINA</t>
  </si>
  <si>
    <t>CESFAM CALLE  LARGA</t>
  </si>
  <si>
    <t>CESFAM RINCONADA</t>
  </si>
  <si>
    <t xml:space="preserve"> CESFAM CURIMON</t>
  </si>
  <si>
    <t xml:space="preserve"> CESFAM PUTAENDO</t>
  </si>
  <si>
    <t>CESFAM STA. MARIA</t>
  </si>
  <si>
    <t>CESFAM PANQUEHUE</t>
  </si>
  <si>
    <t xml:space="preserve"> CESFAM LLAY  LLAY</t>
  </si>
  <si>
    <t>CESFAM  CATEMU</t>
  </si>
  <si>
    <t>CESFAM S. ITURRA</t>
  </si>
  <si>
    <t xml:space="preserve"> CESFAM S. FELIPE EL REAL</t>
  </si>
  <si>
    <t>CESFAM S. ESTEBAN</t>
  </si>
  <si>
    <t>SGISMUNDO
ITURRA</t>
  </si>
  <si>
    <t>SAN FELIPE
EL REAL</t>
  </si>
  <si>
    <t>CESFAM
CENTENARIO</t>
  </si>
  <si>
    <t>OTROS TRASTORNOS DEL COMPORTAMIENTO Y DE LAS EMOCIONES DE COMIENZO HABITUAL EN LA INFANCIA Y ADOLESCENCIA</t>
  </si>
  <si>
    <t>TRASTORNO DE ANSIEDAD DE SEPARACIÓN EN LA INFANCIA</t>
  </si>
  <si>
    <t>TRASTORNO DISOCIAL DESAFIANTE Y OPOSICIONISTA</t>
  </si>
  <si>
    <t>TRASTORNO HIPERCINÉTICO</t>
  </si>
  <si>
    <t>CONSUMO PERJUDICIAL O DEPENDENCIA COMO DROGA PRINCIPAL</t>
  </si>
  <si>
    <t>CESFAM CENTENARIO</t>
  </si>
  <si>
    <t>CESFAM CORDILLERA</t>
  </si>
  <si>
    <t>15 a 19</t>
  </si>
  <si>
    <t>20 a 24</t>
  </si>
  <si>
    <t>25 a 29</t>
  </si>
  <si>
    <t>30 a 34</t>
  </si>
  <si>
    <t>35 a 39</t>
  </si>
  <si>
    <t>40 a 44</t>
  </si>
  <si>
    <t>45 a 49</t>
  </si>
  <si>
    <t>50 a 54</t>
  </si>
  <si>
    <t>55 a 59</t>
  </si>
  <si>
    <t>60 a 64</t>
  </si>
  <si>
    <t>65 a 69</t>
  </si>
  <si>
    <t>70 a 74</t>
  </si>
  <si>
    <t>75 a 79</t>
  </si>
  <si>
    <t>80 y más</t>
  </si>
  <si>
    <t xml:space="preserve"> CIRUGIA  INFANTIL</t>
  </si>
  <si>
    <t>Ginecología  Patología Cervical</t>
  </si>
  <si>
    <t xml:space="preserve"> CESFAM CENTENARIO</t>
  </si>
  <si>
    <t xml:space="preserve"> CESFAM C. ANDINA</t>
  </si>
  <si>
    <t xml:space="preserve"> CESFAM  S. ITURRA</t>
  </si>
  <si>
    <t xml:space="preserve"> CONS. S. FELIPE EL REAL</t>
  </si>
  <si>
    <t xml:space="preserve"> CESFAM CORDILLERA</t>
  </si>
  <si>
    <t>HIPERTENSOS</t>
  </si>
  <si>
    <t>DIABETICOS</t>
  </si>
  <si>
    <t>DISLIPIDEMICOS</t>
  </si>
  <si>
    <t>ANTECEDENTES DE INFARTO AGUDO AL MIOCARDIO (IAM)</t>
  </si>
  <si>
    <t xml:space="preserve">ANTECEDENTES DE ENF. CEREBRO VASCULAR </t>
  </si>
  <si>
    <t>NUMERO DE PERSONAS EN PSCV</t>
  </si>
  <si>
    <t>TABAQUISMO</t>
  </si>
  <si>
    <t>OBESIDAD</t>
  </si>
  <si>
    <t>s/i</t>
  </si>
  <si>
    <t>POBLACIÓN  15  AÑOS  Y  MAS</t>
  </si>
  <si>
    <t>SERVICIO  SALUD  ACONCAGUA</t>
  </si>
  <si>
    <t>-</t>
  </si>
  <si>
    <t>PORCENTAJE   DE  POBLACION  DE  15  AÑOS  Y  MAS  BAJO  CONTROL</t>
  </si>
  <si>
    <t>C.Larga.</t>
  </si>
  <si>
    <t>L.Andes</t>
  </si>
  <si>
    <t>S.Est.</t>
  </si>
  <si>
    <t>Rinc.</t>
  </si>
  <si>
    <t>S.Felipe</t>
  </si>
  <si>
    <t>Llay</t>
  </si>
  <si>
    <t>Panq.</t>
  </si>
  <si>
    <t>S.Maria</t>
  </si>
  <si>
    <t xml:space="preserve"> AREA MED. ADULTO  C.BASICO</t>
  </si>
  <si>
    <t>Tendencia   Enfermedades Transmisibles...............................................................</t>
  </si>
  <si>
    <t xml:space="preserve">Pobl. Inf. bajo  control según  Comunas y Localidad, calificación  N.C.H.S.     P/E,   P/T  y  T/E </t>
  </si>
  <si>
    <t>Perfil de egresos hosp. índice ocupacional y promedio días estada Servicio Salud</t>
  </si>
  <si>
    <t>Perfil de egresos hosp. índice ocupacional y promedio días estada Hospital San Camilo</t>
  </si>
  <si>
    <t>Perfil de egresos hosp. índice ocupacional y promedio días estada Hospital Los  Andes</t>
  </si>
  <si>
    <t>Perfil de egresos hosp. índice ocupacional y promedio días estada Hospital Llay  llay</t>
  </si>
  <si>
    <t>Perfil de egresos hosp. índice ocupacional y promedio días estada Hospital Putaendo</t>
  </si>
  <si>
    <t>Perfil de egresos hosp. índice ocupacional y promedio días estada Hospital Psiquiatrico</t>
  </si>
  <si>
    <t>Censo Camas  consolidado  y Servicio  de  Salud....................................</t>
  </si>
  <si>
    <t>CONSOLIDADO      CATEGORIZACION    DIAS  DE  ESTADA</t>
  </si>
  <si>
    <t>CATEGORIZACION  DIAS  ESTADA  HOSPITAL      SAN   FELIPE</t>
  </si>
  <si>
    <t>CATEGORIZACION  DIAS  ESTADA  HOSPITAL    LOS  ANDES</t>
  </si>
  <si>
    <t>Consolidado categorización  dias  estada  Servicio  de  Salud....................................</t>
  </si>
  <si>
    <t>Censo Camas  consolidado  Hospital  San Camilo</t>
  </si>
  <si>
    <t>Consolidado categorización  dias  estada  Hospital  San  Camilo........................</t>
  </si>
  <si>
    <t>Censo Camas  consolidado  Hospital  Los  Andes</t>
  </si>
  <si>
    <t>Consolidado categorización  dias  estada  Hospital  Los  Andes</t>
  </si>
  <si>
    <t>Censo Camas  consolidado  Hospital  Llay  Llay</t>
  </si>
  <si>
    <t>Censo Camas  consolidado  Hospital  Putaendo</t>
  </si>
  <si>
    <t>Censo Camas  consolidado  Hospital  Psiquiatrico</t>
  </si>
  <si>
    <t>Mortalidad por grupo de causas según  Comunas..y  Grupos Etareos...........................</t>
  </si>
  <si>
    <t>Diagnóstico nutricional  integrado menores  de  6  años     Serv. Salud  y Comunas...................</t>
  </si>
  <si>
    <t>Nacimientos  y  Partos  por  Establecimientos y graficos según edad  de  la  madre..............................</t>
  </si>
  <si>
    <t>Consultas  de  especialidad  realizadas   por medicos  a  honorarios</t>
  </si>
  <si>
    <t>Resolutividad Atención  Odontologica nivel  Primario</t>
  </si>
  <si>
    <t>Pacientes  bajo control  en  Salud  mental nivel  primario y secundario………………</t>
  </si>
  <si>
    <t>Personas  bajo control  según  patologia y  factores  de  riesgo</t>
  </si>
  <si>
    <t xml:space="preserve"> EGRESOS HOSPITALARIOS POR GRUPO DE CAUSAS SEGUN ESTABLECIMIENTOS Y PORCENTAJE SEGÚN PATOLOGIA</t>
  </si>
  <si>
    <t>causa,  Comunas  y  grupos  etareos</t>
  </si>
  <si>
    <t>39.</t>
  </si>
  <si>
    <t>50.</t>
  </si>
  <si>
    <t>51.</t>
  </si>
  <si>
    <t>52.</t>
  </si>
  <si>
    <t>53.</t>
  </si>
  <si>
    <t>54.</t>
  </si>
  <si>
    <t>55.</t>
  </si>
  <si>
    <t>56.</t>
  </si>
  <si>
    <t>57.</t>
  </si>
  <si>
    <t>58.</t>
  </si>
  <si>
    <t>59.</t>
  </si>
  <si>
    <t>60.</t>
  </si>
  <si>
    <t>61.</t>
  </si>
  <si>
    <t>62.</t>
  </si>
  <si>
    <t>63.</t>
  </si>
  <si>
    <t>CONSULTAS  NUEVAS  ATENDIDAS</t>
  </si>
  <si>
    <t>Pag.</t>
  </si>
  <si>
    <t>I  N  D  I  C  E</t>
  </si>
  <si>
    <r>
      <t xml:space="preserve">                                                                   </t>
    </r>
    <r>
      <rPr>
        <b/>
        <sz val="10"/>
        <rFont val="Arial"/>
        <family val="2"/>
      </rPr>
      <t>MATERIAS</t>
    </r>
  </si>
  <si>
    <t xml:space="preserve">   PROLOGO</t>
  </si>
  <si>
    <t xml:space="preserve">   CAPITULO  I  INFORMACION  BASICA</t>
  </si>
  <si>
    <t xml:space="preserve">  CAPITULO  II  INDICADORES   BIODEMOGRAFICOS</t>
  </si>
  <si>
    <t xml:space="preserve">  CAPITULO  III  ACTIVIDADES SOBRE  LAS  PERSONAS</t>
  </si>
  <si>
    <t>GLOSARIO</t>
  </si>
  <si>
    <t>Los Andes  Centenario</t>
  </si>
  <si>
    <t>Los Andes centenario</t>
  </si>
  <si>
    <t>L.A.</t>
  </si>
  <si>
    <t>S.E.</t>
  </si>
  <si>
    <t>C.L.</t>
  </si>
  <si>
    <t>RIN.</t>
  </si>
  <si>
    <t>S.F.</t>
  </si>
  <si>
    <t>PUT.</t>
  </si>
  <si>
    <t>S.M.</t>
  </si>
  <si>
    <t>PANQ.</t>
  </si>
  <si>
    <t>LL.</t>
  </si>
  <si>
    <t>CAT.</t>
  </si>
  <si>
    <t>MUNICIPAL</t>
  </si>
  <si>
    <t>D.A.P.
*</t>
  </si>
  <si>
    <t xml:space="preserve"> U.C.I. PEDIATRIA</t>
  </si>
  <si>
    <t>411.- ÁREA CUIDADOS INTENSIVOS PEDIATRICOS (UCI)</t>
  </si>
  <si>
    <t xml:space="preserve">TENDENCIA   DE LAS  PRINCIPALES  </t>
  </si>
  <si>
    <t>INTERCONSULTAS /
CONS. NUEVAS APS</t>
  </si>
  <si>
    <t>CONSUMO PERJUDICIAL O DEPENDENCIA DE ALCOHOL</t>
  </si>
  <si>
    <t>TECNICO  PARAMEDICO</t>
  </si>
  <si>
    <t>PORCENTAJE  DE  CATEGORIZACION   C4 Y C5  DEL  TOTAL  CATEGORIZADO</t>
  </si>
  <si>
    <t>PORCENTAJE</t>
  </si>
  <si>
    <t>LEY  Nº  19,378</t>
  </si>
  <si>
    <t>NUMERO  DE  CONSULTAS  ESPECIALIDAD   POR  ESTABLECIMIENTOS</t>
  </si>
  <si>
    <t>Ilustra sobre las perdida que sufre la sociedad como consecuencia de la muerte de personas jóvenes o de fallecimiento prematuro. Se considera una muerte prematura cuando ocurre antes de los 80 años.</t>
  </si>
  <si>
    <t xml:space="preserve"> ATENCION  *</t>
  </si>
  <si>
    <t>* Nota:  incluidos  en  cuadro  anterior</t>
  </si>
  <si>
    <t>LAS COIMAS</t>
  </si>
  <si>
    <t>CECOF  LAS  COIMAS</t>
  </si>
  <si>
    <t>|</t>
  </si>
  <si>
    <t>Cecof Las Coimas</t>
  </si>
  <si>
    <t>COSAM SAN FELIPE</t>
  </si>
  <si>
    <t>COSAM LOS ANDES</t>
  </si>
  <si>
    <t xml:space="preserve"> ELECTIVAS MAYORES  NO  AMBULATORIAS</t>
  </si>
  <si>
    <t xml:space="preserve"> ELECTIVAS MAYORES  AMBULATORIAS</t>
  </si>
  <si>
    <t>URGENCIAS  AMBULATORIAS</t>
  </si>
  <si>
    <t>URGENCIAS  NO  AMBULATORIAS</t>
  </si>
  <si>
    <t>CIRUGÍA VASCULAR PERIFÉRICA</t>
  </si>
  <si>
    <t>ANESTESIOLOGÍA</t>
  </si>
  <si>
    <t xml:space="preserve"> CONS. SALUD  FUNCIO.</t>
  </si>
  <si>
    <t>COSAM</t>
  </si>
  <si>
    <t>CECOF
PUTAENDO</t>
  </si>
  <si>
    <t xml:space="preserve"> COSAM  S.FELIPE</t>
  </si>
  <si>
    <t xml:space="preserve"> CECOF  PUTAENDO</t>
  </si>
  <si>
    <t xml:space="preserve"> CESFAM  S. ESTEBAN</t>
  </si>
  <si>
    <t xml:space="preserve"> CECOF PUTAENDO</t>
  </si>
  <si>
    <t>TETANO NEONATAL</t>
  </si>
  <si>
    <t>COSAM  S.F.</t>
  </si>
  <si>
    <t>Hombre</t>
  </si>
  <si>
    <t>Mujer</t>
  </si>
  <si>
    <t xml:space="preserve">           -  Actividades Interceoptivas</t>
  </si>
  <si>
    <t xml:space="preserve">           -  Destartraje supragingival</t>
  </si>
  <si>
    <t>CESFAM S. FELIPE EL REAL</t>
  </si>
  <si>
    <t xml:space="preserve">CECOF S. FELIPE </t>
  </si>
  <si>
    <t>CESFAM CURIMON</t>
  </si>
  <si>
    <t>CESFAM PUTAENDO</t>
  </si>
  <si>
    <t>CECOF STA.  MARIA</t>
  </si>
  <si>
    <t>CESFAM LLAY  LLAY</t>
  </si>
  <si>
    <t>CECOF  CATEMU</t>
  </si>
  <si>
    <t>CECOF  S. ESTEBAN</t>
  </si>
  <si>
    <t>CESFAM  CENTENARIO</t>
  </si>
  <si>
    <t>CESFAM  C. ANDINA</t>
  </si>
  <si>
    <t>CECOF  LOS  ANDES</t>
  </si>
  <si>
    <t xml:space="preserve">           -  Examen de  salud  oral</t>
  </si>
  <si>
    <t xml:space="preserve"> CONS. FUNCIONARIOS</t>
  </si>
  <si>
    <t xml:space="preserve"> Consultorio de Santa Maria</t>
  </si>
  <si>
    <t xml:space="preserve"> Consultorio de Putaendo</t>
  </si>
  <si>
    <t xml:space="preserve"> Consultorio de Panquehue</t>
  </si>
  <si>
    <t xml:space="preserve"> Consultorio de Llay Llay</t>
  </si>
  <si>
    <t xml:space="preserve"> Consultorio de Catemu</t>
  </si>
  <si>
    <t xml:space="preserve"> Consultorio San Esteban</t>
  </si>
  <si>
    <t xml:space="preserve"> Consultorio Calle Larga</t>
  </si>
  <si>
    <t xml:space="preserve"> Consultorio Rinconada</t>
  </si>
  <si>
    <t xml:space="preserve"> Consultorio San Felipe</t>
  </si>
  <si>
    <t xml:space="preserve"> Consultorio San Felipe n° 2</t>
  </si>
  <si>
    <t xml:space="preserve"> Consultorio Curimon</t>
  </si>
  <si>
    <t>Fórmula de Prematuros (FP)</t>
  </si>
  <si>
    <t>Fórmula de Continuación (FC)</t>
  </si>
  <si>
    <t xml:space="preserve">
Extremos</t>
  </si>
  <si>
    <t xml:space="preserve">Prematuros 
</t>
  </si>
  <si>
    <t xml:space="preserve"> de la leche de vaca **</t>
  </si>
  <si>
    <t xml:space="preserve">Alergia a la proteína </t>
  </si>
  <si>
    <t>Fórmula Extensamente Hidrolizada (FEH)</t>
  </si>
  <si>
    <t>Fórmula Aminoacídica (FAA)</t>
  </si>
  <si>
    <t xml:space="preserve"> COSAM  SAN  FELIPE</t>
  </si>
  <si>
    <t xml:space="preserve"> CENTRO  SALUD  FUN.</t>
  </si>
  <si>
    <t>POBLACION  EN   CONTROL  PROGRAMA  SALUD  DEL  NIÑO  SEGÚN  COMUNA</t>
  </si>
  <si>
    <t>NIÑOS  MENORES  DE  UN  MES - 59 MESES</t>
  </si>
  <si>
    <t>NIÑOS DE  60 MESES - 9 AÑOS  11 MESES</t>
  </si>
  <si>
    <t>INDICADOR  IMC /EDAD</t>
  </si>
  <si>
    <t xml:space="preserve"> TALLA / EDAD</t>
  </si>
  <si>
    <t>RIESGO DE DESNUTRIR /
 DEFICIT PONDERAL</t>
  </si>
  <si>
    <t>SOBREPESO /
RIESGO OBESIDAD</t>
  </si>
  <si>
    <t>DESESNUTRICIÓN
  SECUNDARIA</t>
  </si>
  <si>
    <t>OBESO  SEVERO 
   60 MESES  A 9 AÑOS</t>
  </si>
  <si>
    <t>DIAGNOSTICO  NUTRICIONAL  INTEGRADO  DE   SALUD  DEL  NIÑO</t>
  </si>
  <si>
    <t>TOTAL  DEFUNCIONES POR GRUPO DE CAUSAS SEGUN GRUPOS ETAREOS Y  SEXO</t>
  </si>
  <si>
    <t>TOTAL  DEFUNCIONES POR GRUPO DE CAUSAS SEGUN COMUNAS Y SEXO</t>
  </si>
  <si>
    <t>COSAM LOS  ANDES</t>
  </si>
  <si>
    <t>PERSONAS BAJO CONTROL SEGÚN PATOLOGÍA Y FACTORES DE RIESGO (EXISTENCIA a diciembre)</t>
  </si>
  <si>
    <t>GENETICA</t>
  </si>
  <si>
    <t>PEDIATRÍA</t>
  </si>
  <si>
    <t>MEDICINA INTERNA</t>
  </si>
  <si>
    <t>NEONATOLOGÍA</t>
  </si>
  <si>
    <t>ENFERMEDAD RESPIRATORIA PEDIÁTRICA (BRONCOPULMONAR INFANTIL)</t>
  </si>
  <si>
    <t>ENFERMEDAD RESPIRATORIA DE ADULTO (BRONCOPULMONAR)</t>
  </si>
  <si>
    <t>CARDIOLOGÍA PEDIÁTRICA</t>
  </si>
  <si>
    <t>ENDOCRINOLOGÍA PEDIÁTRICA</t>
  </si>
  <si>
    <t>ENDOCRINOLOGÍA ADULTO</t>
  </si>
  <si>
    <t>GASTROENTEROLOGÍA PEDIÁTRICA</t>
  </si>
  <si>
    <t>GASTROENTEROLOGÍA ADULTO</t>
  </si>
  <si>
    <t>GENÉTICA CLÍNICA</t>
  </si>
  <si>
    <t>HEMATO-ONCOLOGÍA INFANTIL</t>
  </si>
  <si>
    <t>NEFROLOGÍA PEDIÁTRICA</t>
  </si>
  <si>
    <t>NEFROLOGÍA ADULTO</t>
  </si>
  <si>
    <t>NUTRIÓLOGO PEDIÁTRICO</t>
  </si>
  <si>
    <t>REUMATOLOGÍA PEDIÁTRICA</t>
  </si>
  <si>
    <t>DERMATOLOGÍA</t>
  </si>
  <si>
    <t>INFECTOLOGÍA PEDIÁTRICA</t>
  </si>
  <si>
    <t>INMUNOLOGÍA</t>
  </si>
  <si>
    <t>GERIATRÍA</t>
  </si>
  <si>
    <t>MEDICINA FÍSICA Y REHABILITACIÓN PEDIÁTRICA (FISIATRÍA PEDIÁTRICA)</t>
  </si>
  <si>
    <t>MEDICINA FÍSICA Y REHABILITACIÓN ADULTO (FISIATRÍA ADULTO)</t>
  </si>
  <si>
    <t>NEUROLOGÍA PEDIÁTRICA</t>
  </si>
  <si>
    <t>ONCOLOGÍA MÉDICA</t>
  </si>
  <si>
    <t>PSIQUIATRÍA PEDIÁTRICA Y DE LA ADOLESCENCIA</t>
  </si>
  <si>
    <t>CIRUGÍA PEDIÁTRICA</t>
  </si>
  <si>
    <t>CIRUGÍA DE CABEZA, CUELLO Y MAXILOFACIAL</t>
  </si>
  <si>
    <t>CIRUGÍA PLÁSTICA Y REPARADORA PEDIÁTRICA</t>
  </si>
  <si>
    <t>CIRUGÍA TÓRAX</t>
  </si>
  <si>
    <t>NEUROCIRUGÍA</t>
  </si>
  <si>
    <t>CIRUGÍA CARDIOVASCULAR</t>
  </si>
  <si>
    <t>OBSTETRICIA</t>
  </si>
  <si>
    <t>GINECOLOGÍA PEDIÁTRICA Y DE LA ADOLESCENCIA</t>
  </si>
  <si>
    <t>OFTALMOLOGÍA</t>
  </si>
  <si>
    <t>OTORRINOLARINGOLOGÍA</t>
  </si>
  <si>
    <t>TRAUMATOLOGÍA Y ORTOPEDIA PEDIÁTRICA</t>
  </si>
  <si>
    <t>UROLOGÍA PEDIÁTRICA</t>
  </si>
  <si>
    <t>MEDICINA FAMILIAR DEL NIÑO</t>
  </si>
  <si>
    <t>MEDICINA FAMILIAR</t>
  </si>
  <si>
    <t>DIABETOLOGÍA</t>
  </si>
  <si>
    <t>MEDICINA NUCLEAR (EXCLUYE INFORMES)</t>
  </si>
  <si>
    <t xml:space="preserve"> COSAM LOS  ANDES</t>
  </si>
  <si>
    <t xml:space="preserve"> COSAM  LOS  ANDES</t>
  </si>
  <si>
    <t xml:space="preserve"> CECOF de Catemu</t>
  </si>
  <si>
    <t>Prais</t>
  </si>
  <si>
    <t xml:space="preserve">PERSONAS CON DIAGNÓSTICOS DE TRASTORNOS MENTALES </t>
  </si>
  <si>
    <t>OTRAS DEMENCIAS (INCLUYE ALZHEIMER)  LEVE</t>
  </si>
  <si>
    <t>OTRAS DEMENCIAS (INCLUYE ALZHEIMER)  MODERADA</t>
  </si>
  <si>
    <t>OTRAS DEMENCIAS (INCLUYE ALZHEIMER)  AVANZADO</t>
  </si>
  <si>
    <t>CECOSF PADRE HUGO CORNELISSEN</t>
  </si>
  <si>
    <t>Los Andes cordillera</t>
  </si>
  <si>
    <t>CONSULTAS   DE  ESPECIALIDADES   REALIZADAS    POR COMPRA  DE  SERVICIO</t>
  </si>
  <si>
    <t xml:space="preserve"> CIRUGIA </t>
  </si>
  <si>
    <t>COSAM S-F</t>
  </si>
  <si>
    <t>COSAM  L.A.</t>
  </si>
  <si>
    <t xml:space="preserve"> MEDICINA FAMILIAR</t>
  </si>
  <si>
    <t xml:space="preserve"> COSAM  LOS ANDES</t>
  </si>
  <si>
    <t>Corresponde a todo acto quirurgico mayor que  se  resliza en un pabellón ambulatorio o central, luego  del  cual  el  paciente, pasado un periodo de recuperación, vuelve a su  domicilio el mismo  día. Se considera tambien CMA los casos en que el paciente pernocta en el establecimiento siempre que su estadía sea menor o igual a 24 horas y que ésta se  realice en sala de recuperación u otra  destinada a este fin, y no es una cama de dotación.</t>
  </si>
  <si>
    <t>Nota:  Proyección  Censo  2017</t>
  </si>
  <si>
    <t>Nota: *  Proyección  Censo  2017</t>
  </si>
  <si>
    <t xml:space="preserve"> COSAM LOS  SAN  FELIPE</t>
  </si>
  <si>
    <t>COSAM L-A</t>
  </si>
  <si>
    <t xml:space="preserve"> COSAM Los  Andes</t>
  </si>
  <si>
    <t xml:space="preserve"> COSAM San  Felipe</t>
  </si>
  <si>
    <t xml:space="preserve"> CECOF San Esteban</t>
  </si>
  <si>
    <t>Fórmula de Inicio (FI)</t>
  </si>
  <si>
    <t>SUICIDIO  IDEACIÓN</t>
  </si>
  <si>
    <t>SUICIDIO  INTENTO</t>
  </si>
  <si>
    <t>TRASTORNOS DE ANSIEDAD POST TRAUMATICO</t>
  </si>
  <si>
    <t>TRASTORNOS DE ANSIEDAD PANICO CON AGOROFOBIA</t>
  </si>
  <si>
    <t>TRASTORNOS DE ANSIEDAD PANICO SIN AGOROFOBIA</t>
  </si>
  <si>
    <t>TRASTORNOS DE ANSIEDAD FOBIAS  SOCIALES</t>
  </si>
  <si>
    <t>TRASTORNOS DE ANSIEDAD GENERALIZADA</t>
  </si>
  <si>
    <t>TRASTORNOS DE ANSIEDAD  OTROS</t>
  </si>
  <si>
    <t>EPILEPSIA</t>
  </si>
  <si>
    <t xml:space="preserve">  PREVENCION*  ODONTOLOGICA  EN  USUARIOS  DEL  SISTEMA  HABITANTE  AÑO 
EN  MENORES    20  AÑOS    ATENCION  PRIMARIA</t>
  </si>
  <si>
    <t xml:space="preserve"> CIRUGIA CARDIOVASCULAR</t>
  </si>
  <si>
    <t>INDICADOR  PERIMETRO DE CINTURA  /EDAD</t>
  </si>
  <si>
    <t>RIESGO DE OBESIDAD
ABDOMINAL(75&lt;P&lt;90)</t>
  </si>
  <si>
    <t>OBESIDAD ABDOMINAL(&gt;P90)</t>
  </si>
  <si>
    <t>NORMAL
 (&lt;P75)</t>
  </si>
  <si>
    <t>Nota:  Pob.  Menor  de  20  años( 2019 ajustada  por  censo 2017)</t>
  </si>
  <si>
    <t xml:space="preserve"> T O T A L  Catemu</t>
  </si>
  <si>
    <t>UO71</t>
  </si>
  <si>
    <t>UO72</t>
  </si>
  <si>
    <t xml:space="preserve"> COVID 19 POSITIVO</t>
  </si>
  <si>
    <t xml:space="preserve"> COVID 19 SOSPECHOSO</t>
  </si>
  <si>
    <t>CARDIOLOGÍA ADULTO</t>
  </si>
  <si>
    <t>HEMATOLOGÍA ADULTO</t>
  </si>
  <si>
    <t>NUTRIÓLOGO ADULTO</t>
  </si>
  <si>
    <t>REUMATOLOGÍA ADULTO</t>
  </si>
  <si>
    <t>INFECTOLOGÍA ADULTO</t>
  </si>
  <si>
    <t>NEUROLOGÍA ADULTO</t>
  </si>
  <si>
    <t>PSIQUIATRÍA ADULTO</t>
  </si>
  <si>
    <t>CIRUGÍA GENERAL ADULTO</t>
  </si>
  <si>
    <t>CIRUGÍA DIGESTIVA (ALTA)</t>
  </si>
  <si>
    <t>CIRUGÍA PLÁSTICA Y REPARADORA ADULTO</t>
  </si>
  <si>
    <t>COLOPROCTOLOGÍA (CIRUGIA DIGESTIVA BAJA)</t>
  </si>
  <si>
    <t>GINECOLOGÍA ADULTO</t>
  </si>
  <si>
    <t>TRAUMATOLOGÍA Y ORTOPEDIA ADULTO</t>
  </si>
  <si>
    <t>UROLOGÍA ADULTO</t>
  </si>
  <si>
    <t>MEDICINA FAMILIAR ADULTO</t>
  </si>
  <si>
    <t>IMAGENOLOGÍA</t>
  </si>
  <si>
    <t>RADIOTERAPIA ONCOLÓGICA</t>
  </si>
  <si>
    <t>33.</t>
  </si>
  <si>
    <t>SAR
L.ANDES</t>
  </si>
  <si>
    <t>TGD  AUTISMO</t>
  </si>
  <si>
    <t>TGD  ASPERGER</t>
  </si>
  <si>
    <t>TGD  SINDROME DE  RETT</t>
  </si>
  <si>
    <t>TGD  TRASTORNO  DESINTEGRADO DE LA INFANCIA</t>
  </si>
  <si>
    <t>TGD  NO  ESPECIFICADODESINTEGRADO DE LA INFANCIA</t>
  </si>
  <si>
    <t>Rehabilitación Oral Removible</t>
  </si>
  <si>
    <t>Rehabilitación Oral  implantoasistida</t>
  </si>
  <si>
    <t xml:space="preserve">Cirugía Bucal </t>
  </si>
  <si>
    <t>Cirugía  y Traumatología Máxilo Facial</t>
  </si>
  <si>
    <t>Odontopediasría</t>
  </si>
  <si>
    <t>Ortodoncia aparatologia fija</t>
  </si>
  <si>
    <t>Ortodoncia aparatologia removible</t>
  </si>
  <si>
    <t>Trartornos Temporo mandibulares</t>
  </si>
  <si>
    <t>Somatoprotesis</t>
  </si>
  <si>
    <t>SAPU  LOS  ANDES(SUR)</t>
  </si>
  <si>
    <t>Fuente   :  REM  P  de  dicembre 2021</t>
  </si>
  <si>
    <t>Leche Purita Fortificada (LPF)</t>
  </si>
  <si>
    <t xml:space="preserve"> MEDICINA   FAMILIAR</t>
  </si>
  <si>
    <t>EXA. DE DIAGNOSTICO  Y  PROCEDIMIENTOS  POR  ESTABLECIMIENTOS   2021 -  2022</t>
  </si>
  <si>
    <t>2017  -  2022</t>
  </si>
  <si>
    <t>2017 - 2022</t>
  </si>
  <si>
    <t>Depto. de Salud de la Municipalidad Los Andes</t>
  </si>
  <si>
    <t>Depto. de Salud de la Municipalidad de Rinconada</t>
  </si>
  <si>
    <t>Depto. de Salud de la Municipalidad de San Felipe</t>
  </si>
  <si>
    <t>HOSPITAL LLAY LLAY</t>
  </si>
  <si>
    <t>CONSULTAS  NUEVAS 2022</t>
  </si>
  <si>
    <t xml:space="preserve"> TASA        POR  1.000   Nacidos vivos</t>
  </si>
  <si>
    <t>SERVICIO DE SALUD   ACONCAGUA  2023</t>
  </si>
  <si>
    <t>Fuente  :  Censo  2017</t>
  </si>
  <si>
    <t>AÑOS   2014  - 2023</t>
  </si>
  <si>
    <t>Mapa geográfico de la Quinta  Región</t>
  </si>
  <si>
    <t xml:space="preserve">Mapa geográfico del Servicio de salud </t>
  </si>
  <si>
    <t>Distancia  en Km.  entre Establecimientos</t>
  </si>
  <si>
    <t>Población  urbana , rural, superficie  y  densidad</t>
  </si>
  <si>
    <t>Índice de vejez por  comunas</t>
  </si>
  <si>
    <t>Tasa de Fecundidad</t>
  </si>
  <si>
    <t>2016 - 2023</t>
  </si>
  <si>
    <t>AÑO   2023  :   DATOS POR RESIDENCIA</t>
  </si>
  <si>
    <t>Tasa de Mortalidad Fetal tardía</t>
  </si>
  <si>
    <t>=</t>
  </si>
  <si>
    <t>Proporción</t>
  </si>
  <si>
    <t>Razón</t>
  </si>
  <si>
    <t xml:space="preserve">Cirugia Mayor Anbulatoria (CMA) </t>
  </si>
  <si>
    <t>Años de Vida Potencial Perdidos, AVPP</t>
  </si>
  <si>
    <t xml:space="preserve">Tasa de prevalencia </t>
  </si>
  <si>
    <t xml:space="preserve">Tasa de Natalidad </t>
  </si>
  <si>
    <t>Tasa de Mortalidad Perinatal</t>
  </si>
  <si>
    <t>Tasa de Mortalidad Neonatal Precoz</t>
  </si>
  <si>
    <t xml:space="preserve">Tasa de Mortalidad Neonatal </t>
  </si>
  <si>
    <t>Tasa de Mortalidad Materna  Tardia</t>
  </si>
  <si>
    <r>
      <t>Tasa de Mortalidad Materna</t>
    </r>
    <r>
      <rPr>
        <sz val="10"/>
        <rFont val="Arial"/>
        <family val="2"/>
      </rPr>
      <t xml:space="preserve"> </t>
    </r>
  </si>
  <si>
    <t>Tasa de Mortalidad Infantil Tardía</t>
  </si>
  <si>
    <t>Tasa de Mortalidad Infantil</t>
  </si>
  <si>
    <t>Tasa de Mortalidad  general</t>
  </si>
  <si>
    <t>Tasa de Mortalidad  Fetal</t>
  </si>
  <si>
    <t>Tasa de Letalidad</t>
  </si>
  <si>
    <t>Tasa de incidencia</t>
  </si>
  <si>
    <t xml:space="preserve">Tasa de  fecundidad  </t>
  </si>
  <si>
    <t xml:space="preserve">Tasa </t>
  </si>
  <si>
    <t xml:space="preserve">Rotación de Egresos por cama </t>
  </si>
  <si>
    <r>
      <t>Promedio de días cama</t>
    </r>
    <r>
      <rPr>
        <sz val="10"/>
        <rFont val="Arial"/>
        <family val="2"/>
      </rPr>
      <t xml:space="preserve"> </t>
    </r>
  </si>
  <si>
    <t xml:space="preserve">Porcentaje o Por ciento </t>
  </si>
  <si>
    <r>
      <t xml:space="preserve">Aborto </t>
    </r>
    <r>
      <rPr>
        <sz val="10"/>
        <rFont val="Arial"/>
        <family val="2"/>
      </rPr>
      <t xml:space="preserve"> </t>
    </r>
  </si>
  <si>
    <r>
      <t xml:space="preserve">Cama ocupada </t>
    </r>
    <r>
      <rPr>
        <sz val="10"/>
        <rFont val="Arial"/>
        <family val="2"/>
      </rPr>
      <t xml:space="preserve"> </t>
    </r>
  </si>
  <si>
    <r>
      <t>Camas  Disponibles</t>
    </r>
    <r>
      <rPr>
        <sz val="10"/>
        <rFont val="Arial"/>
        <family val="2"/>
      </rPr>
      <t xml:space="preserve"> </t>
    </r>
  </si>
  <si>
    <t>Camas ocupadas</t>
  </si>
  <si>
    <t xml:space="preserve">Camilla de Observación  </t>
  </si>
  <si>
    <t xml:space="preserve">Días  camas  disponibles </t>
  </si>
  <si>
    <r>
      <t>Días camas ocupados</t>
    </r>
    <r>
      <rPr>
        <sz val="10"/>
        <rFont val="Arial"/>
        <family val="2"/>
      </rPr>
      <t xml:space="preserve"> </t>
    </r>
  </si>
  <si>
    <t>Egreso</t>
  </si>
  <si>
    <t>I. Prevención específico</t>
  </si>
  <si>
    <t xml:space="preserve">Indice  de vejez </t>
  </si>
  <si>
    <t xml:space="preserve">Índice  Ocupacional </t>
  </si>
  <si>
    <t xml:space="preserve">Indice de Swaroop </t>
  </si>
  <si>
    <t>Índice o número índice</t>
  </si>
  <si>
    <t>Intervalo de Sustitución</t>
  </si>
  <si>
    <t>TASA        POR  1.000   Nacidos vivos</t>
  </si>
  <si>
    <t>Número de nacidos muertos  de 28 a 36 semanas por cada  1000 nacidos vivos</t>
  </si>
  <si>
    <t>TASA        POR  1.000  Nacidos vivos</t>
  </si>
  <si>
    <t>TASA        POR  10.000   Nacidos vivos</t>
  </si>
  <si>
    <t>TASA        POR  1.000  hab.</t>
  </si>
  <si>
    <t>SERVICIO DE SALUD   ACONCAGUA   2023</t>
  </si>
  <si>
    <t>H</t>
  </si>
  <si>
    <t>Nota :  Dato  no  disponible  en  la  pagina  del  DEIS  para  el  año  2018-2023</t>
  </si>
  <si>
    <t>DICIEMBRE    2023</t>
  </si>
  <si>
    <t>VARIACION     DICIEMBRE    2022    -     2023</t>
  </si>
  <si>
    <t>INTERCONSULTAS  MEDICAS  Y  ODONTOLOGICAS  GENERADAS  EN  ATENCION  PRIMARIA    2023</t>
  </si>
  <si>
    <t>INTERCONSULTAS  APS DERIVADAS AL NIVEL SECUNDARIO  Y  CONSULTAS  NUEVAS    ATENDIDAS  2023</t>
  </si>
  <si>
    <t>VARIACION    INTERCONSULTAS  APS DERIVADAS AL NIVEL SECUNDARIO   2022 - 2023</t>
  </si>
  <si>
    <t>CONSULTAS  NUEVAS 2023</t>
  </si>
  <si>
    <t>INCREMENTO  CONSULTAS  NUEVAS  2023 - 2022</t>
  </si>
  <si>
    <t>RESOLUTIVIDAD   ATENCIÓN  MEDICA  Y  ODONTOLOGICA
                  EN      ATENCION   PRIMARIA   2023</t>
  </si>
  <si>
    <t xml:space="preserve">       REGISTRO DE ATENCIONES OIRS  AÑO 2023</t>
  </si>
  <si>
    <t>SERVICIO SALUD  ACONCAGUA   2023</t>
  </si>
  <si>
    <t>SERVICIO DE SALUD   ACONCAGUA    2023</t>
  </si>
  <si>
    <t>SEGUN    ESTABLECIMIENTOS    2023</t>
  </si>
  <si>
    <t>2013  - 2023</t>
  </si>
  <si>
    <t>2014 -  2023</t>
  </si>
  <si>
    <t>2014  -  2023</t>
  </si>
  <si>
    <t>Nota :  Dato  no  disponible  en  la  pagina  del  DEIS  para  el  año  2023</t>
  </si>
  <si>
    <t>AÑO 2023</t>
  </si>
  <si>
    <t>S/I</t>
  </si>
  <si>
    <t>Sin Información 2023</t>
  </si>
  <si>
    <t>2020 - 2023</t>
  </si>
  <si>
    <t>2020 -  2023</t>
  </si>
  <si>
    <r>
      <t>INTERNO</t>
    </r>
    <r>
      <rPr>
        <sz val="8"/>
        <color theme="0"/>
        <rFont val="Arial"/>
        <family val="2"/>
      </rPr>
      <t xml:space="preserve">
HOSP.</t>
    </r>
  </si>
  <si>
    <t>Básico</t>
  </si>
  <si>
    <t>Purita +Pro 1</t>
  </si>
  <si>
    <t>Purita Cereal (PC)</t>
  </si>
  <si>
    <t>Purita +Pro 2</t>
  </si>
  <si>
    <t>Purita Mamá (PM)</t>
  </si>
  <si>
    <t>Subtotal</t>
  </si>
  <si>
    <t>Refuerzo</t>
  </si>
  <si>
    <t>Mi Sopita (MS)</t>
  </si>
  <si>
    <t xml:space="preserve">Prematuros </t>
  </si>
  <si>
    <t>Fórmula de Incio (FI)</t>
  </si>
  <si>
    <t>Alergia a la proteína de la leche de vaca</t>
  </si>
  <si>
    <t>2017 -  2023</t>
  </si>
  <si>
    <t>Pobl. según País , Región , Serv. Salud y Comunas 2014 - 2023</t>
  </si>
  <si>
    <t>Crecimiento vegetativo  Servicio de Salud y Comunas  2014 - 2023</t>
  </si>
  <si>
    <t>Natalidad según País , Región y Comunas 2014 - 2023 .........................</t>
  </si>
  <si>
    <t>Mort. Fetal según País , Región y Comunas 2014 - 2023........................</t>
  </si>
  <si>
    <t>Mort. Perinatal según País , Región y Comunas 2014 - 2023..................</t>
  </si>
  <si>
    <t>Mort. Neo-Precóz según País , Región y Comunas 2014 - 2023..............</t>
  </si>
  <si>
    <t>Mort. Neonatal según País , Región y Comunas 2014 - 2023..................</t>
  </si>
  <si>
    <t>Mort. Inf.  Tardía según País , Región y Comunas 2014 - 2023................</t>
  </si>
  <si>
    <t>Mort. Infantil según País , Región y Comunas 2014 - 2023......................</t>
  </si>
  <si>
    <t>Mort. Materna según País , Región y Comunas 2014 - 2023....................</t>
  </si>
  <si>
    <t>Mort. General según País , Región y Comunas 2014 - 2023...................</t>
  </si>
  <si>
    <t>Tendencia  de  defunciones  2014 - 2023</t>
  </si>
  <si>
    <t>Tasa  de examenes  de Laboratorio e  Imagenologia…2014 - 2023</t>
  </si>
  <si>
    <t>Años  de  vida  Potencialmente  perdidos AVPP año  2023....................</t>
  </si>
  <si>
    <t>Pobl. Total Serv. Salud según localidad y grupos  etáreos  2023</t>
  </si>
  <si>
    <t>Pobl. Femenina  Serv. Salud   2023</t>
  </si>
  <si>
    <t>Pirámide de Población  1990  -  2023</t>
  </si>
  <si>
    <t>Dotación servicio de  Salud  Diciembre  2023</t>
  </si>
  <si>
    <t xml:space="preserve">Dotación Funcionarios Municipales  Diciembre  2023 </t>
  </si>
  <si>
    <t>Índice consulta  urgencia  2017 a 2023 .................................................</t>
  </si>
  <si>
    <t>Consolidado  Egresos  Hospitalarios por causa y Comunas y  grupos  etareos   2023...............................</t>
  </si>
  <si>
    <t>Egresos  Hospitalarios por causa; establecimientos y  porcentaje según  patologia  2023...............................</t>
  </si>
  <si>
    <t>Egresos  Hospital San Camilo por causa,  Comunas  y  grupos  etareos  2023..............................</t>
  </si>
  <si>
    <t>Egresos  Hospital Los  Andes por causa,  Comunas  y  grupos  etareos  2023..............................</t>
  </si>
  <si>
    <t>Egresos  Hospital Llay  llay por causa,  Comunas  y  grupos  etareos  2023..............................</t>
  </si>
  <si>
    <t>Egresos  Hospital Putaendo por causa,  Comunas  y  grupos  etareos  2023..............................</t>
  </si>
  <si>
    <t>Egresos  Hospital Psiquiatrico por causa,  Comunas  y  grupos  etareos  2023..............................</t>
  </si>
  <si>
    <t>Crecimiento Vegetativo</t>
  </si>
  <si>
    <t>1. 1.</t>
  </si>
  <si>
    <t>Est. nut. embarazada al  31 de Diciembre 2022 -  2023.........................</t>
  </si>
  <si>
    <t>ACTOS   QUIRURGICOS  Y MISCELANEAS  POR ESTABLECIMIENTOS  2022  -  2023</t>
  </si>
  <si>
    <t>Variación  Interconsultas APS  en  el  nivel secundario  2022 - 2023…………..</t>
  </si>
  <si>
    <t>Consultas Médicas  2017 - 2023......................................</t>
  </si>
  <si>
    <t>Atenciones  médicas  de  urgencia  según  establecimiento  2020 - 2023</t>
  </si>
  <si>
    <t>Actos  Quirurgicos y  Examenes de Diagnostico  por  Establecimientos   2022  - 2023.................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</si>
</sst>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164" formatCode="_-* #,##0_-;\-* #,##0_-;_-* &quot;-&quot;_-;_-@_-"/>
    <numFmt numFmtId="165" formatCode="0.0"/>
    <numFmt numFmtId="166" formatCode="#,##0.0"/>
    <numFmt numFmtId="167" formatCode="#,##0.0000"/>
    <numFmt numFmtId="168" formatCode="0.000"/>
    <numFmt numFmtId="169" formatCode="0.0_)"/>
    <numFmt numFmtId="170" formatCode="#.##0"/>
    <numFmt numFmtId="171" formatCode="#.###"/>
    <numFmt numFmtId="172" formatCode="#.000"/>
    <numFmt numFmtId="173" formatCode="#,##0.000"/>
    <numFmt numFmtId="174" formatCode="0.0000"/>
    <numFmt numFmtId="175" formatCode="_ * #,##0.00_ ;_ * \-#,##0.00_ ;_ * &quot;-&quot;_ ;_ @_ "/>
    <numFmt numFmtId="176" formatCode="0.0%"/>
  </numFmts>
  <fonts count="100">
    <font>
      <sz val="10"/>
      <name val="Arial"/>
    </font>
    <font>
      <b/>
      <sz val="10"/>
      <name val="Arial"/>
      <family val="2"/>
    </font>
    <font>
      <sz val="10"/>
      <name val="Arial"/>
      <family val="2"/>
    </font>
    <font>
      <b/>
      <sz val="10"/>
      <color indexed="56"/>
      <name val="Arial"/>
      <family val="2"/>
    </font>
    <font>
      <b/>
      <sz val="12"/>
      <color indexed="56"/>
      <name val="Arial"/>
      <family val="2"/>
    </font>
    <font>
      <sz val="10"/>
      <color indexed="56"/>
      <name val="Arial"/>
      <family val="2"/>
    </font>
    <font>
      <sz val="9"/>
      <name val="Arial"/>
      <family val="2"/>
    </font>
    <font>
      <b/>
      <sz val="9"/>
      <name val="Arial"/>
      <family val="2"/>
    </font>
    <font>
      <sz val="10"/>
      <color indexed="10"/>
      <name val="Arial"/>
      <family val="2"/>
    </font>
    <font>
      <sz val="8"/>
      <name val="Arial"/>
      <family val="2"/>
    </font>
    <font>
      <sz val="7"/>
      <name val="Arial"/>
      <family val="2"/>
    </font>
    <font>
      <sz val="10"/>
      <color indexed="32"/>
      <name val="Arial"/>
      <family val="2"/>
    </font>
    <font>
      <b/>
      <sz val="10"/>
      <color indexed="10"/>
      <name val="Arial"/>
      <family val="2"/>
    </font>
    <font>
      <b/>
      <sz val="9"/>
      <color indexed="56"/>
      <name val="Arial"/>
      <family val="2"/>
    </font>
    <font>
      <b/>
      <sz val="8"/>
      <name val="Arial"/>
      <family val="2"/>
    </font>
    <font>
      <b/>
      <sz val="10"/>
      <name val="Arial"/>
      <family val="2"/>
    </font>
    <font>
      <b/>
      <sz val="7"/>
      <name val="Arial"/>
      <family val="2"/>
    </font>
    <font>
      <b/>
      <sz val="12"/>
      <color indexed="62"/>
      <name val="Arial"/>
      <family val="2"/>
    </font>
    <font>
      <sz val="8"/>
      <name val="Arial"/>
      <family val="2"/>
    </font>
    <font>
      <b/>
      <sz val="9"/>
      <name val="Arial"/>
      <family val="2"/>
    </font>
    <font>
      <b/>
      <sz val="10"/>
      <color indexed="56"/>
      <name val="Arial"/>
      <family val="2"/>
    </font>
    <font>
      <b/>
      <sz val="10"/>
      <color indexed="62"/>
      <name val="Arial"/>
      <family val="2"/>
    </font>
    <font>
      <sz val="10"/>
      <color indexed="8"/>
      <name val="Arial"/>
      <family val="2"/>
    </font>
    <font>
      <sz val="10"/>
      <color indexed="8"/>
      <name val="Arial"/>
      <family val="2"/>
    </font>
    <font>
      <b/>
      <sz val="10"/>
      <color indexed="18"/>
      <name val="Arial"/>
      <family val="2"/>
    </font>
    <font>
      <b/>
      <sz val="9"/>
      <color indexed="62"/>
      <name val="Arial"/>
      <family val="2"/>
    </font>
    <font>
      <sz val="10"/>
      <name val="Arial"/>
      <family val="2"/>
    </font>
    <font>
      <b/>
      <i/>
      <sz val="18"/>
      <color indexed="56"/>
      <name val="Arial Condensed Bold"/>
    </font>
    <font>
      <b/>
      <sz val="18"/>
      <color indexed="56"/>
      <name val="Arial Condensed Bold"/>
      <family val="2"/>
    </font>
    <font>
      <sz val="10"/>
      <color indexed="62"/>
      <name val="Arial"/>
      <family val="2"/>
    </font>
    <font>
      <sz val="12"/>
      <name val="Arial"/>
      <family val="2"/>
    </font>
    <font>
      <sz val="10"/>
      <color indexed="18"/>
      <name val="Arial"/>
      <family val="2"/>
    </font>
    <font>
      <sz val="9"/>
      <color indexed="8"/>
      <name val="Arial"/>
      <family val="2"/>
    </font>
    <font>
      <sz val="8"/>
      <color indexed="10"/>
      <name val="Arial"/>
      <family val="2"/>
    </font>
    <font>
      <sz val="10"/>
      <color indexed="10"/>
      <name val="Arial"/>
      <family val="2"/>
    </font>
    <font>
      <b/>
      <i/>
      <sz val="18"/>
      <name val="Arial Condensed Bold"/>
    </font>
    <font>
      <sz val="18"/>
      <name val="Arial Condensed Bold"/>
      <family val="2"/>
    </font>
    <font>
      <sz val="9"/>
      <name val="Arial"/>
      <family val="2"/>
    </font>
    <font>
      <sz val="6"/>
      <name val="Arial"/>
      <family val="2"/>
    </font>
    <font>
      <sz val="8"/>
      <name val="Verdana"/>
      <family val="2"/>
    </font>
    <font>
      <sz val="9"/>
      <name val="Verdana"/>
      <family val="2"/>
    </font>
    <font>
      <b/>
      <sz val="12"/>
      <name val="Arial"/>
      <family val="2"/>
    </font>
    <font>
      <b/>
      <sz val="9"/>
      <color indexed="18"/>
      <name val="Arial"/>
      <family val="2"/>
    </font>
    <font>
      <sz val="10"/>
      <color indexed="9"/>
      <name val="Arial"/>
      <family val="2"/>
    </font>
    <font>
      <sz val="12"/>
      <name val="Arial"/>
      <family val="2"/>
    </font>
    <font>
      <sz val="10"/>
      <color indexed="48"/>
      <name val="Arial"/>
      <family val="2"/>
    </font>
    <font>
      <sz val="12"/>
      <name val="Helv"/>
    </font>
    <font>
      <b/>
      <sz val="10"/>
      <color indexed="39"/>
      <name val="Arial"/>
      <family val="2"/>
    </font>
    <font>
      <sz val="10"/>
      <name val="Helv"/>
    </font>
    <font>
      <b/>
      <sz val="10"/>
      <color indexed="32"/>
      <name val="Arial"/>
      <family val="2"/>
    </font>
    <font>
      <sz val="8"/>
      <color indexed="62"/>
      <name val="Arial"/>
      <family val="2"/>
    </font>
    <font>
      <sz val="8"/>
      <color indexed="18"/>
      <name val="Arial"/>
      <family val="2"/>
    </font>
    <font>
      <sz val="8"/>
      <color indexed="8"/>
      <name val="Verdana"/>
      <family val="2"/>
    </font>
    <font>
      <sz val="9"/>
      <color indexed="8"/>
      <name val="Verdana"/>
      <family val="2"/>
    </font>
    <font>
      <b/>
      <sz val="8"/>
      <name val="Verdana"/>
      <family val="2"/>
    </font>
    <font>
      <sz val="10"/>
      <color rgb="FFFF0000"/>
      <name val="Arial"/>
      <family val="2"/>
    </font>
    <font>
      <sz val="10"/>
      <color theme="1"/>
      <name val="Arial"/>
      <family val="2"/>
    </font>
    <font>
      <sz val="9"/>
      <color rgb="FFFF0000"/>
      <name val="Arial"/>
      <family val="2"/>
    </font>
    <font>
      <sz val="8"/>
      <color theme="1"/>
      <name val="Arial"/>
      <family val="2"/>
    </font>
    <font>
      <sz val="11"/>
      <name val="Calibri"/>
      <family val="2"/>
    </font>
    <font>
      <sz val="11"/>
      <name val="Arial"/>
      <family val="2"/>
    </font>
    <font>
      <b/>
      <sz val="10"/>
      <color rgb="FFFF0000"/>
      <name val="Arial"/>
      <family val="2"/>
    </font>
    <font>
      <b/>
      <sz val="10"/>
      <color rgb="FF0070C0"/>
      <name val="Arial"/>
      <family val="2"/>
    </font>
    <font>
      <b/>
      <sz val="9"/>
      <color rgb="FFFF0000"/>
      <name val="Arial"/>
      <family val="2"/>
    </font>
    <font>
      <u/>
      <sz val="10"/>
      <color theme="10"/>
      <name val="Arial"/>
      <family val="2"/>
    </font>
    <font>
      <b/>
      <u/>
      <sz val="12"/>
      <color theme="1"/>
      <name val="Arial"/>
      <family val="2"/>
    </font>
    <font>
      <sz val="12"/>
      <color indexed="56"/>
      <name val="Arial"/>
      <family val="2"/>
    </font>
    <font>
      <b/>
      <sz val="14"/>
      <color indexed="56"/>
      <name val="Arial"/>
      <family val="2"/>
    </font>
    <font>
      <sz val="8"/>
      <color rgb="FFFF0000"/>
      <name val="Verdana"/>
      <family val="2"/>
    </font>
    <font>
      <sz val="10"/>
      <color rgb="FFFF0000"/>
      <name val="Helv"/>
    </font>
    <font>
      <sz val="7"/>
      <name val="Verdana"/>
      <family val="2"/>
    </font>
    <font>
      <sz val="7"/>
      <color indexed="8"/>
      <name val="Verdana"/>
      <family val="2"/>
    </font>
    <font>
      <sz val="9"/>
      <color theme="1"/>
      <name val="Arial"/>
      <family val="2"/>
    </font>
    <font>
      <sz val="10"/>
      <color theme="0"/>
      <name val="Arial"/>
      <family val="2"/>
    </font>
    <font>
      <sz val="9"/>
      <color theme="0"/>
      <name val="Arial"/>
      <family val="2"/>
    </font>
    <font>
      <sz val="8"/>
      <color theme="0"/>
      <name val="Arial"/>
      <family val="2"/>
    </font>
    <font>
      <b/>
      <sz val="10"/>
      <color theme="4" tint="-0.249977111117893"/>
      <name val="Arial"/>
      <family val="2"/>
    </font>
    <font>
      <sz val="10"/>
      <color theme="4" tint="-0.249977111117893"/>
      <name val="Arial"/>
      <family val="2"/>
    </font>
    <font>
      <sz val="7"/>
      <color theme="0"/>
      <name val="Arial"/>
      <family val="2"/>
    </font>
    <font>
      <sz val="10"/>
      <name val="Arial"/>
      <family val="2"/>
    </font>
    <font>
      <b/>
      <sz val="10"/>
      <color theme="0"/>
      <name val="Arial"/>
      <family val="2"/>
    </font>
    <font>
      <b/>
      <sz val="8"/>
      <color theme="0"/>
      <name val="Arial"/>
      <family val="2"/>
    </font>
    <font>
      <sz val="10"/>
      <color theme="4" tint="-0.499984740745262"/>
      <name val="Arial"/>
      <family val="2"/>
    </font>
    <font>
      <b/>
      <sz val="10"/>
      <color theme="4" tint="-0.499984740745262"/>
      <name val="Arial"/>
      <family val="2"/>
    </font>
    <font>
      <b/>
      <sz val="9"/>
      <color theme="4" tint="-0.249977111117893"/>
      <name val="Arial"/>
      <family val="2"/>
    </font>
    <font>
      <sz val="9"/>
      <color theme="4" tint="-0.249977111117893"/>
      <name val="Arial"/>
      <family val="2"/>
    </font>
    <font>
      <b/>
      <sz val="9"/>
      <color theme="0"/>
      <name val="Arial"/>
      <family val="2"/>
    </font>
    <font>
      <b/>
      <sz val="7"/>
      <color theme="0"/>
      <name val="Arial"/>
      <family val="2"/>
    </font>
    <font>
      <sz val="7"/>
      <color theme="0"/>
      <name val="Verdana"/>
      <family val="2"/>
    </font>
    <font>
      <sz val="8"/>
      <color theme="0"/>
      <name val="Verdana"/>
      <family val="2"/>
    </font>
    <font>
      <sz val="9"/>
      <color theme="0"/>
      <name val="Verdana"/>
      <family val="2"/>
    </font>
    <font>
      <sz val="11"/>
      <color theme="0"/>
      <name val="Arial"/>
      <family val="2"/>
    </font>
    <font>
      <b/>
      <sz val="12"/>
      <color theme="4" tint="-0.249977111117893"/>
      <name val="Arial"/>
      <family val="2"/>
    </font>
    <font>
      <sz val="9"/>
      <color theme="0"/>
      <name val="Helv"/>
    </font>
    <font>
      <sz val="10"/>
      <color theme="4" tint="-0.249977111117893"/>
      <name val="Helv"/>
    </font>
    <font>
      <b/>
      <sz val="10"/>
      <color theme="3" tint="-0.249977111117893"/>
      <name val="Arial"/>
      <family val="2"/>
    </font>
    <font>
      <sz val="10"/>
      <color theme="3" tint="-0.249977111117893"/>
      <name val="Arial"/>
      <family val="2"/>
    </font>
    <font>
      <b/>
      <sz val="12"/>
      <color theme="3" tint="-0.249977111117893"/>
      <name val="Arial"/>
      <family val="2"/>
    </font>
    <font>
      <b/>
      <sz val="12"/>
      <color theme="0"/>
      <name val="Arial"/>
      <family val="2"/>
    </font>
    <font>
      <sz val="8"/>
      <color theme="4" tint="-0.249977111117893"/>
      <name val="Arial"/>
      <family val="2"/>
    </font>
  </fonts>
  <fills count="15">
    <fill>
      <patternFill patternType="none"/>
    </fill>
    <fill>
      <patternFill patternType="gray125"/>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theme="2"/>
        <bgColor indexed="64"/>
      </patternFill>
    </fill>
    <fill>
      <patternFill patternType="solid">
        <fgColor theme="4" tint="0.59999389629810485"/>
        <bgColor indexed="64"/>
      </patternFill>
    </fill>
    <fill>
      <patternFill patternType="solid">
        <fgColor theme="6"/>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FFFF99"/>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49998474074526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hair">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hair">
        <color indexed="64"/>
      </right>
      <top/>
      <bottom/>
      <diagonal/>
    </border>
    <border>
      <left/>
      <right style="thick">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s>
  <cellStyleXfs count="16">
    <xf numFmtId="0" fontId="0" fillId="0" borderId="0"/>
    <xf numFmtId="0" fontId="2" fillId="0" borderId="0"/>
    <xf numFmtId="171" fontId="46" fillId="0" borderId="0"/>
    <xf numFmtId="0" fontId="2" fillId="0" borderId="0"/>
    <xf numFmtId="0" fontId="2" fillId="0" borderId="0"/>
    <xf numFmtId="0" fontId="2" fillId="0" borderId="0"/>
    <xf numFmtId="0" fontId="9" fillId="0" borderId="0"/>
    <xf numFmtId="0" fontId="15" fillId="0" borderId="0" applyFont="0" applyBorder="0" applyAlignment="0" applyProtection="0"/>
    <xf numFmtId="0" fontId="9" fillId="0" borderId="0"/>
    <xf numFmtId="0" fontId="1" fillId="0" borderId="0" applyFont="0" applyBorder="0" applyAlignment="0" applyProtection="0"/>
    <xf numFmtId="0" fontId="2" fillId="0" borderId="0"/>
    <xf numFmtId="0" fontId="9" fillId="0" borderId="0"/>
    <xf numFmtId="0" fontId="64" fillId="0" borderId="0" applyNumberFormat="0" applyFill="0" applyBorder="0" applyAlignment="0" applyProtection="0"/>
    <xf numFmtId="41" fontId="79" fillId="0" borderId="0" applyFont="0" applyFill="0" applyBorder="0" applyAlignment="0" applyProtection="0"/>
    <xf numFmtId="9" fontId="79" fillId="0" borderId="0" applyFont="0" applyFill="0" applyBorder="0" applyAlignment="0" applyProtection="0"/>
    <xf numFmtId="0" fontId="2" fillId="0" borderId="0"/>
  </cellStyleXfs>
  <cellXfs count="1671">
    <xf numFmtId="0" fontId="0" fillId="0" borderId="0" xfId="0"/>
    <xf numFmtId="0" fontId="0" fillId="0" borderId="0" xfId="0" applyAlignment="1">
      <alignment horizontal="centerContinuous"/>
    </xf>
    <xf numFmtId="0" fontId="1" fillId="0" borderId="0" xfId="0" applyFont="1"/>
    <xf numFmtId="0" fontId="3" fillId="0" borderId="0" xfId="0" applyFont="1" applyAlignment="1">
      <alignment horizontal="centerContinuous"/>
    </xf>
    <xf numFmtId="0" fontId="4" fillId="0" borderId="0" xfId="0" applyFont="1" applyAlignment="1">
      <alignment horizontal="centerContinuous"/>
    </xf>
    <xf numFmtId="0" fontId="0" fillId="0" borderId="0" xfId="0" applyAlignment="1">
      <alignment horizontal="centerContinuous" vertical="center"/>
    </xf>
    <xf numFmtId="0" fontId="0" fillId="0" borderId="0" xfId="0" applyAlignment="1">
      <alignment vertical="center"/>
    </xf>
    <xf numFmtId="0" fontId="0" fillId="0" borderId="0" xfId="0" applyAlignment="1">
      <alignment horizontal="right" vertical="center"/>
    </xf>
    <xf numFmtId="0" fontId="6" fillId="0" borderId="0" xfId="0" applyFont="1" applyAlignment="1">
      <alignment vertical="center"/>
    </xf>
    <xf numFmtId="0" fontId="0" fillId="0" borderId="0" xfId="0" applyAlignment="1">
      <alignment horizontal="left" vertical="center"/>
    </xf>
    <xf numFmtId="0" fontId="9" fillId="0" borderId="0" xfId="0" applyFont="1" applyAlignment="1">
      <alignment vertical="center"/>
    </xf>
    <xf numFmtId="0" fontId="6" fillId="0" borderId="1" xfId="0" applyFont="1" applyBorder="1" applyAlignment="1">
      <alignment vertical="center"/>
    </xf>
    <xf numFmtId="0" fontId="11" fillId="0" borderId="0" xfId="0" applyFont="1" applyAlignment="1">
      <alignment horizontal="centerContinuous"/>
    </xf>
    <xf numFmtId="0" fontId="6" fillId="0" borderId="2" xfId="0" applyFont="1" applyBorder="1" applyAlignment="1">
      <alignment vertical="center"/>
    </xf>
    <xf numFmtId="0" fontId="6" fillId="0" borderId="3" xfId="0" applyFont="1" applyBorder="1" applyAlignment="1">
      <alignment vertical="center"/>
    </xf>
    <xf numFmtId="0" fontId="0" fillId="2" borderId="0" xfId="0" applyFill="1" applyAlignment="1">
      <alignment vertical="center"/>
    </xf>
    <xf numFmtId="0" fontId="0" fillId="2" borderId="0" xfId="0" applyFill="1"/>
    <xf numFmtId="0" fontId="13" fillId="0" borderId="0" xfId="0" applyFont="1" applyAlignment="1">
      <alignment vertical="center"/>
    </xf>
    <xf numFmtId="0" fontId="5" fillId="0" borderId="0" xfId="0" applyFont="1" applyAlignment="1">
      <alignment vertical="center"/>
    </xf>
    <xf numFmtId="0" fontId="13" fillId="0" borderId="0" xfId="0" applyFont="1" applyAlignment="1">
      <alignment horizontal="centerContinuous" vertical="center"/>
    </xf>
    <xf numFmtId="0" fontId="6" fillId="2" borderId="0" xfId="0" applyFont="1" applyFill="1" applyAlignment="1">
      <alignment vertical="center"/>
    </xf>
    <xf numFmtId="0" fontId="6" fillId="2" borderId="0" xfId="0" applyFont="1" applyFill="1" applyAlignment="1">
      <alignment horizontal="centerContinuous" vertical="center"/>
    </xf>
    <xf numFmtId="0" fontId="9" fillId="2" borderId="0" xfId="0" applyFont="1" applyFill="1" applyAlignment="1">
      <alignment vertical="center"/>
    </xf>
    <xf numFmtId="0" fontId="9" fillId="2" borderId="0" xfId="0" applyFont="1" applyFill="1" applyAlignment="1">
      <alignment horizontal="centerContinuous" vertical="center"/>
    </xf>
    <xf numFmtId="0" fontId="10" fillId="2" borderId="0" xfId="0" applyFont="1" applyFill="1" applyAlignment="1">
      <alignment horizontal="centerContinuous" vertical="center"/>
    </xf>
    <xf numFmtId="0" fontId="14" fillId="0" borderId="0" xfId="0" applyFont="1" applyAlignment="1">
      <alignment horizontal="centerContinuous" vertical="center"/>
    </xf>
    <xf numFmtId="0" fontId="15" fillId="0" borderId="0" xfId="0" applyFont="1" applyAlignment="1">
      <alignment vertical="center"/>
    </xf>
    <xf numFmtId="0" fontId="16" fillId="0" borderId="0" xfId="0" applyFont="1" applyAlignment="1">
      <alignment vertical="center"/>
    </xf>
    <xf numFmtId="0" fontId="14" fillId="0" borderId="0" xfId="0" applyFont="1" applyAlignment="1">
      <alignment vertical="center"/>
    </xf>
    <xf numFmtId="0" fontId="14" fillId="0" borderId="0" xfId="0" applyFont="1"/>
    <xf numFmtId="0" fontId="14" fillId="0" borderId="0" xfId="0" applyFont="1" applyAlignment="1">
      <alignment horizontal="left" vertical="center"/>
    </xf>
    <xf numFmtId="0" fontId="0" fillId="0" borderId="6" xfId="0" applyBorder="1" applyAlignment="1">
      <alignment vertical="center"/>
    </xf>
    <xf numFmtId="0" fontId="0" fillId="0" borderId="7"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0" fillId="0" borderId="6" xfId="0" applyBorder="1" applyAlignment="1">
      <alignment horizontal="left" vertical="center"/>
    </xf>
    <xf numFmtId="0" fontId="0" fillId="0" borderId="7" xfId="0" applyBorder="1" applyAlignment="1">
      <alignment vertical="center"/>
    </xf>
    <xf numFmtId="0" fontId="0" fillId="0" borderId="10" xfId="0" applyBorder="1" applyAlignment="1">
      <alignment horizontal="center" vertical="center"/>
    </xf>
    <xf numFmtId="0" fontId="0" fillId="0" borderId="3" xfId="0" applyBorder="1" applyAlignment="1">
      <alignment horizontal="left" vertical="center"/>
    </xf>
    <xf numFmtId="0" fontId="0" fillId="0" borderId="3" xfId="0" applyBorder="1" applyAlignment="1">
      <alignment horizontal="center" vertical="center"/>
    </xf>
    <xf numFmtId="0" fontId="0" fillId="0" borderId="11" xfId="0" applyBorder="1" applyAlignment="1">
      <alignment horizontal="center" vertical="center"/>
    </xf>
    <xf numFmtId="0" fontId="0" fillId="0" borderId="5" xfId="0" applyBorder="1" applyAlignment="1">
      <alignment horizontal="left" vertical="center"/>
    </xf>
    <xf numFmtId="0" fontId="0" fillId="0" borderId="5" xfId="0" applyBorder="1" applyAlignment="1">
      <alignment horizontal="center" vertical="center"/>
    </xf>
    <xf numFmtId="0" fontId="0" fillId="0" borderId="11" xfId="0" applyBorder="1" applyAlignment="1">
      <alignmen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5" xfId="0" applyBorder="1" applyAlignment="1">
      <alignment vertical="center"/>
    </xf>
    <xf numFmtId="0" fontId="0" fillId="0" borderId="3" xfId="0" applyBorder="1" applyAlignment="1">
      <alignment vertical="center"/>
    </xf>
    <xf numFmtId="0" fontId="1" fillId="0" borderId="1" xfId="0" applyFont="1" applyBorder="1" applyAlignment="1">
      <alignment vertical="center"/>
    </xf>
    <xf numFmtId="0" fontId="0" fillId="0" borderId="1" xfId="0" applyBorder="1" applyAlignment="1">
      <alignment vertical="center"/>
    </xf>
    <xf numFmtId="3" fontId="0" fillId="0" borderId="6" xfId="0" applyNumberFormat="1" applyBorder="1" applyAlignment="1">
      <alignment horizontal="centerContinuous" vertical="center"/>
    </xf>
    <xf numFmtId="3" fontId="0" fillId="0" borderId="3" xfId="0" applyNumberFormat="1" applyBorder="1" applyAlignment="1">
      <alignment horizontal="center" vertical="center"/>
    </xf>
    <xf numFmtId="3" fontId="0" fillId="0" borderId="5" xfId="0" applyNumberFormat="1" applyBorder="1" applyAlignment="1">
      <alignment horizontal="centerContinuous" vertical="center"/>
    </xf>
    <xf numFmtId="3" fontId="0" fillId="0" borderId="1" xfId="0" applyNumberFormat="1" applyBorder="1" applyAlignment="1">
      <alignment horizontal="center" vertical="center"/>
    </xf>
    <xf numFmtId="0" fontId="0" fillId="0" borderId="15" xfId="0" applyBorder="1" applyAlignment="1">
      <alignment horizontal="center" vertical="center"/>
    </xf>
    <xf numFmtId="0" fontId="19" fillId="3" borderId="4" xfId="0" applyFont="1" applyFill="1" applyBorder="1" applyAlignment="1">
      <alignment horizontal="center" vertical="center" wrapText="1"/>
    </xf>
    <xf numFmtId="0" fontId="19" fillId="3" borderId="1" xfId="0" applyFont="1" applyFill="1" applyBorder="1" applyAlignment="1">
      <alignment horizontal="center" vertical="center"/>
    </xf>
    <xf numFmtId="3" fontId="19" fillId="3" borderId="1" xfId="0" applyNumberFormat="1" applyFont="1" applyFill="1" applyBorder="1" applyAlignment="1">
      <alignment horizontal="center" vertical="center"/>
    </xf>
    <xf numFmtId="3" fontId="19" fillId="3" borderId="1" xfId="0" quotePrefix="1" applyNumberFormat="1" applyFont="1" applyFill="1" applyBorder="1" applyAlignment="1">
      <alignment horizontal="center" vertical="center"/>
    </xf>
    <xf numFmtId="3" fontId="19" fillId="3" borderId="9" xfId="0" applyNumberFormat="1" applyFont="1" applyFill="1" applyBorder="1" applyAlignment="1">
      <alignment horizontal="center" vertical="center"/>
    </xf>
    <xf numFmtId="3" fontId="19" fillId="3" borderId="0" xfId="0" applyNumberFormat="1" applyFont="1" applyFill="1" applyAlignment="1">
      <alignment horizontal="center" vertical="center"/>
    </xf>
    <xf numFmtId="0" fontId="20" fillId="0" borderId="0" xfId="0" applyFont="1" applyAlignment="1">
      <alignment horizontal="centerContinuous"/>
    </xf>
    <xf numFmtId="0" fontId="15" fillId="0" borderId="0" xfId="0" applyFont="1" applyAlignment="1">
      <alignment horizontal="centerContinuous"/>
    </xf>
    <xf numFmtId="0" fontId="0" fillId="0" borderId="5" xfId="0" applyBorder="1"/>
    <xf numFmtId="0" fontId="9" fillId="0" borderId="5" xfId="0" applyFont="1" applyBorder="1" applyAlignment="1">
      <alignment horizontal="centerContinuous" vertical="center"/>
    </xf>
    <xf numFmtId="0" fontId="6" fillId="0" borderId="6" xfId="0" applyFont="1" applyBorder="1" applyAlignment="1">
      <alignment vertical="center"/>
    </xf>
    <xf numFmtId="3" fontId="6" fillId="0" borderId="0" xfId="0" applyNumberFormat="1" applyFont="1" applyAlignment="1">
      <alignment horizontal="centerContinuous" vertical="center"/>
    </xf>
    <xf numFmtId="3" fontId="6" fillId="0" borderId="6" xfId="0" applyNumberFormat="1" applyFont="1" applyBorder="1" applyAlignment="1">
      <alignment horizontal="centerContinuous" vertical="center"/>
    </xf>
    <xf numFmtId="165" fontId="6" fillId="0" borderId="6" xfId="0" applyNumberFormat="1" applyFont="1" applyBorder="1" applyAlignment="1">
      <alignment horizontal="centerContinuous" vertical="center"/>
    </xf>
    <xf numFmtId="166" fontId="6" fillId="0" borderId="13" xfId="0" applyNumberFormat="1" applyFont="1" applyBorder="1" applyAlignment="1">
      <alignment horizontal="centerContinuous" vertical="center"/>
    </xf>
    <xf numFmtId="0" fontId="6" fillId="0" borderId="0" xfId="0" applyFont="1" applyAlignment="1">
      <alignment horizontal="centerContinuous" vertical="center"/>
    </xf>
    <xf numFmtId="0" fontId="7" fillId="0" borderId="6" xfId="0" applyFont="1" applyBorder="1" applyAlignment="1">
      <alignment vertical="center"/>
    </xf>
    <xf numFmtId="3" fontId="7" fillId="0" borderId="0" xfId="0" applyNumberFormat="1" applyFont="1" applyAlignment="1">
      <alignment horizontal="centerContinuous" vertical="center"/>
    </xf>
    <xf numFmtId="3" fontId="7" fillId="0" borderId="6" xfId="0" applyNumberFormat="1" applyFont="1" applyBorder="1" applyAlignment="1">
      <alignment horizontal="centerContinuous" vertical="center"/>
    </xf>
    <xf numFmtId="165" fontId="7" fillId="0" borderId="6" xfId="0" applyNumberFormat="1" applyFont="1" applyBorder="1" applyAlignment="1">
      <alignment horizontal="centerContinuous" vertical="center"/>
    </xf>
    <xf numFmtId="166" fontId="7" fillId="0" borderId="13" xfId="0" applyNumberFormat="1" applyFont="1" applyBorder="1" applyAlignment="1">
      <alignment horizontal="centerContinuous" vertical="center"/>
    </xf>
    <xf numFmtId="3" fontId="6" fillId="0" borderId="6" xfId="0" applyNumberFormat="1" applyFont="1" applyBorder="1" applyAlignment="1">
      <alignment vertical="center"/>
    </xf>
    <xf numFmtId="166" fontId="6" fillId="0" borderId="13" xfId="0" applyNumberFormat="1" applyFont="1" applyBorder="1" applyAlignment="1">
      <alignment vertical="center"/>
    </xf>
    <xf numFmtId="165" fontId="6" fillId="0" borderId="0" xfId="0" applyNumberFormat="1" applyFont="1" applyAlignment="1">
      <alignment horizontal="centerContinuous" vertical="center"/>
    </xf>
    <xf numFmtId="0" fontId="7" fillId="0" borderId="3" xfId="0" applyFont="1" applyBorder="1" applyAlignment="1">
      <alignment vertical="center"/>
    </xf>
    <xf numFmtId="3" fontId="7" fillId="0" borderId="15" xfId="0" applyNumberFormat="1" applyFont="1" applyBorder="1" applyAlignment="1">
      <alignment horizontal="centerContinuous" vertical="center"/>
    </xf>
    <xf numFmtId="3" fontId="7" fillId="0" borderId="3" xfId="0" applyNumberFormat="1" applyFont="1" applyBorder="1" applyAlignment="1">
      <alignment horizontal="centerContinuous" vertical="center"/>
    </xf>
    <xf numFmtId="165" fontId="7" fillId="0" borderId="3" xfId="0" applyNumberFormat="1" applyFont="1" applyBorder="1" applyAlignment="1">
      <alignment horizontal="centerContinuous" vertical="center"/>
    </xf>
    <xf numFmtId="166" fontId="7" fillId="0" borderId="3" xfId="0" applyNumberFormat="1" applyFont="1" applyBorder="1" applyAlignment="1">
      <alignment horizontal="centerContinuous" vertical="center"/>
    </xf>
    <xf numFmtId="0" fontId="5" fillId="0" borderId="0" xfId="0" applyFont="1" applyAlignment="1">
      <alignment horizontal="centerContinuous"/>
    </xf>
    <xf numFmtId="0" fontId="21" fillId="0" borderId="0" xfId="0" applyFont="1" applyAlignment="1">
      <alignment horizontal="centerContinuous"/>
    </xf>
    <xf numFmtId="3" fontId="0" fillId="0" borderId="0" xfId="0" applyNumberFormat="1"/>
    <xf numFmtId="0" fontId="0" fillId="0" borderId="9" xfId="0" applyBorder="1" applyAlignment="1">
      <alignment vertical="center"/>
    </xf>
    <xf numFmtId="0" fontId="0" fillId="0" borderId="9" xfId="0" applyBorder="1" applyAlignment="1">
      <alignment horizontal="centerContinuous" vertical="center"/>
    </xf>
    <xf numFmtId="0" fontId="0" fillId="0" borderId="8" xfId="0" applyBorder="1" applyAlignment="1">
      <alignment horizontal="centerContinuous" vertical="center"/>
    </xf>
    <xf numFmtId="0" fontId="0" fillId="0" borderId="8" xfId="0" quotePrefix="1" applyBorder="1" applyAlignment="1">
      <alignment horizontal="centerContinuous" vertical="center"/>
    </xf>
    <xf numFmtId="0" fontId="0" fillId="0" borderId="4" xfId="0" applyBorder="1" applyAlignment="1">
      <alignment horizontal="centerContinuous" vertical="center"/>
    </xf>
    <xf numFmtId="3" fontId="0" fillId="0" borderId="0" xfId="0" applyNumberFormat="1" applyAlignment="1">
      <alignment vertical="center"/>
    </xf>
    <xf numFmtId="3" fontId="0" fillId="0" borderId="13" xfId="0" applyNumberFormat="1" applyBorder="1" applyAlignment="1">
      <alignment vertical="center"/>
    </xf>
    <xf numFmtId="0" fontId="1" fillId="0" borderId="6" xfId="0" applyFont="1" applyBorder="1" applyAlignment="1">
      <alignment vertical="center"/>
    </xf>
    <xf numFmtId="3" fontId="0" fillId="0" borderId="0" xfId="0" applyNumberFormat="1" applyAlignment="1">
      <alignment horizontal="centerContinuous" vertical="center"/>
    </xf>
    <xf numFmtId="4" fontId="0" fillId="0" borderId="0" xfId="0" applyNumberFormat="1"/>
    <xf numFmtId="3" fontId="8" fillId="0" borderId="0" xfId="0" applyNumberFormat="1" applyFont="1" applyAlignment="1">
      <alignment vertical="center"/>
    </xf>
    <xf numFmtId="3" fontId="8" fillId="0" borderId="13" xfId="0" applyNumberFormat="1" applyFont="1" applyBorder="1" applyAlignment="1">
      <alignment vertical="center"/>
    </xf>
    <xf numFmtId="0" fontId="1" fillId="0" borderId="3" xfId="0" applyFont="1" applyBorder="1" applyAlignment="1">
      <alignment vertical="center"/>
    </xf>
    <xf numFmtId="3" fontId="0" fillId="0" borderId="15" xfId="0" applyNumberFormat="1" applyBorder="1" applyAlignment="1">
      <alignment vertical="center"/>
    </xf>
    <xf numFmtId="3" fontId="0" fillId="0" borderId="15" xfId="0" applyNumberFormat="1" applyBorder="1" applyAlignment="1">
      <alignment horizontal="centerContinuous" vertical="center"/>
    </xf>
    <xf numFmtId="3" fontId="0" fillId="0" borderId="14" xfId="0" applyNumberFormat="1" applyBorder="1" applyAlignment="1">
      <alignment vertical="center"/>
    </xf>
    <xf numFmtId="167" fontId="0" fillId="0" borderId="0" xfId="0" applyNumberFormat="1"/>
    <xf numFmtId="1" fontId="0" fillId="0" borderId="0" xfId="0" applyNumberFormat="1"/>
    <xf numFmtId="0" fontId="0" fillId="0" borderId="8" xfId="0" applyBorder="1" applyAlignment="1">
      <alignment horizontal="right" vertical="center"/>
    </xf>
    <xf numFmtId="0" fontId="9" fillId="0" borderId="4" xfId="0" applyFont="1" applyBorder="1" applyAlignment="1">
      <alignment horizontal="centerContinuous" vertical="center" wrapText="1"/>
    </xf>
    <xf numFmtId="0" fontId="0" fillId="0" borderId="13" xfId="0" applyBorder="1" applyAlignment="1">
      <alignment vertical="center"/>
    </xf>
    <xf numFmtId="3" fontId="0" fillId="0" borderId="7" xfId="0" applyNumberFormat="1" applyBorder="1" applyAlignment="1">
      <alignment vertical="center"/>
    </xf>
    <xf numFmtId="3" fontId="22" fillId="0" borderId="15" xfId="0" applyNumberFormat="1" applyFont="1" applyBorder="1" applyAlignment="1">
      <alignment vertical="center"/>
    </xf>
    <xf numFmtId="3" fontId="22" fillId="0" borderId="14" xfId="0" applyNumberFormat="1" applyFont="1" applyBorder="1" applyAlignment="1">
      <alignment vertical="center"/>
    </xf>
    <xf numFmtId="0" fontId="24" fillId="4" borderId="0" xfId="0" applyFont="1" applyFill="1" applyAlignment="1">
      <alignment horizontal="centerContinuous"/>
    </xf>
    <xf numFmtId="0" fontId="11" fillId="4" borderId="0" xfId="0" applyFont="1" applyFill="1" applyAlignment="1">
      <alignment horizontal="centerContinuous"/>
    </xf>
    <xf numFmtId="0" fontId="24" fillId="0" borderId="0" xfId="0" applyFont="1" applyAlignment="1">
      <alignment horizontal="centerContinuous"/>
    </xf>
    <xf numFmtId="4" fontId="6" fillId="0" borderId="13" xfId="0" applyNumberFormat="1" applyFont="1" applyBorder="1" applyAlignment="1">
      <alignment horizontal="center" vertical="center"/>
    </xf>
    <xf numFmtId="0" fontId="0" fillId="0" borderId="3" xfId="0" applyBorder="1"/>
    <xf numFmtId="0" fontId="0" fillId="0" borderId="3" xfId="0" applyBorder="1" applyAlignment="1">
      <alignment horizontal="center"/>
    </xf>
    <xf numFmtId="0" fontId="0" fillId="0" borderId="0" xfId="0" applyAlignment="1">
      <alignment horizontal="center" vertical="top" wrapText="1"/>
    </xf>
    <xf numFmtId="165" fontId="7" fillId="0" borderId="0" xfId="0" applyNumberFormat="1" applyFont="1" applyAlignment="1">
      <alignment horizontal="centerContinuous" vertical="center"/>
    </xf>
    <xf numFmtId="165" fontId="0" fillId="0" borderId="0" xfId="0" applyNumberFormat="1"/>
    <xf numFmtId="165" fontId="7" fillId="0" borderId="15" xfId="0" applyNumberFormat="1" applyFont="1" applyBorder="1" applyAlignment="1">
      <alignment horizontal="centerContinuous" vertical="center"/>
    </xf>
    <xf numFmtId="3" fontId="26" fillId="0" borderId="0" xfId="0" applyNumberFormat="1" applyFont="1" applyAlignment="1">
      <alignment horizontal="center" vertical="center"/>
    </xf>
    <xf numFmtId="3" fontId="26" fillId="0" borderId="6" xfId="0" applyNumberFormat="1" applyFont="1" applyBorder="1" applyAlignment="1">
      <alignment horizontal="center" vertical="center"/>
    </xf>
    <xf numFmtId="3" fontId="26" fillId="0" borderId="13" xfId="0" applyNumberFormat="1" applyFont="1" applyBorder="1" applyAlignment="1">
      <alignment horizontal="centerContinuous" vertical="center"/>
    </xf>
    <xf numFmtId="3" fontId="26" fillId="0" borderId="13" xfId="0" applyNumberFormat="1" applyFont="1" applyBorder="1" applyAlignment="1">
      <alignment horizontal="center" vertical="center"/>
    </xf>
    <xf numFmtId="3" fontId="26" fillId="0" borderId="14" xfId="0" applyNumberFormat="1" applyFont="1" applyBorder="1" applyAlignment="1">
      <alignment horizontal="center" vertical="center"/>
    </xf>
    <xf numFmtId="3" fontId="26" fillId="0" borderId="3" xfId="0" applyNumberFormat="1" applyFont="1" applyBorder="1" applyAlignment="1">
      <alignment horizontal="center" vertical="center"/>
    </xf>
    <xf numFmtId="3" fontId="9" fillId="0" borderId="0" xfId="0" applyNumberFormat="1" applyFont="1" applyAlignment="1">
      <alignment vertical="center"/>
    </xf>
    <xf numFmtId="0" fontId="6" fillId="0" borderId="3" xfId="0" applyFont="1" applyBorder="1"/>
    <xf numFmtId="0" fontId="27" fillId="0" borderId="0" xfId="0" applyFont="1" applyAlignment="1">
      <alignment horizontal="centerContinuous"/>
    </xf>
    <xf numFmtId="0" fontId="0" fillId="4" borderId="0" xfId="0" applyFill="1"/>
    <xf numFmtId="0" fontId="1" fillId="4" borderId="0" xfId="0" applyFont="1" applyFill="1" applyAlignment="1">
      <alignment horizontal="centerContinuous"/>
    </xf>
    <xf numFmtId="0" fontId="15" fillId="4" borderId="0" xfId="0" applyFont="1" applyFill="1" applyAlignment="1">
      <alignment horizontal="centerContinuous"/>
    </xf>
    <xf numFmtId="0" fontId="0" fillId="4" borderId="0" xfId="0" applyFill="1" applyAlignment="1">
      <alignment horizontal="centerContinuous"/>
    </xf>
    <xf numFmtId="0" fontId="28" fillId="0" borderId="0" xfId="0" applyFont="1" applyAlignment="1">
      <alignment horizontal="centerContinuous"/>
    </xf>
    <xf numFmtId="0" fontId="1" fillId="0" borderId="0" xfId="0" applyFont="1" applyAlignment="1">
      <alignment horizontal="centerContinuous"/>
    </xf>
    <xf numFmtId="0" fontId="21" fillId="4" borderId="0" xfId="0" applyFont="1" applyFill="1" applyAlignment="1">
      <alignment horizontal="centerContinuous"/>
    </xf>
    <xf numFmtId="0" fontId="0" fillId="0" borderId="11" xfId="0" applyBorder="1"/>
    <xf numFmtId="0" fontId="29" fillId="0" borderId="0" xfId="0" applyFont="1" applyAlignment="1">
      <alignment horizontal="centerContinuous"/>
    </xf>
    <xf numFmtId="0" fontId="9" fillId="0" borderId="5" xfId="0" applyFont="1" applyBorder="1" applyAlignment="1">
      <alignment horizontal="centerContinuous"/>
    </xf>
    <xf numFmtId="0" fontId="9" fillId="0" borderId="11" xfId="0" applyFont="1" applyBorder="1" applyAlignment="1">
      <alignment horizontal="centerContinuous"/>
    </xf>
    <xf numFmtId="0" fontId="0" fillId="0" borderId="9" xfId="0" applyBorder="1"/>
    <xf numFmtId="0" fontId="0" fillId="0" borderId="5" xfId="0" applyBorder="1" applyAlignment="1">
      <alignment horizontal="centerContinuous"/>
    </xf>
    <xf numFmtId="0" fontId="0" fillId="0" borderId="6" xfId="0" applyBorder="1"/>
    <xf numFmtId="0" fontId="0" fillId="0" borderId="13" xfId="0" applyBorder="1"/>
    <xf numFmtId="0" fontId="0" fillId="0" borderId="7" xfId="0" applyBorder="1" applyAlignment="1">
      <alignment horizontal="centerContinuous"/>
    </xf>
    <xf numFmtId="0" fontId="0" fillId="0" borderId="12" xfId="0" applyBorder="1" applyAlignment="1">
      <alignment horizontal="centerContinuous"/>
    </xf>
    <xf numFmtId="0" fontId="9" fillId="0" borderId="7" xfId="0" applyFont="1" applyBorder="1" applyAlignment="1">
      <alignment horizontal="centerContinuous" vertical="center"/>
    </xf>
    <xf numFmtId="3" fontId="9" fillId="0" borderId="6" xfId="0" applyNumberFormat="1" applyFont="1" applyBorder="1" applyAlignment="1">
      <alignment horizontal="center" vertical="center"/>
    </xf>
    <xf numFmtId="3" fontId="9" fillId="0" borderId="13" xfId="0" applyNumberFormat="1" applyFont="1" applyBorder="1" applyAlignment="1">
      <alignment horizontal="center" vertical="center"/>
    </xf>
    <xf numFmtId="3" fontId="9" fillId="0" borderId="7" xfId="0" applyNumberFormat="1" applyFont="1" applyBorder="1" applyAlignment="1">
      <alignment horizontal="center" vertical="center"/>
    </xf>
    <xf numFmtId="3" fontId="9" fillId="0" borderId="0" xfId="0" applyNumberFormat="1" applyFont="1" applyAlignment="1">
      <alignment horizontal="center" vertical="center"/>
    </xf>
    <xf numFmtId="0" fontId="6" fillId="0" borderId="0" xfId="0" applyFont="1"/>
    <xf numFmtId="0" fontId="9" fillId="0" borderId="10" xfId="0" applyFont="1" applyBorder="1" applyAlignment="1">
      <alignment horizontal="centerContinuous"/>
    </xf>
    <xf numFmtId="0" fontId="9" fillId="0" borderId="3" xfId="0" applyFont="1" applyBorder="1" applyAlignment="1">
      <alignment horizontal="center" vertical="center"/>
    </xf>
    <xf numFmtId="3" fontId="9" fillId="0" borderId="10" xfId="0" applyNumberFormat="1" applyFont="1" applyBorder="1" applyAlignment="1">
      <alignment horizontal="center"/>
    </xf>
    <xf numFmtId="3" fontId="9" fillId="0" borderId="3" xfId="0" applyNumberFormat="1" applyFont="1" applyBorder="1" applyAlignment="1">
      <alignment horizontal="centerContinuous"/>
    </xf>
    <xf numFmtId="3" fontId="9" fillId="0" borderId="15" xfId="0" applyNumberFormat="1" applyFont="1" applyBorder="1" applyAlignment="1">
      <alignment horizontal="centerContinuous"/>
    </xf>
    <xf numFmtId="3" fontId="9" fillId="0" borderId="10" xfId="0" applyNumberFormat="1" applyFont="1" applyBorder="1" applyAlignment="1">
      <alignment horizontal="centerContinuous"/>
    </xf>
    <xf numFmtId="0" fontId="9" fillId="0" borderId="0" xfId="0" applyFont="1" applyAlignment="1">
      <alignment horizontal="centerContinuous"/>
    </xf>
    <xf numFmtId="0" fontId="9" fillId="0" borderId="0" xfId="0" applyFont="1" applyAlignment="1">
      <alignment horizontal="left"/>
    </xf>
    <xf numFmtId="3" fontId="9" fillId="0" borderId="0" xfId="0" applyNumberFormat="1" applyFont="1"/>
    <xf numFmtId="3" fontId="9" fillId="0" borderId="0" xfId="0" applyNumberFormat="1" applyFont="1" applyAlignment="1">
      <alignment horizontal="centerContinuous"/>
    </xf>
    <xf numFmtId="0" fontId="9" fillId="0" borderId="0" xfId="0" applyFont="1"/>
    <xf numFmtId="2" fontId="0" fillId="0" borderId="6" xfId="0" applyNumberFormat="1" applyBorder="1" applyAlignment="1">
      <alignment horizontal="centerContinuous" vertical="center"/>
    </xf>
    <xf numFmtId="0" fontId="0" fillId="0" borderId="10" xfId="0" applyBorder="1" applyAlignment="1">
      <alignment vertical="center"/>
    </xf>
    <xf numFmtId="2" fontId="0" fillId="0" borderId="3" xfId="0" applyNumberFormat="1" applyBorder="1" applyAlignment="1">
      <alignment horizontal="centerContinuous" vertical="center"/>
    </xf>
    <xf numFmtId="2" fontId="0" fillId="0" borderId="0" xfId="0" applyNumberFormat="1"/>
    <xf numFmtId="168" fontId="0" fillId="0" borderId="0" xfId="0" applyNumberFormat="1"/>
    <xf numFmtId="165" fontId="6" fillId="0" borderId="13" xfId="0" applyNumberFormat="1" applyFont="1" applyBorder="1" applyAlignment="1">
      <alignment horizontal="center" vertical="center"/>
    </xf>
    <xf numFmtId="165" fontId="7" fillId="0" borderId="13" xfId="0" applyNumberFormat="1" applyFont="1" applyBorder="1" applyAlignment="1">
      <alignment horizontal="center" vertical="center"/>
    </xf>
    <xf numFmtId="165" fontId="7" fillId="0" borderId="14" xfId="0" applyNumberFormat="1" applyFont="1" applyBorder="1" applyAlignment="1">
      <alignment horizontal="center" vertical="center"/>
    </xf>
    <xf numFmtId="0" fontId="23" fillId="0" borderId="0" xfId="0" applyFont="1"/>
    <xf numFmtId="0" fontId="19" fillId="2" borderId="0" xfId="0" applyFont="1" applyFill="1" applyAlignment="1">
      <alignment vertical="center"/>
    </xf>
    <xf numFmtId="0" fontId="0" fillId="0" borderId="0" xfId="0" applyAlignment="1">
      <alignment horizontal="center"/>
    </xf>
    <xf numFmtId="0" fontId="29" fillId="0" borderId="0" xfId="0" applyFont="1" applyAlignment="1" applyProtection="1">
      <alignment horizontal="centerContinuous"/>
      <protection locked="0"/>
    </xf>
    <xf numFmtId="0" fontId="5" fillId="0" borderId="0" xfId="0" applyFont="1" applyAlignment="1" applyProtection="1">
      <alignment horizontal="centerContinuous"/>
      <protection locked="0"/>
    </xf>
    <xf numFmtId="0" fontId="0" fillId="0" borderId="12" xfId="0" applyBorder="1"/>
    <xf numFmtId="0" fontId="9" fillId="0" borderId="2" xfId="0" applyFont="1" applyBorder="1" applyAlignment="1">
      <alignment horizontal="centerContinuous"/>
    </xf>
    <xf numFmtId="0" fontId="9" fillId="0" borderId="6" xfId="0" applyFont="1" applyBorder="1" applyAlignment="1">
      <alignment horizontal="centerContinuous" vertical="center"/>
    </xf>
    <xf numFmtId="0" fontId="9" fillId="0" borderId="7" xfId="0" applyFont="1" applyBorder="1" applyAlignment="1">
      <alignment vertical="center"/>
    </xf>
    <xf numFmtId="0" fontId="9" fillId="0" borderId="3" xfId="0" applyFont="1" applyBorder="1" applyAlignment="1">
      <alignment horizontal="centerContinuous" vertical="center"/>
    </xf>
    <xf numFmtId="0" fontId="9" fillId="0" borderId="14" xfId="0" applyFont="1" applyBorder="1" applyAlignment="1">
      <alignment vertical="center"/>
    </xf>
    <xf numFmtId="0" fontId="9" fillId="0" borderId="12" xfId="0" applyFont="1" applyBorder="1" applyAlignment="1">
      <alignment horizontal="centerContinuous"/>
    </xf>
    <xf numFmtId="0" fontId="9" fillId="0" borderId="7" xfId="0" quotePrefix="1" applyFont="1" applyBorder="1" applyAlignment="1">
      <alignment horizontal="centerContinuous" vertical="center"/>
    </xf>
    <xf numFmtId="165" fontId="9" fillId="0" borderId="13" xfId="0" applyNumberFormat="1" applyFont="1" applyBorder="1" applyAlignment="1">
      <alignment horizontal="centerContinuous" vertical="center"/>
    </xf>
    <xf numFmtId="0" fontId="9" fillId="0" borderId="7" xfId="0" applyFont="1" applyBorder="1" applyAlignment="1">
      <alignment horizontal="center" vertical="center"/>
    </xf>
    <xf numFmtId="0" fontId="9" fillId="0" borderId="0" xfId="0" applyFont="1" applyAlignment="1">
      <alignment horizontal="center" vertical="center"/>
    </xf>
    <xf numFmtId="3" fontId="9" fillId="0" borderId="7" xfId="0" applyNumberFormat="1" applyFont="1" applyBorder="1" applyAlignment="1">
      <alignment vertical="center"/>
    </xf>
    <xf numFmtId="165" fontId="9" fillId="0" borderId="13" xfId="0" applyNumberFormat="1" applyFont="1" applyBorder="1" applyAlignment="1">
      <alignment horizontal="center" vertical="center"/>
    </xf>
    <xf numFmtId="0" fontId="9" fillId="0" borderId="3" xfId="0" applyFont="1" applyBorder="1" applyAlignment="1">
      <alignment horizontal="centerContinuous"/>
    </xf>
    <xf numFmtId="0" fontId="9" fillId="0" borderId="14" xfId="0" applyFont="1" applyBorder="1" applyAlignment="1">
      <alignment horizontal="centerContinuous"/>
    </xf>
    <xf numFmtId="0" fontId="9" fillId="0" borderId="15" xfId="0" applyFont="1" applyBorder="1" applyAlignment="1">
      <alignment horizontal="centerContinuous"/>
    </xf>
    <xf numFmtId="0" fontId="9" fillId="0" borderId="12" xfId="0" applyFont="1" applyBorder="1" applyAlignment="1">
      <alignment horizontal="center"/>
    </xf>
    <xf numFmtId="165" fontId="9" fillId="0" borderId="0" xfId="0" applyNumberFormat="1" applyFont="1" applyAlignment="1">
      <alignment horizontal="centerContinuous" vertical="center"/>
    </xf>
    <xf numFmtId="165" fontId="9" fillId="0" borderId="0" xfId="0" applyNumberFormat="1" applyFont="1" applyAlignment="1">
      <alignment horizontal="center" vertical="center"/>
    </xf>
    <xf numFmtId="1" fontId="9" fillId="0" borderId="0" xfId="0" applyNumberFormat="1" applyFont="1" applyAlignment="1">
      <alignment horizontal="center" vertical="center"/>
    </xf>
    <xf numFmtId="3" fontId="9" fillId="0" borderId="7" xfId="0" applyNumberFormat="1" applyFont="1" applyBorder="1" applyAlignment="1">
      <alignment horizontal="centerContinuous" vertical="center"/>
    </xf>
    <xf numFmtId="0" fontId="31" fillId="0" borderId="0" xfId="0" applyFont="1" applyAlignment="1">
      <alignment horizontal="centerContinuous"/>
    </xf>
    <xf numFmtId="0" fontId="9" fillId="0" borderId="0" xfId="0" applyFont="1" applyAlignment="1">
      <alignment horizontal="centerContinuous" vertical="center"/>
    </xf>
    <xf numFmtId="1" fontId="9" fillId="0" borderId="7" xfId="0" applyNumberFormat="1" applyFont="1" applyBorder="1" applyAlignment="1">
      <alignment horizontal="center" vertical="center"/>
    </xf>
    <xf numFmtId="0" fontId="9" fillId="0" borderId="10" xfId="0" applyFont="1" applyBorder="1"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0" fontId="9" fillId="0" borderId="11" xfId="0" applyFont="1" applyBorder="1" applyAlignment="1">
      <alignment horizontal="centerContinuous" vertical="center"/>
    </xf>
    <xf numFmtId="0" fontId="9" fillId="0" borderId="2" xfId="0" applyFont="1" applyBorder="1" applyAlignment="1">
      <alignment horizontal="centerContinuous" vertical="center"/>
    </xf>
    <xf numFmtId="0" fontId="9" fillId="0" borderId="12" xfId="0" applyFont="1" applyBorder="1" applyAlignment="1">
      <alignment horizontal="centerContinuous" vertical="center"/>
    </xf>
    <xf numFmtId="0" fontId="5" fillId="0" borderId="0" xfId="0" applyFont="1"/>
    <xf numFmtId="0" fontId="0" fillId="0" borderId="2" xfId="0" applyBorder="1" applyAlignment="1">
      <alignment horizontal="center" vertical="center"/>
    </xf>
    <xf numFmtId="0" fontId="9" fillId="0" borderId="6" xfId="0" applyFont="1" applyBorder="1" applyAlignment="1">
      <alignment vertical="center"/>
    </xf>
    <xf numFmtId="0" fontId="6" fillId="0" borderId="6" xfId="0" applyFont="1" applyBorder="1" applyAlignment="1">
      <alignment horizontal="center" vertical="center"/>
    </xf>
    <xf numFmtId="0" fontId="6" fillId="0" borderId="0" xfId="0" applyFont="1" applyAlignment="1">
      <alignment horizontal="center" vertical="center"/>
    </xf>
    <xf numFmtId="0" fontId="9" fillId="0" borderId="3" xfId="0" applyFont="1" applyBorder="1" applyAlignment="1">
      <alignment vertical="center"/>
    </xf>
    <xf numFmtId="0" fontId="6" fillId="0" borderId="15" xfId="0" applyFont="1" applyBorder="1" applyAlignment="1">
      <alignment horizontal="centerContinuous" vertical="center"/>
    </xf>
    <xf numFmtId="0" fontId="6" fillId="0" borderId="3" xfId="0" applyFont="1" applyBorder="1" applyAlignment="1">
      <alignment horizontal="centerContinuous" vertical="center"/>
    </xf>
    <xf numFmtId="3" fontId="6" fillId="0" borderId="14" xfId="0" applyNumberFormat="1" applyFont="1" applyBorder="1" applyAlignment="1">
      <alignment horizontal="centerContinuous" vertical="center"/>
    </xf>
    <xf numFmtId="0" fontId="21" fillId="0" borderId="0" xfId="0" applyFont="1" applyAlignment="1">
      <alignment horizontal="center"/>
    </xf>
    <xf numFmtId="0" fontId="34" fillId="0" borderId="0" xfId="0" applyFont="1"/>
    <xf numFmtId="0" fontId="0" fillId="0" borderId="2" xfId="0" applyBorder="1"/>
    <xf numFmtId="0" fontId="0" fillId="0" borderId="14" xfId="0" applyBorder="1" applyAlignment="1">
      <alignment vertical="center"/>
    </xf>
    <xf numFmtId="0" fontId="34" fillId="0" borderId="0" xfId="0" applyFont="1" applyAlignment="1">
      <alignment vertical="center"/>
    </xf>
    <xf numFmtId="166" fontId="32" fillId="0" borderId="0" xfId="0" applyNumberFormat="1" applyFont="1" applyAlignment="1">
      <alignment horizontal="center" vertical="center"/>
    </xf>
    <xf numFmtId="166" fontId="6" fillId="0" borderId="0" xfId="0" applyNumberFormat="1" applyFont="1" applyAlignment="1">
      <alignment horizontal="center" vertical="center"/>
    </xf>
    <xf numFmtId="166" fontId="6" fillId="0" borderId="15" xfId="0" applyNumberFormat="1" applyFont="1" applyBorder="1" applyAlignment="1">
      <alignment horizontal="centerContinuous" vertical="center"/>
    </xf>
    <xf numFmtId="0" fontId="0" fillId="0" borderId="13" xfId="0" applyBorder="1" applyAlignment="1">
      <alignment horizontal="center" vertical="center"/>
    </xf>
    <xf numFmtId="0" fontId="34" fillId="0" borderId="0" xfId="0" applyFont="1" applyAlignment="1">
      <alignment horizontal="center" vertical="center"/>
    </xf>
    <xf numFmtId="0" fontId="6" fillId="0" borderId="14" xfId="0" applyFont="1" applyBorder="1" applyAlignment="1">
      <alignment horizontal="centerContinuous" vertical="center"/>
    </xf>
    <xf numFmtId="3" fontId="18" fillId="0" borderId="1" xfId="0" applyNumberFormat="1" applyFont="1" applyBorder="1" applyAlignment="1">
      <alignment horizontal="center" vertical="center"/>
    </xf>
    <xf numFmtId="3" fontId="0" fillId="0" borderId="11" xfId="0" applyNumberFormat="1" applyBorder="1"/>
    <xf numFmtId="0" fontId="0" fillId="0" borderId="7" xfId="0" applyBorder="1"/>
    <xf numFmtId="0" fontId="0" fillId="0" borderId="13" xfId="0" applyBorder="1" applyAlignment="1">
      <alignment horizontal="centerContinuous"/>
    </xf>
    <xf numFmtId="0" fontId="0" fillId="0" borderId="10" xfId="0" applyBorder="1"/>
    <xf numFmtId="0" fontId="0" fillId="0" borderId="14" xfId="0" applyBorder="1"/>
    <xf numFmtId="3" fontId="0" fillId="0" borderId="0" xfId="0" applyNumberFormat="1" applyAlignment="1">
      <alignment horizontal="center" vertical="center"/>
    </xf>
    <xf numFmtId="2" fontId="0" fillId="0" borderId="13" xfId="0" applyNumberFormat="1" applyBorder="1" applyAlignment="1">
      <alignment horizontal="center" vertical="center"/>
    </xf>
    <xf numFmtId="3" fontId="0" fillId="0" borderId="15" xfId="0" applyNumberFormat="1" applyBorder="1" applyAlignment="1">
      <alignment horizontal="center" vertical="center"/>
    </xf>
    <xf numFmtId="2" fontId="0" fillId="0" borderId="14" xfId="0" applyNumberFormat="1" applyBorder="1" applyAlignment="1">
      <alignment horizontal="center" vertical="center"/>
    </xf>
    <xf numFmtId="0" fontId="35" fillId="0" borderId="0" xfId="0" applyFont="1" applyAlignment="1">
      <alignment horizontal="center"/>
    </xf>
    <xf numFmtId="0" fontId="36" fillId="0" borderId="0" xfId="0" applyFont="1" applyAlignment="1">
      <alignment horizontal="center"/>
    </xf>
    <xf numFmtId="0" fontId="6" fillId="0" borderId="5" xfId="0" applyFont="1" applyBorder="1" applyAlignment="1">
      <alignment vertical="center"/>
    </xf>
    <xf numFmtId="0" fontId="6" fillId="0" borderId="10" xfId="0" applyFont="1" applyBorder="1" applyAlignment="1">
      <alignment horizontal="centerContinuous" vertical="center"/>
    </xf>
    <xf numFmtId="0" fontId="18" fillId="0" borderId="6" xfId="0" applyFont="1" applyBorder="1" applyAlignment="1">
      <alignment vertical="center"/>
    </xf>
    <xf numFmtId="3" fontId="18" fillId="0" borderId="6" xfId="0" applyNumberFormat="1" applyFont="1" applyBorder="1" applyAlignment="1">
      <alignment horizontal="center"/>
    </xf>
    <xf numFmtId="165" fontId="18" fillId="0" borderId="0" xfId="0" applyNumberFormat="1" applyFont="1" applyAlignment="1">
      <alignment horizontal="center"/>
    </xf>
    <xf numFmtId="0" fontId="37" fillId="0" borderId="6" xfId="0" applyFont="1" applyBorder="1" applyAlignment="1">
      <alignment horizontal="left" vertical="center"/>
    </xf>
    <xf numFmtId="0" fontId="37" fillId="0" borderId="7" xfId="0" applyFont="1" applyBorder="1" applyAlignment="1">
      <alignment horizontal="center" vertical="center"/>
    </xf>
    <xf numFmtId="0" fontId="37" fillId="0" borderId="0" xfId="0" applyFont="1" applyAlignment="1">
      <alignment horizontal="center" vertical="center"/>
    </xf>
    <xf numFmtId="0" fontId="37" fillId="0" borderId="13" xfId="0" applyFont="1" applyBorder="1" applyAlignment="1">
      <alignment horizontal="center" vertical="center"/>
    </xf>
    <xf numFmtId="0" fontId="37" fillId="0" borderId="15" xfId="0" applyFont="1" applyBorder="1" applyAlignment="1">
      <alignment horizontal="center" vertical="center"/>
    </xf>
    <xf numFmtId="0" fontId="37" fillId="0" borderId="14" xfId="0" applyFont="1" applyBorder="1" applyAlignment="1">
      <alignment horizontal="center" vertical="center"/>
    </xf>
    <xf numFmtId="165" fontId="37" fillId="0" borderId="13" xfId="0" applyNumberFormat="1" applyFont="1" applyBorder="1" applyAlignment="1">
      <alignment horizontal="center" vertical="center"/>
    </xf>
    <xf numFmtId="165" fontId="37" fillId="0" borderId="0" xfId="0" applyNumberFormat="1" applyFont="1" applyAlignment="1">
      <alignment horizontal="center" vertical="center"/>
    </xf>
    <xf numFmtId="3" fontId="37" fillId="0" borderId="7" xfId="0" applyNumberFormat="1" applyFont="1" applyBorder="1" applyAlignment="1">
      <alignment horizontal="center" vertical="center"/>
    </xf>
    <xf numFmtId="3" fontId="37" fillId="0" borderId="0" xfId="0" applyNumberFormat="1" applyFont="1" applyAlignment="1">
      <alignment horizontal="center" vertical="center"/>
    </xf>
    <xf numFmtId="165" fontId="37" fillId="0" borderId="14" xfId="0" applyNumberFormat="1" applyFont="1" applyBorder="1" applyAlignment="1">
      <alignment horizontal="center" vertical="center"/>
    </xf>
    <xf numFmtId="165" fontId="37" fillId="0" borderId="15" xfId="0" applyNumberFormat="1" applyFont="1" applyBorder="1" applyAlignment="1">
      <alignment horizontal="center" vertical="center"/>
    </xf>
    <xf numFmtId="3" fontId="37" fillId="0" borderId="10" xfId="0" applyNumberFormat="1" applyFont="1" applyBorder="1" applyAlignment="1">
      <alignment horizontal="center" vertical="center"/>
    </xf>
    <xf numFmtId="3" fontId="37" fillId="0" borderId="15" xfId="0" applyNumberFormat="1" applyFont="1" applyBorder="1" applyAlignment="1">
      <alignment horizontal="center" vertical="center"/>
    </xf>
    <xf numFmtId="0" fontId="21" fillId="0" borderId="0" xfId="0" applyFont="1"/>
    <xf numFmtId="0" fontId="37" fillId="0" borderId="7" xfId="0" applyFont="1" applyBorder="1" applyAlignment="1">
      <alignment vertical="center"/>
    </xf>
    <xf numFmtId="0" fontId="37" fillId="0" borderId="10" xfId="0" applyFont="1" applyBorder="1" applyAlignment="1">
      <alignment vertical="center"/>
    </xf>
    <xf numFmtId="1" fontId="37" fillId="0" borderId="13" xfId="0" applyNumberFormat="1" applyFont="1" applyBorder="1" applyAlignment="1">
      <alignment horizontal="center" vertical="center"/>
    </xf>
    <xf numFmtId="1" fontId="37" fillId="0" borderId="0" xfId="0" applyNumberFormat="1" applyFont="1" applyAlignment="1">
      <alignment horizontal="center" vertical="center"/>
    </xf>
    <xf numFmtId="0" fontId="0" fillId="0" borderId="4" xfId="0" applyBorder="1"/>
    <xf numFmtId="0" fontId="37" fillId="0" borderId="13" xfId="0" applyFont="1" applyBorder="1" applyAlignment="1">
      <alignment horizontal="center"/>
    </xf>
    <xf numFmtId="0" fontId="37" fillId="0" borderId="14" xfId="0" applyFont="1" applyBorder="1" applyAlignment="1">
      <alignment horizontal="center"/>
    </xf>
    <xf numFmtId="0" fontId="37" fillId="0" borderId="7" xfId="0" applyFont="1" applyBorder="1"/>
    <xf numFmtId="0" fontId="37" fillId="0" borderId="13" xfId="0" applyFont="1" applyBorder="1"/>
    <xf numFmtId="3" fontId="37" fillId="0" borderId="7" xfId="0" applyNumberFormat="1" applyFont="1" applyBorder="1" applyAlignment="1">
      <alignment horizontal="center"/>
    </xf>
    <xf numFmtId="3" fontId="37" fillId="0" borderId="0" xfId="0" applyNumberFormat="1" applyFont="1" applyAlignment="1">
      <alignment horizontal="center"/>
    </xf>
    <xf numFmtId="0" fontId="37" fillId="0" borderId="10" xfId="0" applyFont="1" applyBorder="1"/>
    <xf numFmtId="0" fontId="37" fillId="0" borderId="14" xfId="0" applyFont="1" applyBorder="1"/>
    <xf numFmtId="3" fontId="37" fillId="0" borderId="10" xfId="0" applyNumberFormat="1" applyFont="1" applyBorder="1" applyAlignment="1">
      <alignment horizontal="center"/>
    </xf>
    <xf numFmtId="3" fontId="37" fillId="0" borderId="15" xfId="0" applyNumberFormat="1" applyFont="1" applyBorder="1" applyAlignment="1">
      <alignment horizontal="center"/>
    </xf>
    <xf numFmtId="3" fontId="37" fillId="0" borderId="14" xfId="0" applyNumberFormat="1" applyFont="1" applyBorder="1" applyAlignment="1">
      <alignment horizontal="center"/>
    </xf>
    <xf numFmtId="0" fontId="37" fillId="0" borderId="0" xfId="0" applyFont="1"/>
    <xf numFmtId="0" fontId="19" fillId="0" borderId="0" xfId="0" applyFont="1"/>
    <xf numFmtId="0" fontId="37" fillId="0" borderId="11" xfId="0" applyFont="1" applyBorder="1"/>
    <xf numFmtId="0" fontId="37" fillId="0" borderId="12" xfId="0" applyFont="1" applyBorder="1"/>
    <xf numFmtId="3" fontId="37" fillId="0" borderId="11" xfId="0" applyNumberFormat="1" applyFont="1" applyBorder="1"/>
    <xf numFmtId="3" fontId="37" fillId="0" borderId="2" xfId="0" applyNumberFormat="1" applyFont="1" applyBorder="1"/>
    <xf numFmtId="3" fontId="37" fillId="0" borderId="12" xfId="0" applyNumberFormat="1" applyFont="1" applyBorder="1"/>
    <xf numFmtId="0" fontId="37" fillId="0" borderId="2" xfId="0" applyFont="1" applyBorder="1"/>
    <xf numFmtId="3" fontId="37" fillId="0" borderId="13" xfId="0" applyNumberFormat="1" applyFont="1" applyBorder="1"/>
    <xf numFmtId="3" fontId="37" fillId="0" borderId="0" xfId="0" applyNumberFormat="1" applyFont="1"/>
    <xf numFmtId="0" fontId="18" fillId="0" borderId="7" xfId="0" applyFont="1" applyBorder="1"/>
    <xf numFmtId="0" fontId="18" fillId="0" borderId="0" xfId="0" applyFont="1"/>
    <xf numFmtId="3" fontId="37" fillId="0" borderId="14" xfId="0" applyNumberFormat="1" applyFont="1" applyBorder="1"/>
    <xf numFmtId="3" fontId="37" fillId="0" borderId="15" xfId="0" applyNumberFormat="1" applyFont="1" applyBorder="1"/>
    <xf numFmtId="0" fontId="18" fillId="0" borderId="10" xfId="0" applyFont="1" applyBorder="1"/>
    <xf numFmtId="0" fontId="37" fillId="0" borderId="1" xfId="0" applyFont="1" applyBorder="1" applyAlignment="1">
      <alignment horizontal="center"/>
    </xf>
    <xf numFmtId="3" fontId="37" fillId="0" borderId="1" xfId="0" applyNumberFormat="1" applyFont="1" applyBorder="1" applyAlignment="1">
      <alignment horizontal="center"/>
    </xf>
    <xf numFmtId="0" fontId="25" fillId="0" borderId="0" xfId="0" applyFont="1" applyAlignment="1">
      <alignment horizontal="center"/>
    </xf>
    <xf numFmtId="0" fontId="37" fillId="0" borderId="6" xfId="0" applyFont="1" applyBorder="1" applyAlignment="1">
      <alignment horizontal="center"/>
    </xf>
    <xf numFmtId="2" fontId="37" fillId="0" borderId="0" xfId="0" applyNumberFormat="1" applyFont="1" applyAlignment="1">
      <alignment horizontal="center"/>
    </xf>
    <xf numFmtId="1" fontId="37" fillId="0" borderId="13" xfId="0" applyNumberFormat="1" applyFont="1" applyBorder="1" applyAlignment="1">
      <alignment horizontal="center"/>
    </xf>
    <xf numFmtId="0" fontId="37" fillId="0" borderId="3" xfId="0" applyFont="1" applyBorder="1" applyAlignment="1">
      <alignment horizontal="center"/>
    </xf>
    <xf numFmtId="2" fontId="37" fillId="0" borderId="15" xfId="0" applyNumberFormat="1" applyFont="1" applyBorder="1" applyAlignment="1">
      <alignment horizontal="center"/>
    </xf>
    <xf numFmtId="0" fontId="37" fillId="0" borderId="0" xfId="0" applyFont="1" applyAlignment="1">
      <alignment horizontal="center"/>
    </xf>
    <xf numFmtId="165" fontId="37" fillId="0" borderId="7" xfId="0" applyNumberFormat="1" applyFont="1" applyBorder="1" applyAlignment="1">
      <alignment horizontal="center" vertical="center"/>
    </xf>
    <xf numFmtId="165" fontId="37" fillId="0" borderId="10" xfId="0" applyNumberFormat="1" applyFont="1" applyBorder="1" applyAlignment="1">
      <alignment horizontal="center" vertical="center"/>
    </xf>
    <xf numFmtId="0" fontId="9" fillId="0" borderId="6" xfId="0" quotePrefix="1" applyFont="1" applyBorder="1" applyAlignment="1">
      <alignment horizontal="centerContinuous" vertical="center"/>
    </xf>
    <xf numFmtId="0" fontId="18" fillId="0" borderId="0" xfId="0" applyFont="1" applyAlignment="1">
      <alignment horizontal="center" vertical="center"/>
    </xf>
    <xf numFmtId="3" fontId="18" fillId="0" borderId="10" xfId="0" applyNumberFormat="1" applyFont="1" applyBorder="1" applyAlignment="1">
      <alignment horizontal="center" vertical="center"/>
    </xf>
    <xf numFmtId="3" fontId="18" fillId="0" borderId="15" xfId="0" applyNumberFormat="1" applyFont="1" applyBorder="1" applyAlignment="1">
      <alignment horizontal="center" vertical="center"/>
    </xf>
    <xf numFmtId="3" fontId="18" fillId="0" borderId="14" xfId="0" applyNumberFormat="1" applyFont="1" applyBorder="1" applyAlignment="1">
      <alignment horizontal="center" vertical="center"/>
    </xf>
    <xf numFmtId="0" fontId="10" fillId="0" borderId="5" xfId="0" applyFont="1" applyBorder="1" applyAlignment="1">
      <alignment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18" fillId="0" borderId="2" xfId="0" applyFont="1" applyBorder="1" applyAlignment="1">
      <alignment horizontal="center" vertical="center"/>
    </xf>
    <xf numFmtId="0" fontId="10" fillId="0" borderId="3" xfId="0" applyFont="1" applyBorder="1" applyAlignment="1">
      <alignment vertical="center"/>
    </xf>
    <xf numFmtId="2" fontId="18" fillId="0" borderId="10" xfId="0" applyNumberFormat="1" applyFont="1" applyBorder="1" applyAlignment="1">
      <alignment horizontal="center" vertical="center"/>
    </xf>
    <xf numFmtId="2" fontId="18" fillId="0" borderId="15" xfId="0" applyNumberFormat="1" applyFont="1" applyBorder="1" applyAlignment="1">
      <alignment horizontal="center" vertical="center"/>
    </xf>
    <xf numFmtId="0" fontId="26" fillId="0" borderId="1" xfId="0" quotePrefix="1" applyFont="1" applyBorder="1" applyAlignment="1">
      <alignment horizontal="centerContinuous" vertical="center" wrapText="1"/>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26" fillId="0" borderId="1" xfId="0" applyFont="1" applyBorder="1" applyAlignment="1">
      <alignment horizontal="centerContinuous" vertical="center" wrapText="1"/>
    </xf>
    <xf numFmtId="0" fontId="26" fillId="0" borderId="1" xfId="0" applyFont="1" applyBorder="1" applyAlignment="1">
      <alignment horizontal="center" vertical="center" wrapText="1"/>
    </xf>
    <xf numFmtId="0" fontId="26" fillId="0" borderId="12" xfId="0" applyFont="1" applyBorder="1" applyAlignment="1">
      <alignment horizontal="center" vertical="center" wrapText="1"/>
    </xf>
    <xf numFmtId="0" fontId="10" fillId="0" borderId="0" xfId="0" applyFont="1" applyAlignment="1">
      <alignment vertical="center"/>
    </xf>
    <xf numFmtId="0" fontId="18" fillId="0" borderId="7" xfId="0" applyFont="1" applyBorder="1" applyAlignment="1">
      <alignment vertical="center"/>
    </xf>
    <xf numFmtId="3" fontId="37" fillId="0" borderId="13" xfId="0" applyNumberFormat="1" applyFont="1" applyBorder="1" applyAlignment="1">
      <alignment horizontal="center" vertical="center"/>
    </xf>
    <xf numFmtId="3" fontId="37" fillId="0" borderId="2" xfId="0" applyNumberFormat="1" applyFont="1" applyBorder="1" applyAlignment="1">
      <alignment horizontal="center" vertical="center"/>
    </xf>
    <xf numFmtId="3" fontId="37" fillId="0" borderId="11" xfId="0" applyNumberFormat="1" applyFont="1" applyBorder="1" applyAlignment="1">
      <alignment horizontal="center" vertical="center"/>
    </xf>
    <xf numFmtId="3" fontId="37" fillId="0" borderId="12" xfId="0" applyNumberFormat="1" applyFont="1" applyBorder="1" applyAlignment="1">
      <alignment horizontal="center" vertical="center"/>
    </xf>
    <xf numFmtId="3" fontId="19" fillId="0" borderId="0" xfId="0" applyNumberFormat="1" applyFont="1" applyAlignment="1">
      <alignment horizontal="center" vertical="center"/>
    </xf>
    <xf numFmtId="3" fontId="19" fillId="0" borderId="13" xfId="0" applyNumberFormat="1" applyFont="1" applyBorder="1" applyAlignment="1">
      <alignment horizontal="center" vertical="center"/>
    </xf>
    <xf numFmtId="0" fontId="14" fillId="0" borderId="7" xfId="0" applyFont="1" applyBorder="1" applyAlignment="1">
      <alignment vertical="center"/>
    </xf>
    <xf numFmtId="0" fontId="18" fillId="0" borderId="11" xfId="0" applyFont="1" applyBorder="1" applyAlignment="1">
      <alignment vertical="center"/>
    </xf>
    <xf numFmtId="0" fontId="18" fillId="0" borderId="5" xfId="0" applyFont="1" applyBorder="1" applyAlignment="1">
      <alignment vertical="center"/>
    </xf>
    <xf numFmtId="0" fontId="37" fillId="0" borderId="0" xfId="0" applyFont="1" applyAlignment="1">
      <alignment vertical="center"/>
    </xf>
    <xf numFmtId="0" fontId="14" fillId="0" borderId="13" xfId="0" applyFont="1" applyBorder="1" applyAlignment="1">
      <alignment vertical="center"/>
    </xf>
    <xf numFmtId="0" fontId="19" fillId="0" borderId="0" xfId="0" applyFont="1" applyAlignment="1">
      <alignment vertical="center"/>
    </xf>
    <xf numFmtId="3" fontId="37" fillId="0" borderId="0" xfId="0" applyNumberFormat="1" applyFont="1" applyAlignment="1">
      <alignment vertical="center"/>
    </xf>
    <xf numFmtId="3" fontId="19" fillId="0" borderId="0" xfId="0" applyNumberFormat="1" applyFont="1" applyAlignment="1">
      <alignment vertical="center"/>
    </xf>
    <xf numFmtId="0" fontId="19" fillId="0" borderId="0" xfId="0" applyFont="1" applyAlignment="1">
      <alignment horizontal="center" vertical="center"/>
    </xf>
    <xf numFmtId="0" fontId="37" fillId="0" borderId="5" xfId="0" applyFont="1" applyBorder="1" applyAlignment="1">
      <alignment vertical="center"/>
    </xf>
    <xf numFmtId="0" fontId="37" fillId="0" borderId="6" xfId="0" applyFont="1" applyBorder="1" applyAlignment="1">
      <alignment vertical="center"/>
    </xf>
    <xf numFmtId="3" fontId="6" fillId="0" borderId="13" xfId="0" applyNumberFormat="1" applyFont="1" applyBorder="1" applyAlignment="1">
      <alignment horizontal="center" vertical="center"/>
    </xf>
    <xf numFmtId="0" fontId="37" fillId="0" borderId="3" xfId="0" applyFont="1" applyBorder="1" applyAlignment="1">
      <alignment vertical="center"/>
    </xf>
    <xf numFmtId="3" fontId="37" fillId="0" borderId="14" xfId="0" applyNumberFormat="1" applyFont="1" applyBorder="1" applyAlignment="1">
      <alignment horizontal="center" vertical="center"/>
    </xf>
    <xf numFmtId="0" fontId="6" fillId="0" borderId="7"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2" xfId="0" applyFont="1" applyBorder="1" applyAlignment="1">
      <alignment horizontal="center" vertical="center"/>
    </xf>
    <xf numFmtId="0" fontId="6" fillId="0" borderId="15" xfId="0" applyFont="1" applyBorder="1" applyAlignment="1">
      <alignment horizontal="center" vertical="center"/>
    </xf>
    <xf numFmtId="0" fontId="6" fillId="0" borderId="11" xfId="0" applyFont="1" applyBorder="1" applyAlignment="1">
      <alignment horizontal="center" vertical="center"/>
    </xf>
    <xf numFmtId="0" fontId="6" fillId="0" borderId="5" xfId="0" applyFont="1" applyBorder="1"/>
    <xf numFmtId="3" fontId="6" fillId="0" borderId="12" xfId="0" applyNumberFormat="1" applyFont="1" applyBorder="1" applyAlignment="1">
      <alignment vertical="center"/>
    </xf>
    <xf numFmtId="0" fontId="6" fillId="0" borderId="6" xfId="0" applyFont="1" applyBorder="1"/>
    <xf numFmtId="3" fontId="6" fillId="0" borderId="0" xfId="0" applyNumberFormat="1" applyFont="1" applyAlignment="1">
      <alignment horizontal="center" vertical="center"/>
    </xf>
    <xf numFmtId="3" fontId="6" fillId="0" borderId="7" xfId="0" applyNumberFormat="1" applyFont="1" applyBorder="1" applyAlignment="1">
      <alignment horizontal="center" vertical="center"/>
    </xf>
    <xf numFmtId="0" fontId="6" fillId="0" borderId="0" xfId="0" applyFont="1" applyAlignment="1">
      <alignment horizontal="center"/>
    </xf>
    <xf numFmtId="3" fontId="6" fillId="0" borderId="15" xfId="0" applyNumberFormat="1" applyFont="1" applyBorder="1" applyAlignment="1">
      <alignment horizontal="center" vertical="center"/>
    </xf>
    <xf numFmtId="3" fontId="6" fillId="0" borderId="14" xfId="0" applyNumberFormat="1" applyFont="1" applyBorder="1" applyAlignment="1">
      <alignment horizontal="center" vertical="center"/>
    </xf>
    <xf numFmtId="3" fontId="6" fillId="0" borderId="10" xfId="0" applyNumberFormat="1" applyFont="1" applyBorder="1" applyAlignment="1">
      <alignment horizontal="center" vertical="center"/>
    </xf>
    <xf numFmtId="3" fontId="6" fillId="0" borderId="11" xfId="0" applyNumberFormat="1" applyFont="1" applyBorder="1" applyAlignment="1">
      <alignment horizontal="center" vertical="center"/>
    </xf>
    <xf numFmtId="3" fontId="6" fillId="0" borderId="12" xfId="0" applyNumberFormat="1" applyFont="1" applyBorder="1" applyAlignment="1">
      <alignment horizontal="center" vertical="center"/>
    </xf>
    <xf numFmtId="3" fontId="6" fillId="0" borderId="2" xfId="0" applyNumberFormat="1" applyFont="1" applyBorder="1" applyAlignment="1">
      <alignment horizontal="center"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7" xfId="0" applyFont="1" applyBorder="1" applyAlignment="1">
      <alignment vertical="center"/>
    </xf>
    <xf numFmtId="0" fontId="6" fillId="0" borderId="10" xfId="0" applyFont="1" applyBorder="1" applyAlignment="1">
      <alignment vertical="center"/>
    </xf>
    <xf numFmtId="3" fontId="6" fillId="0" borderId="0" xfId="0" applyNumberFormat="1" applyFont="1" applyAlignment="1">
      <alignment vertical="center"/>
    </xf>
    <xf numFmtId="0" fontId="0" fillId="0" borderId="15" xfId="0" applyBorder="1" applyAlignment="1">
      <alignment horizontal="center"/>
    </xf>
    <xf numFmtId="3" fontId="39" fillId="0" borderId="5" xfId="0" applyNumberFormat="1" applyFont="1" applyBorder="1" applyAlignment="1">
      <alignment horizontal="center" vertical="center"/>
    </xf>
    <xf numFmtId="3" fontId="40" fillId="0" borderId="0" xfId="0" applyNumberFormat="1" applyFont="1" applyAlignment="1">
      <alignment horizontal="center" vertical="center"/>
    </xf>
    <xf numFmtId="3" fontId="39" fillId="0" borderId="6" xfId="0" applyNumberFormat="1" applyFont="1" applyBorder="1" applyAlignment="1">
      <alignment horizontal="center" vertical="center"/>
    </xf>
    <xf numFmtId="0" fontId="18" fillId="0" borderId="0" xfId="0" applyFont="1" applyAlignment="1">
      <alignment horizontal="center"/>
    </xf>
    <xf numFmtId="3" fontId="18" fillId="0" borderId="0" xfId="0" applyNumberFormat="1" applyFont="1" applyAlignment="1">
      <alignment horizontal="center" vertical="center"/>
    </xf>
    <xf numFmtId="3" fontId="39" fillId="0" borderId="1" xfId="0" applyNumberFormat="1" applyFont="1" applyBorder="1" applyAlignment="1">
      <alignment horizontal="center" vertical="center"/>
    </xf>
    <xf numFmtId="3" fontId="39" fillId="0" borderId="0" xfId="0" applyNumberFormat="1" applyFont="1" applyAlignment="1">
      <alignment vertical="center"/>
    </xf>
    <xf numFmtId="0" fontId="14" fillId="0" borderId="0" xfId="0" applyFont="1" applyAlignment="1">
      <alignment horizontal="center" vertical="center"/>
    </xf>
    <xf numFmtId="0" fontId="9" fillId="0" borderId="1" xfId="0" applyFont="1" applyBorder="1" applyAlignment="1">
      <alignment horizontal="left" vertical="center"/>
    </xf>
    <xf numFmtId="3" fontId="9" fillId="0" borderId="1" xfId="0" applyNumberFormat="1" applyFont="1" applyBorder="1" applyAlignment="1">
      <alignment horizontal="center" vertical="center"/>
    </xf>
    <xf numFmtId="166" fontId="9" fillId="0" borderId="1" xfId="0" applyNumberFormat="1" applyFont="1" applyBorder="1" applyAlignment="1">
      <alignment horizontal="center" vertical="center"/>
    </xf>
    <xf numFmtId="0" fontId="25" fillId="0" borderId="0" xfId="0" applyFont="1"/>
    <xf numFmtId="3" fontId="6" fillId="0" borderId="6" xfId="0" applyNumberFormat="1" applyFont="1" applyBorder="1" applyAlignment="1">
      <alignment horizontal="center" vertical="center"/>
    </xf>
    <xf numFmtId="0" fontId="6" fillId="0" borderId="6" xfId="0" applyFont="1" applyBorder="1" applyAlignment="1">
      <alignment horizontal="left" vertical="center"/>
    </xf>
    <xf numFmtId="3" fontId="6" fillId="0" borderId="3" xfId="0" applyNumberFormat="1" applyFont="1" applyBorder="1" applyAlignment="1">
      <alignment horizontal="center" vertical="center"/>
    </xf>
    <xf numFmtId="0" fontId="6" fillId="0" borderId="11" xfId="0" applyFont="1" applyBorder="1" applyAlignment="1">
      <alignment horizontal="left" vertical="center"/>
    </xf>
    <xf numFmtId="3" fontId="6" fillId="0" borderId="5" xfId="0" applyNumberFormat="1" applyFont="1" applyBorder="1" applyAlignment="1">
      <alignment horizontal="center" vertical="center"/>
    </xf>
    <xf numFmtId="0" fontId="6" fillId="0" borderId="7" xfId="0" applyFont="1" applyBorder="1" applyAlignment="1">
      <alignment horizontal="left" vertical="center"/>
    </xf>
    <xf numFmtId="0" fontId="6" fillId="0" borderId="10" xfId="0" applyFont="1" applyBorder="1" applyAlignment="1">
      <alignment horizontal="left" vertical="center"/>
    </xf>
    <xf numFmtId="0" fontId="24" fillId="0" borderId="0" xfId="0" applyFont="1" applyAlignment="1">
      <alignment horizontal="center"/>
    </xf>
    <xf numFmtId="0" fontId="16" fillId="0" borderId="0" xfId="0" applyFont="1"/>
    <xf numFmtId="3" fontId="37" fillId="0" borderId="6" xfId="0" applyNumberFormat="1" applyFont="1" applyBorder="1" applyAlignment="1">
      <alignment horizontal="center" vertical="center"/>
    </xf>
    <xf numFmtId="166" fontId="37" fillId="0" borderId="6" xfId="0" applyNumberFormat="1" applyFont="1" applyBorder="1" applyAlignment="1">
      <alignment horizontal="center" vertical="center"/>
    </xf>
    <xf numFmtId="0" fontId="9" fillId="0" borderId="0" xfId="0" applyFont="1" applyAlignment="1">
      <alignment horizontal="center" vertical="center" wrapText="1"/>
    </xf>
    <xf numFmtId="0" fontId="9" fillId="0" borderId="6" xfId="0" applyFont="1" applyBorder="1" applyAlignment="1">
      <alignment horizontal="center" vertical="center"/>
    </xf>
    <xf numFmtId="3" fontId="0" fillId="0" borderId="13" xfId="0" applyNumberFormat="1" applyBorder="1" applyAlignment="1">
      <alignment horizontal="center" vertical="center"/>
    </xf>
    <xf numFmtId="3" fontId="0" fillId="0" borderId="10" xfId="0" applyNumberFormat="1" applyBorder="1" applyAlignment="1">
      <alignment horizontal="center" vertical="center"/>
    </xf>
    <xf numFmtId="0" fontId="9" fillId="0" borderId="11" xfId="0" applyFont="1" applyBorder="1" applyAlignment="1">
      <alignment vertical="center"/>
    </xf>
    <xf numFmtId="0" fontId="9" fillId="0" borderId="5" xfId="0" applyFont="1" applyBorder="1" applyAlignment="1">
      <alignment vertical="center"/>
    </xf>
    <xf numFmtId="3" fontId="9" fillId="0" borderId="13" xfId="0" applyNumberFormat="1" applyFont="1" applyBorder="1" applyAlignment="1">
      <alignment horizontal="center"/>
    </xf>
    <xf numFmtId="3" fontId="9" fillId="0" borderId="6" xfId="0" applyNumberFormat="1" applyFont="1" applyBorder="1" applyAlignment="1">
      <alignment horizontal="center"/>
    </xf>
    <xf numFmtId="0" fontId="9" fillId="0" borderId="10" xfId="0" applyFont="1" applyBorder="1" applyAlignment="1">
      <alignment vertical="center"/>
    </xf>
    <xf numFmtId="3" fontId="9" fillId="0" borderId="14" xfId="0" applyNumberFormat="1" applyFont="1" applyBorder="1" applyAlignment="1">
      <alignment horizontal="centerContinuous"/>
    </xf>
    <xf numFmtId="164" fontId="0" fillId="0" borderId="0" xfId="0" applyNumberFormat="1"/>
    <xf numFmtId="2" fontId="0" fillId="0" borderId="13" xfId="0" applyNumberFormat="1" applyBorder="1" applyAlignment="1">
      <alignment horizontal="centerContinuous" vertical="center"/>
    </xf>
    <xf numFmtId="2" fontId="1" fillId="0" borderId="14" xfId="0" applyNumberFormat="1" applyFont="1" applyBorder="1" applyAlignment="1">
      <alignment horizontal="centerContinuous" vertical="center"/>
    </xf>
    <xf numFmtId="3" fontId="26" fillId="0" borderId="12" xfId="0" applyNumberFormat="1" applyFont="1" applyBorder="1" applyAlignment="1">
      <alignment horizontal="center" vertical="center"/>
    </xf>
    <xf numFmtId="3" fontId="26" fillId="0" borderId="5" xfId="0" applyNumberFormat="1" applyFont="1" applyBorder="1" applyAlignment="1">
      <alignment horizontal="center" vertical="center"/>
    </xf>
    <xf numFmtId="3" fontId="26" fillId="0" borderId="11" xfId="0" applyNumberFormat="1" applyFont="1" applyBorder="1" applyAlignment="1">
      <alignment horizontal="center" vertical="center"/>
    </xf>
    <xf numFmtId="3" fontId="26" fillId="0" borderId="2" xfId="0" applyNumberFormat="1" applyFont="1" applyBorder="1" applyAlignment="1">
      <alignment horizontal="centerContinuous" vertical="center"/>
    </xf>
    <xf numFmtId="3" fontId="26" fillId="0" borderId="7" xfId="0" applyNumberFormat="1" applyFont="1" applyBorder="1" applyAlignment="1">
      <alignment horizontal="center" vertical="center"/>
    </xf>
    <xf numFmtId="3" fontId="26" fillId="0" borderId="10" xfId="0" applyNumberFormat="1" applyFont="1" applyBorder="1" applyAlignment="1">
      <alignment horizontal="center" vertical="center"/>
    </xf>
    <xf numFmtId="3" fontId="26" fillId="0" borderId="2" xfId="0" applyNumberFormat="1" applyFont="1" applyBorder="1" applyAlignment="1">
      <alignment horizontal="center" vertical="center"/>
    </xf>
    <xf numFmtId="0" fontId="43" fillId="0" borderId="0" xfId="0" applyFont="1"/>
    <xf numFmtId="3" fontId="26" fillId="0" borderId="5" xfId="0" applyNumberFormat="1" applyFont="1" applyBorder="1" applyAlignment="1">
      <alignment horizontal="centerContinuous" vertical="center"/>
    </xf>
    <xf numFmtId="4" fontId="26" fillId="0" borderId="5" xfId="0" applyNumberFormat="1" applyFont="1" applyBorder="1" applyAlignment="1">
      <alignment horizontal="centerContinuous" vertical="center"/>
    </xf>
    <xf numFmtId="3" fontId="26" fillId="0" borderId="6" xfId="0" applyNumberFormat="1" applyFont="1" applyBorder="1" applyAlignment="1">
      <alignment horizontal="centerContinuous" vertical="center"/>
    </xf>
    <xf numFmtId="4" fontId="26" fillId="0" borderId="6" xfId="0" applyNumberFormat="1" applyFont="1" applyBorder="1" applyAlignment="1">
      <alignment horizontal="centerContinuous" vertical="center"/>
    </xf>
    <xf numFmtId="4" fontId="26" fillId="0" borderId="6" xfId="0" applyNumberFormat="1" applyFont="1" applyBorder="1" applyAlignment="1">
      <alignment horizontal="center" vertical="center"/>
    </xf>
    <xf numFmtId="3" fontId="26" fillId="0" borderId="3" xfId="0" applyNumberFormat="1" applyFont="1" applyBorder="1" applyAlignment="1">
      <alignment horizontal="centerContinuous" vertical="center"/>
    </xf>
    <xf numFmtId="3" fontId="26" fillId="0" borderId="15" xfId="0" applyNumberFormat="1" applyFont="1" applyBorder="1" applyAlignment="1">
      <alignment horizontal="centerContinuous" vertical="center"/>
    </xf>
    <xf numFmtId="4" fontId="26" fillId="0" borderId="3" xfId="0" applyNumberFormat="1" applyFont="1" applyBorder="1" applyAlignment="1">
      <alignment horizontal="centerContinuous" vertical="center"/>
    </xf>
    <xf numFmtId="4" fontId="6" fillId="0" borderId="0" xfId="0" applyNumberFormat="1" applyFont="1" applyAlignment="1">
      <alignment horizontal="centerContinuous" vertical="center"/>
    </xf>
    <xf numFmtId="0" fontId="5" fillId="0" borderId="0" xfId="0" applyFont="1" applyAlignment="1">
      <alignment horizontal="center"/>
    </xf>
    <xf numFmtId="3" fontId="44" fillId="0" borderId="1" xfId="0" applyNumberFormat="1" applyFont="1" applyBorder="1" applyAlignment="1">
      <alignment horizontal="center" vertical="center"/>
    </xf>
    <xf numFmtId="3" fontId="44" fillId="0" borderId="1" xfId="0" applyNumberFormat="1" applyFont="1" applyBorder="1" applyAlignment="1">
      <alignment horizontal="centerContinuous" vertical="center"/>
    </xf>
    <xf numFmtId="3" fontId="9" fillId="0" borderId="13" xfId="0" applyNumberFormat="1" applyFont="1" applyBorder="1" applyAlignment="1">
      <alignment horizontal="centerContinuous" vertical="center"/>
    </xf>
    <xf numFmtId="3" fontId="9" fillId="0" borderId="0" xfId="0" applyNumberFormat="1" applyFont="1" applyAlignment="1">
      <alignment horizontal="centerContinuous" vertical="center"/>
    </xf>
    <xf numFmtId="3" fontId="9" fillId="0" borderId="10" xfId="0" applyNumberFormat="1" applyFont="1" applyBorder="1" applyAlignment="1">
      <alignment horizontal="centerContinuous" vertical="center"/>
    </xf>
    <xf numFmtId="3" fontId="9" fillId="0" borderId="14" xfId="0" applyNumberFormat="1" applyFont="1" applyBorder="1" applyAlignment="1">
      <alignment horizontal="centerContinuous" vertical="center"/>
    </xf>
    <xf numFmtId="168" fontId="9" fillId="0" borderId="0" xfId="0" applyNumberFormat="1" applyFont="1" applyAlignment="1">
      <alignment vertical="center"/>
    </xf>
    <xf numFmtId="3" fontId="6" fillId="0" borderId="7" xfId="0" applyNumberFormat="1" applyFont="1" applyBorder="1" applyAlignment="1">
      <alignment horizontal="centerContinuous" vertical="center"/>
    </xf>
    <xf numFmtId="3" fontId="6" fillId="0" borderId="13" xfId="0" applyNumberFormat="1" applyFont="1" applyBorder="1" applyAlignment="1">
      <alignment horizontal="centerContinuous" vertical="center"/>
    </xf>
    <xf numFmtId="3" fontId="6" fillId="0" borderId="10" xfId="0" applyNumberFormat="1" applyFont="1" applyBorder="1" applyAlignment="1">
      <alignment horizontal="centerContinuous" vertical="center"/>
    </xf>
    <xf numFmtId="3" fontId="6" fillId="0" borderId="4" xfId="0" applyNumberFormat="1" applyFont="1" applyBorder="1" applyAlignment="1">
      <alignment horizontal="center" vertical="center"/>
    </xf>
    <xf numFmtId="3" fontId="6" fillId="0" borderId="8" xfId="0" applyNumberFormat="1" applyFont="1" applyBorder="1" applyAlignment="1">
      <alignment horizontal="center" vertical="center"/>
    </xf>
    <xf numFmtId="3" fontId="6" fillId="0" borderId="4" xfId="0" applyNumberFormat="1" applyFont="1" applyBorder="1" applyAlignment="1">
      <alignment horizontal="centerContinuous" vertical="center"/>
    </xf>
    <xf numFmtId="3" fontId="6" fillId="0" borderId="9" xfId="0" applyNumberFormat="1" applyFont="1" applyBorder="1" applyAlignment="1">
      <alignment horizontal="centerContinuous" vertical="center"/>
    </xf>
    <xf numFmtId="0" fontId="0" fillId="0" borderId="8" xfId="0" applyBorder="1"/>
    <xf numFmtId="3" fontId="9" fillId="0" borderId="15" xfId="0" applyNumberFormat="1" applyFont="1" applyBorder="1" applyAlignment="1">
      <alignment horizontal="centerContinuous" vertical="center"/>
    </xf>
    <xf numFmtId="0" fontId="45" fillId="0" borderId="0" xfId="0" applyFont="1" applyAlignment="1">
      <alignment horizontal="centerContinuous"/>
    </xf>
    <xf numFmtId="0" fontId="47" fillId="0" borderId="0" xfId="2" applyNumberFormat="1" applyFont="1" applyAlignment="1">
      <alignment horizontal="centerContinuous"/>
    </xf>
    <xf numFmtId="0" fontId="26" fillId="0" borderId="0" xfId="2" applyNumberFormat="1" applyFont="1" applyAlignment="1">
      <alignment horizontal="centerContinuous"/>
    </xf>
    <xf numFmtId="171" fontId="26" fillId="0" borderId="0" xfId="2" applyFont="1"/>
    <xf numFmtId="171" fontId="46" fillId="0" borderId="0" xfId="2"/>
    <xf numFmtId="0" fontId="48" fillId="0" borderId="0" xfId="2" applyNumberFormat="1" applyFont="1"/>
    <xf numFmtId="171" fontId="46" fillId="0" borderId="0" xfId="2" applyAlignment="1">
      <alignment vertical="center"/>
    </xf>
    <xf numFmtId="171" fontId="26" fillId="0" borderId="0" xfId="2" applyFont="1" applyAlignment="1">
      <alignment vertical="center"/>
    </xf>
    <xf numFmtId="0" fontId="26" fillId="0" borderId="6" xfId="2" applyNumberFormat="1" applyFont="1" applyBorder="1" applyAlignment="1">
      <alignment horizontal="center" vertical="center"/>
    </xf>
    <xf numFmtId="0" fontId="26" fillId="0" borderId="5" xfId="2" applyNumberFormat="1" applyFont="1" applyBorder="1" applyAlignment="1">
      <alignment horizontal="left" vertical="center"/>
    </xf>
    <xf numFmtId="3" fontId="26" fillId="0" borderId="5" xfId="2" applyNumberFormat="1" applyFont="1" applyBorder="1" applyAlignment="1">
      <alignment horizontal="centerContinuous" vertical="center"/>
    </xf>
    <xf numFmtId="3" fontId="26" fillId="0" borderId="0" xfId="2" applyNumberFormat="1" applyFont="1" applyAlignment="1">
      <alignment horizontal="centerContinuous" vertical="center"/>
    </xf>
    <xf numFmtId="169" fontId="26" fillId="0" borderId="7" xfId="2" applyNumberFormat="1" applyFont="1" applyBorder="1" applyAlignment="1">
      <alignment horizontal="centerContinuous" vertical="center"/>
    </xf>
    <xf numFmtId="169" fontId="26" fillId="0" borderId="6" xfId="2" applyNumberFormat="1" applyFont="1" applyBorder="1" applyAlignment="1">
      <alignment horizontal="centerContinuous" vertical="center"/>
    </xf>
    <xf numFmtId="165" fontId="26" fillId="0" borderId="0" xfId="2" applyNumberFormat="1" applyFont="1" applyAlignment="1">
      <alignment horizontal="centerContinuous" vertical="center"/>
    </xf>
    <xf numFmtId="165" fontId="26" fillId="0" borderId="6" xfId="2" applyNumberFormat="1" applyFont="1" applyBorder="1" applyAlignment="1">
      <alignment horizontal="centerContinuous" vertical="center"/>
    </xf>
    <xf numFmtId="0" fontId="26" fillId="0" borderId="6" xfId="2" applyNumberFormat="1" applyFont="1" applyBorder="1" applyAlignment="1">
      <alignment horizontal="left" vertical="center"/>
    </xf>
    <xf numFmtId="3" fontId="26" fillId="0" borderId="0" xfId="2" applyNumberFormat="1" applyFont="1" applyAlignment="1" applyProtection="1">
      <alignment horizontal="centerContinuous" vertical="center"/>
      <protection locked="0"/>
    </xf>
    <xf numFmtId="3" fontId="26" fillId="0" borderId="6" xfId="2" applyNumberFormat="1" applyFont="1" applyBorder="1" applyAlignment="1" applyProtection="1">
      <alignment horizontal="centerContinuous" vertical="center"/>
      <protection locked="0"/>
    </xf>
    <xf numFmtId="3" fontId="26" fillId="0" borderId="6" xfId="2" applyNumberFormat="1" applyFont="1" applyBorder="1" applyAlignment="1" applyProtection="1">
      <alignment horizontal="center" vertical="center"/>
      <protection locked="0"/>
    </xf>
    <xf numFmtId="3" fontId="26" fillId="0" borderId="6" xfId="2" applyNumberFormat="1" applyFont="1" applyBorder="1" applyAlignment="1">
      <alignment horizontal="centerContinuous" vertical="center"/>
    </xf>
    <xf numFmtId="3" fontId="22" fillId="0" borderId="6" xfId="2" applyNumberFormat="1" applyFont="1" applyBorder="1" applyAlignment="1" applyProtection="1">
      <alignment horizontal="center" vertical="center"/>
      <protection locked="0"/>
    </xf>
    <xf numFmtId="0" fontId="26" fillId="0" borderId="3" xfId="2" applyNumberFormat="1" applyFont="1" applyBorder="1" applyAlignment="1">
      <alignment horizontal="left" vertical="center"/>
    </xf>
    <xf numFmtId="3" fontId="26" fillId="0" borderId="15" xfId="2" applyNumberFormat="1" applyFont="1" applyBorder="1" applyAlignment="1" applyProtection="1">
      <alignment horizontal="centerContinuous" vertical="center"/>
      <protection locked="0"/>
    </xf>
    <xf numFmtId="3" fontId="26" fillId="0" borderId="3" xfId="2" applyNumberFormat="1" applyFont="1" applyBorder="1" applyAlignment="1" applyProtection="1">
      <alignment horizontal="centerContinuous" vertical="center"/>
      <protection locked="0"/>
    </xf>
    <xf numFmtId="3" fontId="26" fillId="0" borderId="3" xfId="2" applyNumberFormat="1" applyFont="1" applyBorder="1" applyAlignment="1" applyProtection="1">
      <alignment horizontal="center" vertical="center"/>
      <protection locked="0"/>
    </xf>
    <xf numFmtId="3" fontId="26" fillId="0" borderId="15" xfId="2" applyNumberFormat="1" applyFont="1" applyBorder="1" applyAlignment="1">
      <alignment horizontal="centerContinuous" vertical="center"/>
    </xf>
    <xf numFmtId="3" fontId="26" fillId="0" borderId="3" xfId="2" applyNumberFormat="1" applyFont="1" applyBorder="1" applyAlignment="1">
      <alignment horizontal="centerContinuous" vertical="center"/>
    </xf>
    <xf numFmtId="169" fontId="26" fillId="0" borderId="10" xfId="2" applyNumberFormat="1" applyFont="1" applyBorder="1" applyAlignment="1">
      <alignment horizontal="centerContinuous" vertical="center"/>
    </xf>
    <xf numFmtId="169" fontId="26" fillId="0" borderId="3" xfId="2" applyNumberFormat="1" applyFont="1" applyBorder="1" applyAlignment="1">
      <alignment horizontal="centerContinuous" vertical="center"/>
    </xf>
    <xf numFmtId="165" fontId="26" fillId="0" borderId="15" xfId="2" applyNumberFormat="1" applyFont="1" applyBorder="1" applyAlignment="1">
      <alignment horizontal="centerContinuous" vertical="center"/>
    </xf>
    <xf numFmtId="165" fontId="26" fillId="0" borderId="3" xfId="2" applyNumberFormat="1" applyFont="1" applyBorder="1" applyAlignment="1">
      <alignment horizontal="centerContinuous" vertical="center"/>
    </xf>
    <xf numFmtId="0" fontId="26" fillId="0" borderId="0" xfId="2" applyNumberFormat="1" applyFont="1"/>
    <xf numFmtId="16" fontId="26" fillId="0" borderId="0" xfId="2" applyNumberFormat="1" applyFont="1"/>
    <xf numFmtId="172" fontId="26" fillId="0" borderId="0" xfId="2" applyNumberFormat="1" applyFont="1"/>
    <xf numFmtId="170" fontId="26" fillId="0" borderId="0" xfId="2" applyNumberFormat="1" applyFont="1"/>
    <xf numFmtId="0" fontId="26" fillId="0" borderId="6" xfId="2" applyNumberFormat="1" applyFont="1" applyBorder="1" applyAlignment="1">
      <alignment vertical="center"/>
    </xf>
    <xf numFmtId="0" fontId="26" fillId="0" borderId="3" xfId="2" applyNumberFormat="1" applyFont="1" applyBorder="1" applyAlignment="1">
      <alignment vertical="center"/>
    </xf>
    <xf numFmtId="0" fontId="26" fillId="0" borderId="3" xfId="2" applyNumberFormat="1" applyFont="1" applyBorder="1" applyAlignment="1">
      <alignment horizontal="center" vertical="center"/>
    </xf>
    <xf numFmtId="0" fontId="49" fillId="0" borderId="0" xfId="3" applyFont="1" applyAlignment="1">
      <alignment horizontal="centerContinuous"/>
    </xf>
    <xf numFmtId="0" fontId="12" fillId="0" borderId="0" xfId="3" applyFont="1" applyAlignment="1">
      <alignment horizontal="centerContinuous"/>
    </xf>
    <xf numFmtId="0" fontId="8" fillId="0" borderId="0" xfId="3" applyFont="1" applyAlignment="1">
      <alignment horizontal="centerContinuous"/>
    </xf>
    <xf numFmtId="0" fontId="2" fillId="0" borderId="0" xfId="3"/>
    <xf numFmtId="0" fontId="2" fillId="0" borderId="0" xfId="3" applyAlignment="1">
      <alignment horizontal="centerContinuous"/>
    </xf>
    <xf numFmtId="0" fontId="6" fillId="0" borderId="0" xfId="3" applyFont="1" applyAlignment="1">
      <alignment vertical="center"/>
    </xf>
    <xf numFmtId="0" fontId="2" fillId="0" borderId="7" xfId="3" applyBorder="1" applyAlignment="1">
      <alignment horizontal="center" vertical="center"/>
    </xf>
    <xf numFmtId="3" fontId="6" fillId="0" borderId="0" xfId="3" applyNumberFormat="1" applyFont="1" applyAlignment="1">
      <alignment horizontal="centerContinuous" vertical="center"/>
    </xf>
    <xf numFmtId="166" fontId="6" fillId="0" borderId="6" xfId="3" applyNumberFormat="1" applyFont="1" applyBorder="1" applyAlignment="1">
      <alignment horizontal="centerContinuous" vertical="center"/>
    </xf>
    <xf numFmtId="2" fontId="6" fillId="0" borderId="13" xfId="3" applyNumberFormat="1" applyFont="1" applyBorder="1" applyAlignment="1">
      <alignment horizontal="centerContinuous" vertical="center"/>
    </xf>
    <xf numFmtId="0" fontId="2" fillId="0" borderId="6" xfId="3" applyBorder="1" applyAlignment="1">
      <alignment horizontal="center" vertical="center"/>
    </xf>
    <xf numFmtId="3" fontId="6" fillId="0" borderId="6" xfId="3" applyNumberFormat="1" applyFont="1" applyBorder="1" applyAlignment="1">
      <alignment horizontal="centerContinuous" vertical="center"/>
    </xf>
    <xf numFmtId="3" fontId="6" fillId="0" borderId="0" xfId="3" applyNumberFormat="1" applyFont="1" applyAlignment="1">
      <alignment horizontal="center" vertical="center"/>
    </xf>
    <xf numFmtId="3" fontId="6" fillId="0" borderId="6" xfId="3" applyNumberFormat="1" applyFont="1" applyBorder="1" applyAlignment="1">
      <alignment horizontal="center" vertical="center"/>
    </xf>
    <xf numFmtId="166" fontId="6" fillId="0" borderId="6" xfId="3" applyNumberFormat="1" applyFont="1" applyBorder="1" applyAlignment="1">
      <alignment horizontal="center" vertical="center"/>
    </xf>
    <xf numFmtId="2" fontId="6" fillId="0" borderId="13" xfId="3" applyNumberFormat="1" applyFont="1" applyBorder="1" applyAlignment="1">
      <alignment horizontal="center" vertical="center"/>
    </xf>
    <xf numFmtId="0" fontId="2" fillId="0" borderId="3" xfId="3" applyBorder="1" applyAlignment="1">
      <alignment horizontal="center" vertical="center"/>
    </xf>
    <xf numFmtId="3" fontId="6" fillId="0" borderId="15" xfId="3" applyNumberFormat="1" applyFont="1" applyBorder="1" applyAlignment="1">
      <alignment horizontal="centerContinuous" vertical="center"/>
    </xf>
    <xf numFmtId="3" fontId="6" fillId="0" borderId="3" xfId="3" applyNumberFormat="1" applyFont="1" applyBorder="1" applyAlignment="1">
      <alignment horizontal="centerContinuous" vertical="center"/>
    </xf>
    <xf numFmtId="166" fontId="6" fillId="0" borderId="3" xfId="3" applyNumberFormat="1" applyFont="1" applyBorder="1" applyAlignment="1">
      <alignment horizontal="centerContinuous" vertical="center"/>
    </xf>
    <xf numFmtId="2" fontId="6" fillId="0" borderId="14" xfId="3" applyNumberFormat="1" applyFont="1" applyBorder="1" applyAlignment="1">
      <alignment horizontal="centerContinuous" vertical="center"/>
    </xf>
    <xf numFmtId="0" fontId="2" fillId="0" borderId="0" xfId="3" applyAlignment="1">
      <alignment horizontal="centerContinuous" vertical="center"/>
    </xf>
    <xf numFmtId="2" fontId="6" fillId="0" borderId="0" xfId="3" applyNumberFormat="1" applyFont="1" applyAlignment="1">
      <alignment horizontal="centerContinuous" vertical="center"/>
    </xf>
    <xf numFmtId="0" fontId="2" fillId="0" borderId="0" xfId="3" applyAlignment="1">
      <alignment vertical="center"/>
    </xf>
    <xf numFmtId="0" fontId="8" fillId="0" borderId="0" xfId="3" applyFont="1"/>
    <xf numFmtId="0" fontId="6" fillId="0" borderId="0" xfId="3" applyFont="1"/>
    <xf numFmtId="3" fontId="6" fillId="0" borderId="7" xfId="3" applyNumberFormat="1" applyFont="1" applyBorder="1" applyAlignment="1">
      <alignment horizontal="centerContinuous" vertical="center"/>
    </xf>
    <xf numFmtId="2" fontId="6" fillId="0" borderId="6" xfId="3" applyNumberFormat="1" applyFont="1" applyBorder="1" applyAlignment="1">
      <alignment horizontal="centerContinuous" vertical="center"/>
    </xf>
    <xf numFmtId="3" fontId="6" fillId="0" borderId="7" xfId="3" applyNumberFormat="1" applyFont="1" applyBorder="1" applyAlignment="1">
      <alignment horizontal="center" vertical="center"/>
    </xf>
    <xf numFmtId="0" fontId="2" fillId="0" borderId="10" xfId="3" applyBorder="1" applyAlignment="1">
      <alignment horizontal="center" vertical="center"/>
    </xf>
    <xf numFmtId="1" fontId="2" fillId="0" borderId="3" xfId="3" applyNumberFormat="1" applyBorder="1" applyAlignment="1">
      <alignment horizontal="center" vertical="center"/>
    </xf>
    <xf numFmtId="3" fontId="6" fillId="0" borderId="10" xfId="3" applyNumberFormat="1" applyFont="1" applyBorder="1" applyAlignment="1">
      <alignment horizontal="centerContinuous" vertical="center"/>
    </xf>
    <xf numFmtId="0" fontId="12" fillId="0" borderId="0" xfId="3" applyFont="1"/>
    <xf numFmtId="0" fontId="15" fillId="0" borderId="0" xfId="3" applyFont="1"/>
    <xf numFmtId="0" fontId="26" fillId="0" borderId="0" xfId="3" applyFont="1"/>
    <xf numFmtId="0" fontId="26" fillId="0" borderId="0" xfId="3" applyFont="1" applyAlignment="1">
      <alignment horizontal="centerContinuous"/>
    </xf>
    <xf numFmtId="0" fontId="26" fillId="0" borderId="0" xfId="3" applyFont="1" applyAlignment="1">
      <alignment vertical="center"/>
    </xf>
    <xf numFmtId="3" fontId="26" fillId="0" borderId="7" xfId="3" applyNumberFormat="1" applyFont="1" applyBorder="1" applyAlignment="1">
      <alignment horizontal="centerContinuous" vertical="center"/>
    </xf>
    <xf numFmtId="166" fontId="26" fillId="0" borderId="7" xfId="3" applyNumberFormat="1" applyFont="1" applyBorder="1" applyAlignment="1">
      <alignment horizontal="centerContinuous" vertical="center"/>
    </xf>
    <xf numFmtId="2" fontId="26" fillId="0" borderId="6" xfId="3" applyNumberFormat="1" applyFont="1" applyBorder="1" applyAlignment="1">
      <alignment horizontal="centerContinuous" vertical="center"/>
    </xf>
    <xf numFmtId="3" fontId="26" fillId="0" borderId="7" xfId="3" applyNumberFormat="1" applyFont="1" applyBorder="1" applyAlignment="1">
      <alignment horizontal="center" vertical="center"/>
    </xf>
    <xf numFmtId="166" fontId="26" fillId="0" borderId="6" xfId="3" applyNumberFormat="1" applyFont="1" applyBorder="1" applyAlignment="1">
      <alignment horizontal="center" vertical="center"/>
    </xf>
    <xf numFmtId="2" fontId="26" fillId="0" borderId="13" xfId="3" applyNumberFormat="1" applyFont="1" applyBorder="1" applyAlignment="1">
      <alignment horizontal="center" vertical="center"/>
    </xf>
    <xf numFmtId="3" fontId="26" fillId="0" borderId="10" xfId="3" applyNumberFormat="1" applyFont="1" applyBorder="1" applyAlignment="1">
      <alignment horizontal="centerContinuous" vertical="center"/>
    </xf>
    <xf numFmtId="166" fontId="26" fillId="0" borderId="3" xfId="3" applyNumberFormat="1" applyFont="1" applyBorder="1" applyAlignment="1">
      <alignment horizontal="centerContinuous" vertical="center"/>
    </xf>
    <xf numFmtId="2" fontId="26" fillId="0" borderId="14" xfId="3" applyNumberFormat="1" applyFont="1" applyBorder="1" applyAlignment="1">
      <alignment horizontal="centerContinuous" vertical="center"/>
    </xf>
    <xf numFmtId="3" fontId="6" fillId="0" borderId="13" xfId="3" applyNumberFormat="1" applyFont="1" applyBorder="1" applyAlignment="1">
      <alignment horizontal="centerContinuous" vertical="center"/>
    </xf>
    <xf numFmtId="166" fontId="6" fillId="0" borderId="0" xfId="3" applyNumberFormat="1" applyFont="1" applyAlignment="1">
      <alignment horizontal="centerContinuous" vertical="center"/>
    </xf>
    <xf numFmtId="0" fontId="21" fillId="0" borderId="0" xfId="5" applyFont="1" applyAlignment="1">
      <alignment horizontal="centerContinuous"/>
    </xf>
    <xf numFmtId="0" fontId="2" fillId="0" borderId="0" xfId="5" applyAlignment="1">
      <alignment horizontal="centerContinuous"/>
    </xf>
    <xf numFmtId="3" fontId="2" fillId="0" borderId="0" xfId="5" applyNumberFormat="1" applyAlignment="1">
      <alignment horizontal="centerContinuous"/>
    </xf>
    <xf numFmtId="0" fontId="2" fillId="0" borderId="0" xfId="5"/>
    <xf numFmtId="0" fontId="5" fillId="0" borderId="0" xfId="5" applyFont="1"/>
    <xf numFmtId="3" fontId="2" fillId="0" borderId="0" xfId="5" applyNumberFormat="1"/>
    <xf numFmtId="0" fontId="2" fillId="0" borderId="5" xfId="5" applyBorder="1" applyAlignment="1">
      <alignment vertical="center"/>
    </xf>
    <xf numFmtId="0" fontId="2" fillId="0" borderId="2" xfId="5" applyBorder="1" applyAlignment="1">
      <alignment horizontal="center" vertical="center"/>
    </xf>
    <xf numFmtId="0" fontId="10" fillId="0" borderId="6" xfId="5" applyFont="1" applyBorder="1" applyAlignment="1">
      <alignment vertical="center"/>
    </xf>
    <xf numFmtId="0" fontId="2" fillId="0" borderId="6" xfId="5" applyBorder="1" applyAlignment="1">
      <alignment vertical="center"/>
    </xf>
    <xf numFmtId="0" fontId="2" fillId="0" borderId="0" xfId="5" applyAlignment="1">
      <alignment vertical="center"/>
    </xf>
    <xf numFmtId="0" fontId="9" fillId="0" borderId="6" xfId="5" applyFont="1" applyBorder="1" applyAlignment="1">
      <alignment horizontal="centerContinuous" vertical="center"/>
    </xf>
    <xf numFmtId="0" fontId="9" fillId="0" borderId="6" xfId="5" applyFont="1" applyBorder="1" applyAlignment="1">
      <alignment vertical="center"/>
    </xf>
    <xf numFmtId="3" fontId="26" fillId="0" borderId="0" xfId="5" applyNumberFormat="1" applyFont="1" applyAlignment="1">
      <alignment horizontal="centerContinuous" vertical="center"/>
    </xf>
    <xf numFmtId="3" fontId="26" fillId="0" borderId="13" xfId="5" applyNumberFormat="1" applyFont="1" applyBorder="1" applyAlignment="1">
      <alignment horizontal="centerContinuous" vertical="center"/>
    </xf>
    <xf numFmtId="0" fontId="9" fillId="0" borderId="6" xfId="5" applyFont="1" applyBorder="1" applyAlignment="1">
      <alignment vertical="center" wrapText="1"/>
    </xf>
    <xf numFmtId="0" fontId="9" fillId="0" borderId="3" xfId="5" applyFont="1" applyBorder="1" applyAlignment="1">
      <alignment vertical="center"/>
    </xf>
    <xf numFmtId="3" fontId="26" fillId="0" borderId="15" xfId="5" applyNumberFormat="1" applyFont="1" applyBorder="1" applyAlignment="1">
      <alignment horizontal="centerContinuous" vertical="center"/>
    </xf>
    <xf numFmtId="3" fontId="26" fillId="0" borderId="14" xfId="5" applyNumberFormat="1" applyFont="1" applyBorder="1" applyAlignment="1">
      <alignment horizontal="centerContinuous" vertical="center"/>
    </xf>
    <xf numFmtId="0" fontId="9" fillId="0" borderId="0" xfId="5" applyFont="1" applyAlignment="1">
      <alignment vertical="center"/>
    </xf>
    <xf numFmtId="0" fontId="9" fillId="0" borderId="0" xfId="5" applyFont="1" applyAlignment="1">
      <alignment horizontal="centerContinuous" vertical="center"/>
    </xf>
    <xf numFmtId="3" fontId="9" fillId="0" borderId="0" xfId="5" applyNumberFormat="1" applyFont="1" applyAlignment="1">
      <alignment horizontal="centerContinuous" vertical="center"/>
    </xf>
    <xf numFmtId="0" fontId="50" fillId="0" borderId="0" xfId="5" applyFont="1" applyAlignment="1">
      <alignment horizontal="centerContinuous" vertical="center"/>
    </xf>
    <xf numFmtId="3" fontId="9" fillId="0" borderId="0" xfId="5" applyNumberFormat="1" applyFont="1" applyAlignment="1">
      <alignment vertical="center"/>
    </xf>
    <xf numFmtId="0" fontId="29" fillId="0" borderId="0" xfId="5" applyFont="1" applyAlignment="1">
      <alignment horizontal="centerContinuous" vertical="center"/>
    </xf>
    <xf numFmtId="0" fontId="2" fillId="0" borderId="0" xfId="5" applyAlignment="1">
      <alignment horizontal="centerContinuous" vertical="center"/>
    </xf>
    <xf numFmtId="3" fontId="2" fillId="0" borderId="0" xfId="5" applyNumberFormat="1" applyAlignment="1">
      <alignment vertical="center"/>
    </xf>
    <xf numFmtId="0" fontId="2" fillId="0" borderId="2" xfId="5" applyBorder="1" applyAlignment="1">
      <alignment horizontal="centerContinuous" vertical="center"/>
    </xf>
    <xf numFmtId="0" fontId="2" fillId="0" borderId="13" xfId="5" applyBorder="1" applyAlignment="1">
      <alignment vertical="center"/>
    </xf>
    <xf numFmtId="0" fontId="15" fillId="0" borderId="0" xfId="5" applyFont="1" applyAlignment="1">
      <alignment horizontal="centerContinuous"/>
    </xf>
    <xf numFmtId="0" fontId="20" fillId="0" borderId="0" xfId="5" applyFont="1" applyAlignment="1">
      <alignment horizontal="centerContinuous"/>
    </xf>
    <xf numFmtId="3" fontId="26" fillId="0" borderId="0" xfId="5" quotePrefix="1" applyNumberFormat="1" applyFont="1" applyAlignment="1">
      <alignment horizontal="centerContinuous" vertical="center"/>
    </xf>
    <xf numFmtId="0" fontId="26" fillId="0" borderId="0" xfId="5" applyFont="1"/>
    <xf numFmtId="165" fontId="26" fillId="0" borderId="6" xfId="5" applyNumberFormat="1" applyFont="1" applyBorder="1" applyAlignment="1">
      <alignment horizontal="centerContinuous" vertical="center"/>
    </xf>
    <xf numFmtId="0" fontId="26" fillId="0" borderId="3" xfId="5" applyFont="1" applyBorder="1" applyAlignment="1">
      <alignment horizontal="centerContinuous" vertical="center"/>
    </xf>
    <xf numFmtId="0" fontId="24" fillId="0" borderId="0" xfId="5" applyFont="1" applyAlignment="1">
      <alignment horizontal="centerContinuous" vertical="center"/>
    </xf>
    <xf numFmtId="0" fontId="5" fillId="0" borderId="0" xfId="5" applyFont="1" applyAlignment="1">
      <alignment vertical="center"/>
    </xf>
    <xf numFmtId="0" fontId="2" fillId="0" borderId="0" xfId="5" applyAlignment="1">
      <alignment horizontal="center" vertical="center"/>
    </xf>
    <xf numFmtId="0" fontId="26" fillId="0" borderId="0" xfId="5" applyFont="1" applyAlignment="1">
      <alignment horizontal="center" vertical="center"/>
    </xf>
    <xf numFmtId="0" fontId="9" fillId="0" borderId="0" xfId="5" applyFont="1" applyAlignment="1">
      <alignment horizontal="center" vertical="center"/>
    </xf>
    <xf numFmtId="0" fontId="51" fillId="0" borderId="0" xfId="5" applyFont="1" applyAlignment="1">
      <alignment horizontal="centerContinuous" vertical="center"/>
    </xf>
    <xf numFmtId="0" fontId="31" fillId="0" borderId="0" xfId="5" applyFont="1" applyAlignment="1">
      <alignment horizontal="centerContinuous" vertical="center"/>
    </xf>
    <xf numFmtId="0" fontId="24" fillId="0" borderId="0" xfId="5" applyFont="1" applyAlignment="1">
      <alignment horizontal="center" vertical="center"/>
    </xf>
    <xf numFmtId="0" fontId="31" fillId="0" borderId="0" xfId="5" applyFont="1" applyAlignment="1">
      <alignment vertical="center"/>
    </xf>
    <xf numFmtId="0" fontId="26" fillId="0" borderId="15" xfId="5" applyFont="1" applyBorder="1" applyAlignment="1">
      <alignment horizontal="center" vertical="center"/>
    </xf>
    <xf numFmtId="3" fontId="9" fillId="0" borderId="0" xfId="5" applyNumberFormat="1" applyFont="1" applyAlignment="1">
      <alignment horizontal="center" vertical="center"/>
    </xf>
    <xf numFmtId="0" fontId="21" fillId="0" borderId="0" xfId="5" applyFont="1" applyAlignment="1">
      <alignment horizontal="center" vertical="center"/>
    </xf>
    <xf numFmtId="0" fontId="15" fillId="0" borderId="0" xfId="5" applyFont="1" applyAlignment="1">
      <alignment horizontal="center" vertical="center"/>
    </xf>
    <xf numFmtId="0" fontId="2" fillId="0" borderId="7" xfId="5" applyBorder="1" applyAlignment="1">
      <alignment horizontal="center" vertical="center"/>
    </xf>
    <xf numFmtId="0" fontId="2" fillId="0" borderId="13" xfId="5" applyBorder="1" applyAlignment="1">
      <alignment horizontal="center" vertical="center"/>
    </xf>
    <xf numFmtId="0" fontId="26" fillId="0" borderId="15" xfId="5" applyFont="1" applyBorder="1" applyAlignment="1">
      <alignment horizontal="centerContinuous" vertical="center"/>
    </xf>
    <xf numFmtId="3" fontId="26" fillId="0" borderId="14" xfId="5" applyNumberFormat="1" applyFont="1" applyBorder="1" applyAlignment="1">
      <alignment horizontal="center" vertical="center"/>
    </xf>
    <xf numFmtId="0" fontId="29" fillId="0" borderId="0" xfId="5" applyFont="1" applyAlignment="1">
      <alignment horizontal="center" vertical="center"/>
    </xf>
    <xf numFmtId="0" fontId="5" fillId="0" borderId="0" xfId="5" applyFont="1" applyAlignment="1">
      <alignment horizontal="center" vertical="center"/>
    </xf>
    <xf numFmtId="0" fontId="9" fillId="0" borderId="6" xfId="5" applyFont="1" applyBorder="1" applyAlignment="1">
      <alignment horizontal="center" vertical="center"/>
    </xf>
    <xf numFmtId="0" fontId="9" fillId="0" borderId="6" xfId="5" applyFont="1" applyBorder="1" applyAlignment="1">
      <alignment horizontal="left" vertical="center"/>
    </xf>
    <xf numFmtId="0" fontId="9" fillId="0" borderId="3" xfId="5" applyFont="1" applyBorder="1" applyAlignment="1">
      <alignment horizontal="center" vertical="center"/>
    </xf>
    <xf numFmtId="0" fontId="21" fillId="4" borderId="0" xfId="5" applyFont="1" applyFill="1" applyAlignment="1">
      <alignment horizontal="centerContinuous" vertical="center"/>
    </xf>
    <xf numFmtId="0" fontId="29" fillId="4" borderId="0" xfId="5" applyFont="1" applyFill="1" applyAlignment="1">
      <alignment horizontal="centerContinuous" vertical="center"/>
    </xf>
    <xf numFmtId="0" fontId="21" fillId="0" borderId="0" xfId="5" applyFont="1" applyAlignment="1">
      <alignment horizontal="centerContinuous" vertical="center"/>
    </xf>
    <xf numFmtId="0" fontId="11" fillId="0" borderId="0" xfId="5" applyFont="1" applyAlignment="1">
      <alignment horizontal="center" vertical="center"/>
    </xf>
    <xf numFmtId="0" fontId="29" fillId="0" borderId="0" xfId="5" applyFont="1" applyAlignment="1">
      <alignment horizontal="centerContinuous"/>
    </xf>
    <xf numFmtId="0" fontId="29" fillId="0" borderId="0" xfId="5" applyFont="1"/>
    <xf numFmtId="0" fontId="11" fillId="0" borderId="0" xfId="5" applyFont="1"/>
    <xf numFmtId="0" fontId="2" fillId="0" borderId="0" xfId="0" applyFont="1"/>
    <xf numFmtId="0" fontId="2" fillId="0" borderId="0" xfId="0" applyFont="1" applyAlignment="1">
      <alignment vertical="center"/>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vertical="center"/>
    </xf>
    <xf numFmtId="0" fontId="1" fillId="0" borderId="0" xfId="0" applyFont="1" applyAlignment="1">
      <alignment horizontal="left" vertical="center"/>
    </xf>
    <xf numFmtId="0" fontId="5" fillId="0" borderId="0" xfId="0" applyFont="1" applyAlignment="1">
      <alignment horizontal="centerContinuous" vertical="center"/>
    </xf>
    <xf numFmtId="1" fontId="2" fillId="0" borderId="6" xfId="3" applyNumberFormat="1" applyBorder="1" applyAlignment="1">
      <alignment horizontal="center" vertical="center"/>
    </xf>
    <xf numFmtId="3" fontId="9" fillId="0" borderId="0" xfId="0" applyNumberFormat="1" applyFont="1" applyAlignment="1">
      <alignment horizontal="center"/>
    </xf>
    <xf numFmtId="3" fontId="6" fillId="0" borderId="5" xfId="0" applyNumberFormat="1" applyFont="1" applyBorder="1" applyAlignment="1">
      <alignment horizontal="left" vertical="center"/>
    </xf>
    <xf numFmtId="3" fontId="6" fillId="0" borderId="6" xfId="0" applyNumberFormat="1" applyFont="1" applyBorder="1" applyAlignment="1">
      <alignment horizontal="left" vertical="center"/>
    </xf>
    <xf numFmtId="3" fontId="6" fillId="0" borderId="3" xfId="0" applyNumberFormat="1" applyFont="1" applyBorder="1" applyAlignment="1">
      <alignment horizontal="left" vertical="center"/>
    </xf>
    <xf numFmtId="0" fontId="53" fillId="0" borderId="17" xfId="0" applyFont="1" applyBorder="1" applyAlignment="1">
      <alignment vertical="center"/>
    </xf>
    <xf numFmtId="3" fontId="18" fillId="0" borderId="0" xfId="0" applyNumberFormat="1" applyFont="1" applyAlignment="1">
      <alignment horizontal="center"/>
    </xf>
    <xf numFmtId="3" fontId="26" fillId="0" borderId="0" xfId="2" applyNumberFormat="1" applyFont="1"/>
    <xf numFmtId="0" fontId="0" fillId="0" borderId="0" xfId="0" applyAlignment="1">
      <alignment horizontal="left"/>
    </xf>
    <xf numFmtId="0" fontId="26" fillId="0" borderId="0" xfId="2" applyNumberFormat="1" applyFont="1" applyAlignment="1">
      <alignment horizontal="center"/>
    </xf>
    <xf numFmtId="0" fontId="9" fillId="0" borderId="14" xfId="0" applyFont="1" applyBorder="1" applyAlignment="1">
      <alignment horizontal="left"/>
    </xf>
    <xf numFmtId="0" fontId="55" fillId="0" borderId="0" xfId="5" applyFont="1" applyAlignment="1">
      <alignment horizontal="center" vertical="center"/>
    </xf>
    <xf numFmtId="0" fontId="15" fillId="0" borderId="9" xfId="0" applyFont="1" applyBorder="1" applyAlignment="1">
      <alignment vertical="center" wrapText="1"/>
    </xf>
    <xf numFmtId="3" fontId="26" fillId="0" borderId="1" xfId="0" applyNumberFormat="1" applyFont="1" applyBorder="1" applyAlignment="1">
      <alignment horizontal="center" vertical="center" wrapText="1"/>
    </xf>
    <xf numFmtId="0" fontId="55" fillId="0" borderId="0" xfId="0" applyFont="1" applyAlignment="1">
      <alignment vertical="center"/>
    </xf>
    <xf numFmtId="3" fontId="0" fillId="0" borderId="25" xfId="0" applyNumberFormat="1" applyBorder="1" applyAlignment="1">
      <alignment horizontal="center" vertical="center"/>
    </xf>
    <xf numFmtId="2" fontId="0" fillId="0" borderId="26" xfId="0" applyNumberFormat="1" applyBorder="1" applyAlignment="1">
      <alignment horizontal="center" vertical="center"/>
    </xf>
    <xf numFmtId="173" fontId="0" fillId="0" borderId="0" xfId="0" applyNumberFormat="1" applyAlignment="1">
      <alignment vertical="center"/>
    </xf>
    <xf numFmtId="3" fontId="0" fillId="0" borderId="35" xfId="0" applyNumberFormat="1" applyBorder="1" applyAlignment="1">
      <alignment horizontal="center" vertical="center"/>
    </xf>
    <xf numFmtId="3" fontId="0" fillId="0" borderId="36" xfId="0" applyNumberFormat="1" applyBorder="1" applyAlignment="1">
      <alignment horizontal="center" vertical="center"/>
    </xf>
    <xf numFmtId="2" fontId="0" fillId="0" borderId="37" xfId="0" applyNumberFormat="1" applyBorder="1" applyAlignment="1">
      <alignment horizontal="center" vertical="center"/>
    </xf>
    <xf numFmtId="2" fontId="0" fillId="0" borderId="0" xfId="0" applyNumberFormat="1" applyAlignment="1">
      <alignment horizontal="center" vertical="center"/>
    </xf>
    <xf numFmtId="3" fontId="55" fillId="0" borderId="15" xfId="2" applyNumberFormat="1" applyFont="1" applyBorder="1" applyAlignment="1" applyProtection="1">
      <alignment horizontal="center" vertical="center"/>
      <protection locked="0"/>
    </xf>
    <xf numFmtId="3" fontId="55" fillId="0" borderId="3" xfId="2" applyNumberFormat="1" applyFont="1" applyBorder="1" applyAlignment="1" applyProtection="1">
      <alignment horizontal="center" vertical="center"/>
      <protection locked="0"/>
    </xf>
    <xf numFmtId="3" fontId="55" fillId="0" borderId="15" xfId="2" applyNumberFormat="1" applyFont="1" applyBorder="1" applyAlignment="1">
      <alignment horizontal="center" vertical="center"/>
    </xf>
    <xf numFmtId="3" fontId="2" fillId="0" borderId="0" xfId="5" applyNumberFormat="1" applyAlignment="1">
      <alignment horizontal="center" vertical="center"/>
    </xf>
    <xf numFmtId="0" fontId="0" fillId="0" borderId="15" xfId="0" applyBorder="1" applyAlignment="1">
      <alignment horizontal="centerContinuous"/>
    </xf>
    <xf numFmtId="165" fontId="9" fillId="0" borderId="14" xfId="0" applyNumberFormat="1" applyFont="1" applyBorder="1" applyAlignment="1">
      <alignment horizontal="center" vertical="center"/>
    </xf>
    <xf numFmtId="0" fontId="2" fillId="0" borderId="6" xfId="0" applyFont="1" applyBorder="1" applyAlignment="1">
      <alignment horizontal="left" vertical="center"/>
    </xf>
    <xf numFmtId="3" fontId="33" fillId="0" borderId="0" xfId="0" applyNumberFormat="1" applyFont="1" applyAlignment="1">
      <alignment vertical="center"/>
    </xf>
    <xf numFmtId="3" fontId="29" fillId="0" borderId="13" xfId="0" applyNumberFormat="1" applyFont="1" applyBorder="1" applyAlignment="1">
      <alignment horizontal="center" vertical="center"/>
    </xf>
    <xf numFmtId="4" fontId="6" fillId="0" borderId="1" xfId="0" applyNumberFormat="1" applyFont="1" applyBorder="1" applyAlignment="1">
      <alignment horizontal="center" vertical="center"/>
    </xf>
    <xf numFmtId="0" fontId="39" fillId="0" borderId="20" xfId="7" applyFont="1" applyBorder="1" applyAlignment="1" applyProtection="1">
      <alignment horizontal="left" vertical="center" wrapText="1"/>
    </xf>
    <xf numFmtId="0" fontId="39" fillId="0" borderId="19" xfId="7" applyFont="1" applyBorder="1" applyAlignment="1" applyProtection="1">
      <alignment horizontal="left" vertical="center" wrapText="1"/>
    </xf>
    <xf numFmtId="0" fontId="39" fillId="0" borderId="38" xfId="7" applyFont="1" applyBorder="1" applyAlignment="1" applyProtection="1">
      <alignment horizontal="left" vertical="center" wrapText="1"/>
    </xf>
    <xf numFmtId="3" fontId="39" fillId="0" borderId="10" xfId="0" applyNumberFormat="1" applyFont="1" applyBorder="1" applyAlignment="1">
      <alignment horizontal="center" vertical="center"/>
    </xf>
    <xf numFmtId="3" fontId="54" fillId="0" borderId="0" xfId="0" applyNumberFormat="1" applyFont="1" applyAlignment="1">
      <alignment vertical="center"/>
    </xf>
    <xf numFmtId="0" fontId="9" fillId="0" borderId="39" xfId="0" applyFont="1" applyBorder="1" applyAlignment="1">
      <alignment vertical="center"/>
    </xf>
    <xf numFmtId="0" fontId="9" fillId="0" borderId="40" xfId="0" applyFont="1" applyBorder="1" applyAlignment="1">
      <alignment vertical="center"/>
    </xf>
    <xf numFmtId="3" fontId="26" fillId="0" borderId="40" xfId="0" applyNumberFormat="1" applyFont="1" applyBorder="1" applyAlignment="1">
      <alignment horizontal="center" vertical="center"/>
    </xf>
    <xf numFmtId="3" fontId="26" fillId="0" borderId="41" xfId="0" applyNumberFormat="1" applyFont="1" applyBorder="1" applyAlignment="1">
      <alignment horizontal="center" vertical="center"/>
    </xf>
    <xf numFmtId="0" fontId="6" fillId="0" borderId="0" xfId="0" applyFont="1" applyAlignment="1">
      <alignment horizontal="left" vertical="center"/>
    </xf>
    <xf numFmtId="3" fontId="6" fillId="0" borderId="1" xfId="0" applyNumberFormat="1" applyFont="1" applyBorder="1" applyAlignment="1">
      <alignment horizontal="center" vertical="center"/>
    </xf>
    <xf numFmtId="0" fontId="9" fillId="0" borderId="0" xfId="0" applyFont="1" applyAlignment="1">
      <alignment horizontal="centerContinuous" vertical="center" wrapText="1"/>
    </xf>
    <xf numFmtId="165" fontId="6" fillId="0" borderId="0" xfId="0" applyNumberFormat="1" applyFont="1" applyAlignment="1">
      <alignment horizontal="center" vertical="center"/>
    </xf>
    <xf numFmtId="165" fontId="7" fillId="0" borderId="0" xfId="0" applyNumberFormat="1" applyFont="1" applyAlignment="1">
      <alignment horizontal="center" vertical="center"/>
    </xf>
    <xf numFmtId="0" fontId="0" fillId="0" borderId="11" xfId="0" applyBorder="1" applyAlignment="1">
      <alignment horizontal="right"/>
    </xf>
    <xf numFmtId="3" fontId="37" fillId="0" borderId="2" xfId="0" applyNumberFormat="1" applyFont="1" applyBorder="1" applyAlignment="1">
      <alignment horizontal="right" vertical="center"/>
    </xf>
    <xf numFmtId="0" fontId="0" fillId="0" borderId="7" xfId="0" applyBorder="1" applyAlignment="1">
      <alignment horizontal="right"/>
    </xf>
    <xf numFmtId="3" fontId="37" fillId="0" borderId="13" xfId="0" applyNumberFormat="1" applyFont="1" applyBorder="1" applyAlignment="1">
      <alignment horizontal="right" vertical="center"/>
    </xf>
    <xf numFmtId="0" fontId="9" fillId="0" borderId="13" xfId="0" applyFont="1" applyBorder="1" applyAlignment="1">
      <alignment horizontal="center"/>
    </xf>
    <xf numFmtId="3" fontId="55" fillId="0" borderId="0" xfId="0" applyNumberFormat="1" applyFont="1" applyAlignment="1">
      <alignment vertical="center"/>
    </xf>
    <xf numFmtId="3" fontId="55" fillId="0" borderId="13" xfId="0" applyNumberFormat="1" applyFont="1" applyBorder="1" applyAlignment="1">
      <alignment vertical="center"/>
    </xf>
    <xf numFmtId="0" fontId="2" fillId="0" borderId="6" xfId="2" applyNumberFormat="1" applyFont="1" applyBorder="1" applyAlignment="1">
      <alignment horizontal="left" vertical="center"/>
    </xf>
    <xf numFmtId="0" fontId="2" fillId="0" borderId="6" xfId="2" applyNumberFormat="1" applyFont="1" applyBorder="1" applyAlignment="1">
      <alignment horizontal="center" vertical="center"/>
    </xf>
    <xf numFmtId="0" fontId="26" fillId="0" borderId="5" xfId="2" applyNumberFormat="1" applyFont="1" applyBorder="1" applyAlignment="1">
      <alignment horizontal="center" vertical="center"/>
    </xf>
    <xf numFmtId="3" fontId="0" fillId="0" borderId="1" xfId="0" applyNumberFormat="1" applyBorder="1" applyAlignment="1">
      <alignment horizontal="center"/>
    </xf>
    <xf numFmtId="3" fontId="0" fillId="0" borderId="4" xfId="0" applyNumberFormat="1" applyBorder="1"/>
    <xf numFmtId="3" fontId="0" fillId="0" borderId="8" xfId="0" applyNumberFormat="1" applyBorder="1"/>
    <xf numFmtId="165" fontId="2" fillId="0" borderId="0" xfId="2" applyNumberFormat="1" applyFont="1" applyAlignment="1">
      <alignment horizontal="centerContinuous" vertical="center"/>
    </xf>
    <xf numFmtId="3" fontId="58" fillId="0" borderId="0" xfId="0" applyNumberFormat="1" applyFont="1" applyAlignment="1">
      <alignment horizontal="center" vertical="center"/>
    </xf>
    <xf numFmtId="0" fontId="38" fillId="0" borderId="0" xfId="0" applyFont="1" applyAlignment="1">
      <alignment vertical="center"/>
    </xf>
    <xf numFmtId="2" fontId="6" fillId="0" borderId="13" xfId="0" applyNumberFormat="1" applyFont="1" applyBorder="1" applyAlignment="1">
      <alignment horizontal="centerContinuous" vertical="center"/>
    </xf>
    <xf numFmtId="2" fontId="6" fillId="0" borderId="14" xfId="0" applyNumberFormat="1" applyFont="1" applyBorder="1" applyAlignment="1">
      <alignment horizontal="centerContinuous" vertical="center"/>
    </xf>
    <xf numFmtId="0" fontId="59" fillId="0" borderId="0" xfId="0" applyFont="1" applyAlignment="1">
      <alignment horizontal="center"/>
    </xf>
    <xf numFmtId="2" fontId="6" fillId="0" borderId="0" xfId="0" applyNumberFormat="1" applyFont="1" applyAlignment="1">
      <alignment horizontal="centerContinuous" vertical="center"/>
    </xf>
    <xf numFmtId="0" fontId="55" fillId="0" borderId="0" xfId="0" applyFont="1"/>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3" fontId="0" fillId="0" borderId="7" xfId="0" applyNumberFormat="1" applyBorder="1" applyAlignment="1">
      <alignment horizontal="center" vertical="center"/>
    </xf>
    <xf numFmtId="0" fontId="6" fillId="0" borderId="5" xfId="0" applyFont="1" applyBorder="1" applyAlignment="1">
      <alignment vertical="center" wrapText="1"/>
    </xf>
    <xf numFmtId="0" fontId="6" fillId="0" borderId="6" xfId="0" applyFont="1" applyBorder="1" applyAlignment="1">
      <alignment vertical="center" wrapText="1"/>
    </xf>
    <xf numFmtId="0" fontId="7" fillId="0" borderId="3" xfId="0" applyFont="1" applyBorder="1" applyAlignment="1">
      <alignment horizontal="center" vertical="center" wrapText="1"/>
    </xf>
    <xf numFmtId="0" fontId="2" fillId="0" borderId="3" xfId="2" applyNumberFormat="1" applyFont="1" applyBorder="1" applyAlignment="1">
      <alignment horizontal="center" vertical="center"/>
    </xf>
    <xf numFmtId="0" fontId="26" fillId="0" borderId="0" xfId="2" applyNumberFormat="1" applyFont="1" applyAlignment="1">
      <alignment horizontal="centerContinuous" vertical="center"/>
    </xf>
    <xf numFmtId="0" fontId="26" fillId="0" borderId="0" xfId="2" applyNumberFormat="1" applyFont="1" applyAlignment="1">
      <alignment vertical="center"/>
    </xf>
    <xf numFmtId="3" fontId="57" fillId="0" borderId="0" xfId="0" applyNumberFormat="1" applyFont="1" applyAlignment="1">
      <alignment horizontal="center" vertical="center"/>
    </xf>
    <xf numFmtId="0" fontId="0" fillId="0" borderId="14" xfId="0" applyBorder="1" applyAlignment="1">
      <alignment horizontal="center" vertical="center"/>
    </xf>
    <xf numFmtId="3" fontId="2" fillId="0" borderId="13" xfId="5" applyNumberFormat="1" applyBorder="1" applyAlignment="1">
      <alignment horizontal="centerContinuous" vertical="center"/>
    </xf>
    <xf numFmtId="165" fontId="0" fillId="0" borderId="2" xfId="0" applyNumberFormat="1" applyBorder="1" applyAlignment="1">
      <alignment horizontal="center" vertical="center"/>
    </xf>
    <xf numFmtId="165" fontId="0" fillId="0" borderId="13" xfId="0" applyNumberFormat="1" applyBorder="1" applyAlignment="1">
      <alignment horizontal="center" vertical="center"/>
    </xf>
    <xf numFmtId="165" fontId="0" fillId="0" borderId="14" xfId="0" applyNumberFormat="1" applyBorder="1" applyAlignment="1">
      <alignment horizontal="center" vertical="center"/>
    </xf>
    <xf numFmtId="165" fontId="1" fillId="0" borderId="14" xfId="0" applyNumberFormat="1" applyFont="1" applyBorder="1" applyAlignment="1">
      <alignment horizontal="center" vertical="center"/>
    </xf>
    <xf numFmtId="0" fontId="39" fillId="0" borderId="17" xfId="0" applyFont="1" applyBorder="1" applyAlignment="1">
      <alignment vertical="center" wrapText="1"/>
    </xf>
    <xf numFmtId="0" fontId="39" fillId="0" borderId="16" xfId="0" applyFont="1" applyBorder="1" applyAlignment="1">
      <alignment vertical="center" wrapText="1"/>
    </xf>
    <xf numFmtId="0" fontId="39" fillId="0" borderId="17" xfId="6" applyFont="1" applyBorder="1" applyAlignment="1" applyProtection="1">
      <alignment vertical="center" wrapText="1"/>
      <protection hidden="1"/>
    </xf>
    <xf numFmtId="0" fontId="39" fillId="0" borderId="13" xfId="6" applyFont="1" applyBorder="1" applyAlignment="1" applyProtection="1">
      <alignment vertical="center" wrapText="1"/>
      <protection hidden="1"/>
    </xf>
    <xf numFmtId="0" fontId="39" fillId="0" borderId="13" xfId="0" applyFont="1" applyBorder="1" applyAlignment="1">
      <alignment vertical="center" wrapText="1"/>
    </xf>
    <xf numFmtId="0" fontId="61" fillId="0" borderId="0" xfId="0" applyFont="1" applyAlignment="1">
      <alignment horizontal="center" vertical="center"/>
    </xf>
    <xf numFmtId="3" fontId="61" fillId="0" borderId="0" xfId="0" applyNumberFormat="1" applyFont="1" applyAlignment="1">
      <alignment horizontal="center" vertical="center"/>
    </xf>
    <xf numFmtId="3" fontId="2" fillId="0" borderId="0" xfId="0" applyNumberFormat="1" applyFont="1" applyAlignment="1">
      <alignment vertical="center"/>
    </xf>
    <xf numFmtId="3" fontId="2" fillId="0" borderId="0" xfId="0" applyNumberFormat="1" applyFont="1" applyAlignment="1">
      <alignment horizontal="center" vertical="center"/>
    </xf>
    <xf numFmtId="3" fontId="62" fillId="0" borderId="0" xfId="0" applyNumberFormat="1" applyFont="1" applyAlignment="1">
      <alignment horizontal="center" vertical="center"/>
    </xf>
    <xf numFmtId="3" fontId="14" fillId="0" borderId="1" xfId="0" applyNumberFormat="1" applyFont="1" applyBorder="1" applyAlignment="1">
      <alignment horizontal="center" vertical="center"/>
    </xf>
    <xf numFmtId="3" fontId="14" fillId="0" borderId="4" xfId="0" applyNumberFormat="1" applyFont="1" applyBorder="1" applyAlignment="1">
      <alignment horizontal="center" vertical="center"/>
    </xf>
    <xf numFmtId="3" fontId="0" fillId="0" borderId="9" xfId="0" applyNumberFormat="1" applyBorder="1" applyAlignment="1">
      <alignment horizontal="center" vertical="center"/>
    </xf>
    <xf numFmtId="166" fontId="2" fillId="0" borderId="33" xfId="0" applyNumberFormat="1" applyFont="1" applyBorder="1" applyAlignment="1">
      <alignment horizontal="center" vertical="center"/>
    </xf>
    <xf numFmtId="166" fontId="2" fillId="0" borderId="42" xfId="0" applyNumberFormat="1" applyFont="1" applyBorder="1" applyAlignment="1">
      <alignment horizontal="center" vertical="center"/>
    </xf>
    <xf numFmtId="0" fontId="52" fillId="0" borderId="17" xfId="0" applyFont="1" applyBorder="1" applyAlignment="1">
      <alignment vertical="center"/>
    </xf>
    <xf numFmtId="3" fontId="0" fillId="0" borderId="13" xfId="0" applyNumberFormat="1" applyBorder="1" applyAlignment="1">
      <alignment horizontal="center"/>
    </xf>
    <xf numFmtId="3" fontId="0" fillId="0" borderId="0" xfId="0" applyNumberFormat="1" applyAlignment="1">
      <alignment horizontal="center"/>
    </xf>
    <xf numFmtId="0" fontId="57" fillId="0" borderId="0" xfId="0" applyFont="1" applyAlignment="1">
      <alignment horizontal="center" vertical="center"/>
    </xf>
    <xf numFmtId="0" fontId="30" fillId="0" borderId="0" xfId="0" applyFont="1" applyAlignment="1">
      <alignment horizontal="left"/>
    </xf>
    <xf numFmtId="0" fontId="30" fillId="0" borderId="0" xfId="0" applyFont="1" applyAlignment="1">
      <alignment horizontal="centerContinuous"/>
    </xf>
    <xf numFmtId="0" fontId="39" fillId="0" borderId="0" xfId="11" applyFont="1" applyAlignment="1" applyProtection="1">
      <alignment horizontal="center" vertical="center" wrapText="1"/>
      <protection hidden="1"/>
    </xf>
    <xf numFmtId="0" fontId="41" fillId="0" borderId="0" xfId="11" applyFont="1" applyAlignment="1" applyProtection="1">
      <alignment horizontal="center" vertical="center" wrapText="1"/>
      <protection hidden="1"/>
    </xf>
    <xf numFmtId="0" fontId="1" fillId="0" borderId="0" xfId="0" applyFont="1" applyAlignment="1">
      <alignment horizontal="center"/>
    </xf>
    <xf numFmtId="0" fontId="65" fillId="0" borderId="0" xfId="12" applyFont="1" applyAlignment="1">
      <alignment vertical="center" wrapText="1"/>
    </xf>
    <xf numFmtId="0" fontId="65" fillId="0" borderId="0" xfId="12" applyFont="1" applyAlignment="1">
      <alignment vertical="center"/>
    </xf>
    <xf numFmtId="0" fontId="60" fillId="0" borderId="0" xfId="0" applyFont="1"/>
    <xf numFmtId="3" fontId="2" fillId="0" borderId="12" xfId="0" applyNumberFormat="1" applyFont="1" applyBorder="1" applyAlignment="1">
      <alignment horizontal="center" vertical="center"/>
    </xf>
    <xf numFmtId="0" fontId="1" fillId="0" borderId="0" xfId="0" applyFont="1" applyAlignment="1">
      <alignment vertical="top"/>
    </xf>
    <xf numFmtId="0" fontId="0" fillId="0" borderId="0" xfId="0" quotePrefix="1" applyAlignment="1">
      <alignment horizontal="centerContinuous" vertical="center"/>
    </xf>
    <xf numFmtId="0" fontId="27" fillId="0" borderId="0" xfId="0" applyFont="1" applyAlignment="1">
      <alignment horizontal="centerContinuous" vertical="center"/>
    </xf>
    <xf numFmtId="0" fontId="27" fillId="0" borderId="0" xfId="0" applyFont="1" applyAlignment="1">
      <alignment horizontal="center" vertical="center"/>
    </xf>
    <xf numFmtId="0" fontId="18" fillId="5" borderId="0" xfId="0" applyFont="1" applyFill="1"/>
    <xf numFmtId="0" fontId="0" fillId="5" borderId="0" xfId="0" applyFill="1"/>
    <xf numFmtId="0" fontId="5" fillId="0" borderId="7" xfId="0" applyFont="1" applyBorder="1" applyAlignment="1">
      <alignment horizontal="centerContinuous" vertical="center"/>
    </xf>
    <xf numFmtId="0" fontId="1" fillId="0" borderId="7" xfId="0" applyFont="1" applyBorder="1" applyAlignment="1">
      <alignment vertical="center"/>
    </xf>
    <xf numFmtId="0" fontId="1" fillId="0" borderId="7" xfId="0" applyFont="1" applyBorder="1" applyAlignment="1">
      <alignment horizontal="center" vertical="center"/>
    </xf>
    <xf numFmtId="0" fontId="0" fillId="0" borderId="7" xfId="0" applyBorder="1" applyAlignment="1">
      <alignment horizontal="right" vertical="center"/>
    </xf>
    <xf numFmtId="0" fontId="2" fillId="0" borderId="7" xfId="0" applyFont="1" applyBorder="1" applyAlignment="1">
      <alignment horizontal="right" vertical="center"/>
    </xf>
    <xf numFmtId="0" fontId="2" fillId="0" borderId="0" xfId="0" applyFont="1" applyAlignment="1">
      <alignment vertical="center" wrapText="1"/>
    </xf>
    <xf numFmtId="0" fontId="0" fillId="0" borderId="15" xfId="0" applyBorder="1" applyAlignment="1">
      <alignment vertical="center"/>
    </xf>
    <xf numFmtId="0" fontId="66" fillId="5" borderId="9" xfId="0" applyFont="1" applyFill="1" applyBorder="1" applyAlignment="1">
      <alignment horizontal="centerContinuous" vertical="center"/>
    </xf>
    <xf numFmtId="0" fontId="41" fillId="5" borderId="8" xfId="0" applyFont="1" applyFill="1" applyBorder="1" applyAlignment="1">
      <alignment horizontal="centerContinuous" vertical="center"/>
    </xf>
    <xf numFmtId="0" fontId="30" fillId="5" borderId="4" xfId="0" applyFont="1" applyFill="1" applyBorder="1" applyAlignment="1">
      <alignment horizontal="center" vertical="center"/>
    </xf>
    <xf numFmtId="0" fontId="0" fillId="5" borderId="9" xfId="0" applyFill="1" applyBorder="1" applyAlignment="1">
      <alignment vertical="center"/>
    </xf>
    <xf numFmtId="0" fontId="2" fillId="5" borderId="8" xfId="0" applyFont="1" applyFill="1" applyBorder="1" applyAlignment="1">
      <alignment vertical="center"/>
    </xf>
    <xf numFmtId="0" fontId="1" fillId="5" borderId="1" xfId="0" applyFont="1" applyFill="1" applyBorder="1" applyAlignment="1">
      <alignment horizontal="center" vertical="center"/>
    </xf>
    <xf numFmtId="0" fontId="1" fillId="7" borderId="9" xfId="0" applyFont="1" applyFill="1" applyBorder="1" applyAlignment="1">
      <alignment vertical="center"/>
    </xf>
    <xf numFmtId="0" fontId="0" fillId="7" borderId="8" xfId="0" applyFill="1" applyBorder="1" applyAlignment="1">
      <alignment vertical="center"/>
    </xf>
    <xf numFmtId="0" fontId="0" fillId="7" borderId="1" xfId="0" applyFill="1" applyBorder="1" applyAlignment="1">
      <alignment horizontal="center" vertical="center"/>
    </xf>
    <xf numFmtId="0" fontId="1" fillId="6" borderId="9" xfId="0" applyFont="1" applyFill="1" applyBorder="1" applyAlignment="1">
      <alignment vertical="center"/>
    </xf>
    <xf numFmtId="0" fontId="0" fillId="6" borderId="8" xfId="0" applyFill="1" applyBorder="1" applyAlignment="1">
      <alignment vertical="center"/>
    </xf>
    <xf numFmtId="0" fontId="0" fillId="6" borderId="1" xfId="0" applyFill="1" applyBorder="1" applyAlignment="1">
      <alignment horizontal="center" vertical="center"/>
    </xf>
    <xf numFmtId="0" fontId="1" fillId="8" borderId="9" xfId="0" applyFont="1" applyFill="1" applyBorder="1" applyAlignment="1">
      <alignment vertical="center"/>
    </xf>
    <xf numFmtId="0" fontId="0" fillId="8" borderId="8" xfId="0" applyFill="1" applyBorder="1" applyAlignment="1">
      <alignment vertical="center"/>
    </xf>
    <xf numFmtId="0" fontId="0" fillId="8" borderId="1" xfId="0" applyFill="1" applyBorder="1" applyAlignment="1">
      <alignment horizontal="center" vertical="center"/>
    </xf>
    <xf numFmtId="0" fontId="1" fillId="5" borderId="7" xfId="0" applyFont="1" applyFill="1" applyBorder="1" applyAlignment="1">
      <alignment vertical="center"/>
    </xf>
    <xf numFmtId="0" fontId="1" fillId="5" borderId="9" xfId="0" applyFont="1" applyFill="1" applyBorder="1" applyAlignment="1">
      <alignment vertical="center"/>
    </xf>
    <xf numFmtId="0" fontId="0" fillId="5" borderId="8" xfId="0" applyFill="1" applyBorder="1" applyAlignment="1">
      <alignment vertical="center"/>
    </xf>
    <xf numFmtId="0" fontId="0" fillId="5" borderId="1" xfId="0" applyFill="1" applyBorder="1" applyAlignment="1">
      <alignment horizontal="center" vertical="center"/>
    </xf>
    <xf numFmtId="0" fontId="2" fillId="5" borderId="7" xfId="0" applyFont="1" applyFill="1" applyBorder="1" applyAlignment="1">
      <alignment vertical="center"/>
    </xf>
    <xf numFmtId="0" fontId="2" fillId="5" borderId="13" xfId="0" applyFont="1" applyFill="1" applyBorder="1" applyAlignment="1">
      <alignment horizontal="left" vertical="center"/>
    </xf>
    <xf numFmtId="0" fontId="1" fillId="5" borderId="7" xfId="0" applyFont="1" applyFill="1" applyBorder="1" applyAlignment="1">
      <alignment vertical="center" wrapText="1"/>
    </xf>
    <xf numFmtId="0" fontId="2" fillId="5" borderId="13" xfId="0" applyFont="1" applyFill="1" applyBorder="1" applyAlignment="1">
      <alignment horizontal="left" vertical="center" wrapText="1"/>
    </xf>
    <xf numFmtId="0" fontId="1" fillId="5" borderId="13" xfId="0" applyFont="1" applyFill="1" applyBorder="1" applyAlignment="1">
      <alignment horizontal="left" vertical="center" wrapText="1"/>
    </xf>
    <xf numFmtId="0" fontId="1" fillId="5" borderId="7" xfId="0" applyFont="1" applyFill="1" applyBorder="1" applyAlignment="1">
      <alignment horizontal="left" vertical="center" wrapText="1"/>
    </xf>
    <xf numFmtId="0" fontId="2" fillId="5" borderId="10" xfId="0" applyFont="1" applyFill="1" applyBorder="1" applyAlignment="1">
      <alignment vertical="center"/>
    </xf>
    <xf numFmtId="0" fontId="2" fillId="5" borderId="14" xfId="0" applyFont="1" applyFill="1" applyBorder="1" applyAlignment="1">
      <alignment horizontal="left" vertical="center"/>
    </xf>
    <xf numFmtId="0" fontId="3" fillId="9" borderId="9" xfId="0" applyFont="1" applyFill="1" applyBorder="1" applyAlignment="1">
      <alignment horizontal="centerContinuous" vertical="center"/>
    </xf>
    <xf numFmtId="0" fontId="67" fillId="9" borderId="4" xfId="0" applyFont="1" applyFill="1" applyBorder="1" applyAlignment="1">
      <alignment horizontal="left" vertical="center"/>
    </xf>
    <xf numFmtId="165" fontId="37" fillId="0" borderId="2" xfId="0" applyNumberFormat="1" applyFont="1" applyBorder="1" applyAlignment="1">
      <alignment horizontal="center" vertical="center"/>
    </xf>
    <xf numFmtId="3" fontId="37" fillId="0" borderId="7" xfId="0" applyNumberFormat="1" applyFont="1" applyBorder="1" applyAlignment="1">
      <alignment horizontal="right"/>
    </xf>
    <xf numFmtId="3" fontId="37" fillId="0" borderId="7" xfId="0" applyNumberFormat="1" applyFont="1" applyBorder="1"/>
    <xf numFmtId="3" fontId="37" fillId="0" borderId="11" xfId="0" applyNumberFormat="1" applyFont="1" applyBorder="1" applyAlignment="1">
      <alignment horizontal="right"/>
    </xf>
    <xf numFmtId="3" fontId="37" fillId="0" borderId="12" xfId="0" applyNumberFormat="1" applyFont="1" applyBorder="1" applyAlignment="1">
      <alignment horizontal="right"/>
    </xf>
    <xf numFmtId="3" fontId="37" fillId="0" borderId="10" xfId="0" applyNumberFormat="1" applyFont="1" applyBorder="1" applyAlignment="1">
      <alignment horizontal="right"/>
    </xf>
    <xf numFmtId="0" fontId="0" fillId="0" borderId="12" xfId="0" applyBorder="1" applyAlignment="1">
      <alignment horizontal="center" vertical="center"/>
    </xf>
    <xf numFmtId="3" fontId="18" fillId="0" borderId="7" xfId="0" applyNumberFormat="1" applyFont="1" applyBorder="1" applyAlignment="1">
      <alignment horizontal="center" vertical="center"/>
    </xf>
    <xf numFmtId="3" fontId="18" fillId="0" borderId="13" xfId="0" applyNumberFormat="1" applyFont="1" applyBorder="1" applyAlignment="1">
      <alignment horizontal="center" vertical="center"/>
    </xf>
    <xf numFmtId="0" fontId="68" fillId="0" borderId="0" xfId="11" applyFont="1" applyAlignment="1" applyProtection="1">
      <alignment horizontal="center" vertical="center" wrapText="1"/>
      <protection hidden="1"/>
    </xf>
    <xf numFmtId="0" fontId="22" fillId="0" borderId="0" xfId="0" applyFont="1" applyAlignment="1">
      <alignment horizontal="center" vertical="center"/>
    </xf>
    <xf numFmtId="0" fontId="22" fillId="0" borderId="6" xfId="0" applyFont="1" applyBorder="1" applyAlignment="1">
      <alignment horizontal="center" vertical="center"/>
    </xf>
    <xf numFmtId="0" fontId="69" fillId="0" borderId="0" xfId="2" applyNumberFormat="1" applyFont="1"/>
    <xf numFmtId="3" fontId="55" fillId="0" borderId="0" xfId="5" applyNumberFormat="1" applyFont="1" applyAlignment="1">
      <alignment horizontal="centerContinuous" vertical="center"/>
    </xf>
    <xf numFmtId="3" fontId="2" fillId="0" borderId="13" xfId="0" applyNumberFormat="1" applyFont="1" applyBorder="1" applyAlignment="1">
      <alignment horizontal="center" vertical="center"/>
    </xf>
    <xf numFmtId="2" fontId="6" fillId="0" borderId="0" xfId="0" applyNumberFormat="1" applyFont="1" applyAlignment="1">
      <alignment vertical="center"/>
    </xf>
    <xf numFmtId="3" fontId="56" fillId="0" borderId="0" xfId="0" applyNumberFormat="1" applyFont="1" applyAlignment="1">
      <alignment vertical="center"/>
    </xf>
    <xf numFmtId="3" fontId="56" fillId="0" borderId="13" xfId="0" applyNumberFormat="1" applyFont="1" applyBorder="1" applyAlignment="1">
      <alignment vertical="center"/>
    </xf>
    <xf numFmtId="3" fontId="44" fillId="0" borderId="4" xfId="0" applyNumberFormat="1" applyFont="1" applyBorder="1" applyAlignment="1">
      <alignment horizontal="center" vertical="center"/>
    </xf>
    <xf numFmtId="0" fontId="2" fillId="0" borderId="11" xfId="0" applyFont="1" applyBorder="1" applyAlignment="1">
      <alignment vertical="center"/>
    </xf>
    <xf numFmtId="0" fontId="2" fillId="0" borderId="2" xfId="0" applyFont="1" applyBorder="1" applyAlignment="1">
      <alignment vertical="center"/>
    </xf>
    <xf numFmtId="0" fontId="2" fillId="0" borderId="10" xfId="0" applyFont="1" applyBorder="1" applyAlignment="1">
      <alignment vertical="center"/>
    </xf>
    <xf numFmtId="0" fontId="2" fillId="0" borderId="14" xfId="0" applyFont="1" applyBorder="1" applyAlignment="1">
      <alignment vertical="center"/>
    </xf>
    <xf numFmtId="0" fontId="2" fillId="0" borderId="7" xfId="0" applyFont="1" applyBorder="1" applyAlignment="1">
      <alignment vertical="center"/>
    </xf>
    <xf numFmtId="0" fontId="2" fillId="0" borderId="1" xfId="0" applyFont="1" applyBorder="1" applyAlignment="1">
      <alignment vertical="center"/>
    </xf>
    <xf numFmtId="0" fontId="2" fillId="0" borderId="5" xfId="0" applyFont="1" applyBorder="1" applyAlignment="1">
      <alignment vertical="center"/>
    </xf>
    <xf numFmtId="0" fontId="2" fillId="0" borderId="10" xfId="0" applyFont="1" applyBorder="1"/>
    <xf numFmtId="174" fontId="0" fillId="0" borderId="0" xfId="0" applyNumberFormat="1"/>
    <xf numFmtId="3" fontId="2" fillId="0" borderId="6" xfId="0" applyNumberFormat="1" applyFont="1" applyBorder="1" applyAlignment="1">
      <alignment horizontal="center" vertical="center" wrapText="1"/>
    </xf>
    <xf numFmtId="0" fontId="5" fillId="0" borderId="0" xfId="0" applyFont="1" applyAlignment="1">
      <alignment horizontal="center" vertical="center"/>
    </xf>
    <xf numFmtId="0" fontId="14" fillId="0" borderId="0" xfId="0" applyFont="1" applyAlignment="1">
      <alignment horizontal="center"/>
    </xf>
    <xf numFmtId="0" fontId="16" fillId="0" borderId="0" xfId="0" applyFont="1" applyAlignment="1">
      <alignment horizontal="center" vertical="center"/>
    </xf>
    <xf numFmtId="0" fontId="2" fillId="0" borderId="9" xfId="5" applyBorder="1" applyAlignment="1">
      <alignment horizontal="center" vertical="center"/>
    </xf>
    <xf numFmtId="0" fontId="2" fillId="0" borderId="8" xfId="5" applyBorder="1" applyAlignment="1">
      <alignment horizontal="center" vertical="center"/>
    </xf>
    <xf numFmtId="0" fontId="2" fillId="0" borderId="4" xfId="5" applyBorder="1" applyAlignment="1">
      <alignment horizontal="center" vertical="center"/>
    </xf>
    <xf numFmtId="0" fontId="26" fillId="0" borderId="10" xfId="5" applyFont="1" applyBorder="1" applyAlignment="1">
      <alignment horizontal="center" vertical="center"/>
    </xf>
    <xf numFmtId="0" fontId="26" fillId="0" borderId="14" xfId="5" applyFont="1" applyBorder="1" applyAlignment="1">
      <alignment horizontal="center" vertical="center"/>
    </xf>
    <xf numFmtId="0" fontId="2" fillId="0" borderId="11" xfId="5" applyBorder="1" applyAlignment="1">
      <alignment horizontal="center" vertical="center"/>
    </xf>
    <xf numFmtId="0" fontId="10" fillId="0" borderId="11" xfId="5" applyFont="1" applyBorder="1"/>
    <xf numFmtId="0" fontId="10" fillId="0" borderId="7" xfId="5" applyFont="1" applyBorder="1" applyAlignment="1">
      <alignment vertical="top" wrapText="1"/>
    </xf>
    <xf numFmtId="0" fontId="10" fillId="0" borderId="10" xfId="5" applyFont="1" applyBorder="1" applyAlignment="1">
      <alignment vertical="center"/>
    </xf>
    <xf numFmtId="0" fontId="2" fillId="0" borderId="14" xfId="5" applyBorder="1" applyAlignment="1">
      <alignment horizontal="center" vertical="center"/>
    </xf>
    <xf numFmtId="0" fontId="2" fillId="0" borderId="12" xfId="5" applyBorder="1" applyAlignment="1">
      <alignment horizontal="center" vertical="center"/>
    </xf>
    <xf numFmtId="0" fontId="2" fillId="0" borderId="12" xfId="5" applyBorder="1"/>
    <xf numFmtId="0" fontId="26" fillId="0" borderId="10" xfId="5" applyFont="1" applyBorder="1" applyAlignment="1">
      <alignment horizontal="centerContinuous" vertical="center"/>
    </xf>
    <xf numFmtId="0" fontId="2" fillId="0" borderId="2" xfId="5" applyBorder="1"/>
    <xf numFmtId="0" fontId="2" fillId="0" borderId="13" xfId="5" applyBorder="1"/>
    <xf numFmtId="0" fontId="26" fillId="0" borderId="14" xfId="5" applyFont="1" applyBorder="1" applyAlignment="1">
      <alignment horizontal="centerContinuous" vertical="center"/>
    </xf>
    <xf numFmtId="0" fontId="2" fillId="0" borderId="35" xfId="5" applyBorder="1" applyAlignment="1">
      <alignment horizontal="center" vertical="center"/>
    </xf>
    <xf numFmtId="0" fontId="2" fillId="0" borderId="37" xfId="5" applyBorder="1" applyAlignment="1">
      <alignment horizontal="center" vertical="center"/>
    </xf>
    <xf numFmtId="0" fontId="2" fillId="0" borderId="25" xfId="5" applyBorder="1" applyAlignment="1">
      <alignment horizontal="center" vertical="center"/>
    </xf>
    <xf numFmtId="0" fontId="2" fillId="0" borderId="26" xfId="5" applyBorder="1" applyAlignment="1">
      <alignment horizontal="center" vertical="center"/>
    </xf>
    <xf numFmtId="0" fontId="26" fillId="0" borderId="27" xfId="5" applyFont="1" applyBorder="1" applyAlignment="1">
      <alignment horizontal="center" vertical="center"/>
    </xf>
    <xf numFmtId="0" fontId="26" fillId="0" borderId="29" xfId="5" applyFont="1" applyBorder="1" applyAlignment="1">
      <alignment horizontal="center" vertical="center"/>
    </xf>
    <xf numFmtId="0" fontId="9" fillId="0" borderId="7" xfId="5" applyFont="1" applyBorder="1" applyAlignment="1">
      <alignment vertical="center"/>
    </xf>
    <xf numFmtId="0" fontId="9" fillId="0" borderId="10" xfId="5" applyFont="1" applyBorder="1" applyAlignment="1">
      <alignment vertical="center"/>
    </xf>
    <xf numFmtId="0" fontId="26" fillId="0" borderId="35" xfId="5" applyFont="1" applyBorder="1" applyAlignment="1">
      <alignment horizontal="center" vertical="center"/>
    </xf>
    <xf numFmtId="0" fontId="26" fillId="0" borderId="37" xfId="5" applyFont="1" applyBorder="1" applyAlignment="1">
      <alignment horizontal="center" vertical="center"/>
    </xf>
    <xf numFmtId="0" fontId="26" fillId="0" borderId="25" xfId="5" applyFont="1" applyBorder="1" applyAlignment="1">
      <alignment horizontal="center" vertical="center"/>
    </xf>
    <xf numFmtId="0" fontId="26" fillId="0" borderId="26" xfId="5" applyFont="1" applyBorder="1" applyAlignment="1">
      <alignment horizontal="center" vertical="center"/>
    </xf>
    <xf numFmtId="3" fontId="26" fillId="0" borderId="34" xfId="5" applyNumberFormat="1" applyFont="1" applyBorder="1" applyAlignment="1">
      <alignment horizontal="center" vertical="center"/>
    </xf>
    <xf numFmtId="0" fontId="6" fillId="0" borderId="6" xfId="5" applyFont="1" applyBorder="1" applyAlignment="1">
      <alignment vertical="top"/>
    </xf>
    <xf numFmtId="0" fontId="2" fillId="0" borderId="3" xfId="5" applyBorder="1" applyAlignment="1">
      <alignment vertical="center"/>
    </xf>
    <xf numFmtId="0" fontId="2" fillId="0" borderId="7" xfId="5" applyBorder="1" applyAlignment="1">
      <alignment vertical="center"/>
    </xf>
    <xf numFmtId="0" fontId="55" fillId="0" borderId="7" xfId="5" applyFont="1" applyBorder="1" applyAlignment="1">
      <alignment horizontal="center" vertical="center"/>
    </xf>
    <xf numFmtId="0" fontId="55" fillId="0" borderId="13" xfId="5" applyFont="1" applyBorder="1" applyAlignment="1">
      <alignment horizontal="center" vertical="center"/>
    </xf>
    <xf numFmtId="3" fontId="26" fillId="0" borderId="11" xfId="5" applyNumberFormat="1" applyFont="1" applyBorder="1" applyAlignment="1">
      <alignment horizontal="centerContinuous" vertical="center"/>
    </xf>
    <xf numFmtId="3" fontId="26" fillId="0" borderId="2" xfId="5" applyNumberFormat="1" applyFont="1" applyBorder="1" applyAlignment="1">
      <alignment horizontal="centerContinuous" vertical="center"/>
    </xf>
    <xf numFmtId="3" fontId="26" fillId="0" borderId="7" xfId="5" applyNumberFormat="1" applyFont="1" applyBorder="1" applyAlignment="1">
      <alignment horizontal="centerContinuous" vertical="center"/>
    </xf>
    <xf numFmtId="3" fontId="26" fillId="0" borderId="10" xfId="5" applyNumberFormat="1" applyFont="1" applyBorder="1" applyAlignment="1">
      <alignment horizontal="centerContinuous" vertical="center"/>
    </xf>
    <xf numFmtId="3" fontId="2" fillId="0" borderId="7" xfId="5" applyNumberFormat="1" applyBorder="1" applyAlignment="1">
      <alignment horizontal="centerContinuous" vertical="center"/>
    </xf>
    <xf numFmtId="3" fontId="22" fillId="0" borderId="7" xfId="5" applyNumberFormat="1" applyFont="1" applyBorder="1" applyAlignment="1">
      <alignment horizontal="centerContinuous" vertical="center"/>
    </xf>
    <xf numFmtId="3" fontId="22" fillId="0" borderId="13" xfId="5" applyNumberFormat="1" applyFont="1" applyBorder="1" applyAlignment="1">
      <alignment horizontal="centerContinuous" vertical="center"/>
    </xf>
    <xf numFmtId="3" fontId="26" fillId="0" borderId="11" xfId="5" applyNumberFormat="1" applyFont="1" applyBorder="1" applyAlignment="1">
      <alignment horizontal="center" vertical="center"/>
    </xf>
    <xf numFmtId="3" fontId="26" fillId="0" borderId="2" xfId="5" applyNumberFormat="1" applyFont="1" applyBorder="1" applyAlignment="1">
      <alignment horizontal="center" vertical="center"/>
    </xf>
    <xf numFmtId="3" fontId="26" fillId="0" borderId="13" xfId="5" applyNumberFormat="1" applyFont="1" applyBorder="1" applyAlignment="1">
      <alignment horizontal="center" vertical="center"/>
    </xf>
    <xf numFmtId="3" fontId="26" fillId="0" borderId="7" xfId="5" applyNumberFormat="1" applyFont="1" applyBorder="1" applyAlignment="1">
      <alignment horizontal="center" vertical="center"/>
    </xf>
    <xf numFmtId="3" fontId="2" fillId="0" borderId="35" xfId="5" applyNumberFormat="1" applyBorder="1" applyAlignment="1">
      <alignment horizontal="center" vertical="center"/>
    </xf>
    <xf numFmtId="3" fontId="2" fillId="0" borderId="37" xfId="5" applyNumberFormat="1" applyBorder="1" applyAlignment="1">
      <alignment horizontal="center" vertical="center"/>
    </xf>
    <xf numFmtId="3" fontId="26" fillId="0" borderId="33" xfId="5" applyNumberFormat="1" applyFont="1" applyBorder="1" applyAlignment="1">
      <alignment horizontal="center" vertical="center"/>
    </xf>
    <xf numFmtId="3" fontId="2" fillId="0" borderId="25" xfId="5" applyNumberFormat="1" applyBorder="1" applyAlignment="1">
      <alignment horizontal="center" vertical="center"/>
    </xf>
    <xf numFmtId="3" fontId="2" fillId="0" borderId="26" xfId="5" applyNumberFormat="1" applyBorder="1" applyAlignment="1">
      <alignment horizontal="center" vertical="center"/>
    </xf>
    <xf numFmtId="3" fontId="26" fillId="0" borderId="42" xfId="5" applyNumberFormat="1" applyFont="1" applyBorder="1" applyAlignment="1">
      <alignment horizontal="center" vertical="center"/>
    </xf>
    <xf numFmtId="3" fontId="26" fillId="0" borderId="27" xfId="5" applyNumberFormat="1" applyFont="1" applyBorder="1" applyAlignment="1">
      <alignment horizontal="center" vertical="center"/>
    </xf>
    <xf numFmtId="3" fontId="26" fillId="0" borderId="29" xfId="5" applyNumberFormat="1" applyFont="1" applyBorder="1" applyAlignment="1">
      <alignment horizontal="center" vertical="center"/>
    </xf>
    <xf numFmtId="0" fontId="9" fillId="0" borderId="6" xfId="0" applyFont="1" applyBorder="1" applyAlignment="1">
      <alignment horizontal="left" vertical="center"/>
    </xf>
    <xf numFmtId="3" fontId="14" fillId="0" borderId="48" xfId="0" applyNumberFormat="1" applyFont="1" applyBorder="1" applyAlignment="1">
      <alignment horizontal="center" vertical="center"/>
    </xf>
    <xf numFmtId="3" fontId="18" fillId="0" borderId="47" xfId="0" applyNumberFormat="1" applyFont="1" applyBorder="1" applyAlignment="1">
      <alignment horizontal="center" vertical="center"/>
    </xf>
    <xf numFmtId="0" fontId="6" fillId="0" borderId="5" xfId="0" applyFont="1" applyBorder="1" applyAlignment="1">
      <alignment horizontal="left" vertical="center"/>
    </xf>
    <xf numFmtId="0" fontId="6" fillId="0" borderId="3" xfId="0" applyFont="1" applyBorder="1" applyAlignment="1">
      <alignment horizontal="left" vertical="center"/>
    </xf>
    <xf numFmtId="0" fontId="6" fillId="0" borderId="2" xfId="0" applyFont="1" applyBorder="1" applyAlignment="1">
      <alignment horizontal="left" vertical="center"/>
    </xf>
    <xf numFmtId="0" fontId="6" fillId="0" borderId="13" xfId="0" applyFont="1" applyBorder="1" applyAlignment="1">
      <alignment horizontal="left" vertical="center"/>
    </xf>
    <xf numFmtId="0" fontId="6" fillId="0" borderId="6" xfId="0" applyFont="1" applyBorder="1" applyAlignment="1">
      <alignment horizontal="center" vertical="center" wrapText="1"/>
    </xf>
    <xf numFmtId="0" fontId="6" fillId="0" borderId="6" xfId="0" applyFont="1" applyBorder="1" applyAlignment="1">
      <alignment horizontal="center" wrapText="1"/>
    </xf>
    <xf numFmtId="3" fontId="6" fillId="0" borderId="0" xfId="0" applyNumberFormat="1" applyFont="1" applyAlignment="1">
      <alignment horizontal="center"/>
    </xf>
    <xf numFmtId="166" fontId="0" fillId="0" borderId="0" xfId="0" applyNumberFormat="1"/>
    <xf numFmtId="0" fontId="9" fillId="0" borderId="0" xfId="0" applyFont="1" applyAlignment="1">
      <alignment horizontal="center"/>
    </xf>
    <xf numFmtId="2" fontId="9" fillId="0" borderId="0" xfId="0" applyNumberFormat="1" applyFont="1" applyAlignment="1">
      <alignment horizontal="center"/>
    </xf>
    <xf numFmtId="3" fontId="18" fillId="0" borderId="13" xfId="0" applyNumberFormat="1" applyFont="1" applyBorder="1" applyAlignment="1">
      <alignment horizontal="center"/>
    </xf>
    <xf numFmtId="165" fontId="18" fillId="0" borderId="54" xfId="0" applyNumberFormat="1" applyFont="1" applyBorder="1" applyAlignment="1">
      <alignment horizontal="center"/>
    </xf>
    <xf numFmtId="0" fontId="2" fillId="0" borderId="0" xfId="0" applyFont="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Continuous" vertical="center"/>
    </xf>
    <xf numFmtId="3" fontId="2" fillId="0" borderId="14" xfId="0" applyNumberFormat="1" applyFont="1" applyBorder="1" applyAlignment="1">
      <alignment horizontal="centerContinuous"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6" fillId="0" borderId="29" xfId="0" applyFont="1" applyBorder="1" applyAlignment="1">
      <alignment horizontal="center" vertical="center"/>
    </xf>
    <xf numFmtId="0" fontId="6" fillId="0" borderId="27" xfId="0" applyFont="1" applyBorder="1" applyAlignment="1">
      <alignment horizontal="centerContinuous" vertical="center"/>
    </xf>
    <xf numFmtId="0" fontId="6" fillId="0" borderId="29" xfId="0" applyFont="1" applyBorder="1" applyAlignment="1">
      <alignment horizontal="centerContinuous" vertical="center"/>
    </xf>
    <xf numFmtId="0" fontId="6" fillId="0" borderId="26" xfId="0" applyFont="1" applyBorder="1" applyAlignment="1">
      <alignment horizontal="centerContinuous" vertical="center"/>
    </xf>
    <xf numFmtId="0" fontId="6" fillId="0" borderId="28" xfId="0" applyFont="1" applyBorder="1" applyAlignment="1">
      <alignment horizontal="centerContinuous" vertical="center"/>
    </xf>
    <xf numFmtId="3" fontId="6" fillId="0" borderId="29" xfId="0" applyNumberFormat="1" applyFont="1" applyBorder="1" applyAlignment="1">
      <alignment horizontal="centerContinuous" vertical="center"/>
    </xf>
    <xf numFmtId="0" fontId="57" fillId="0" borderId="13" xfId="0" applyFont="1" applyBorder="1" applyAlignment="1">
      <alignment horizontal="center" vertical="center"/>
    </xf>
    <xf numFmtId="0" fontId="6" fillId="0" borderId="25" xfId="0" applyFont="1" applyBorder="1" applyAlignment="1">
      <alignment horizontal="centerContinuous" vertical="center"/>
    </xf>
    <xf numFmtId="0" fontId="2" fillId="0" borderId="26" xfId="0" applyFont="1" applyBorder="1" applyAlignment="1">
      <alignment horizontal="center" vertical="center"/>
    </xf>
    <xf numFmtId="0" fontId="0" fillId="0" borderId="26" xfId="0" applyBorder="1" applyAlignment="1">
      <alignment horizontal="center" vertical="center"/>
    </xf>
    <xf numFmtId="3" fontId="6" fillId="0" borderId="27" xfId="0" applyNumberFormat="1" applyFont="1"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3" fontId="26" fillId="0" borderId="15" xfId="0" applyNumberFormat="1" applyFont="1" applyBorder="1" applyAlignment="1">
      <alignment horizontal="center" vertical="center"/>
    </xf>
    <xf numFmtId="3" fontId="70" fillId="0" borderId="1" xfId="0" applyNumberFormat="1" applyFont="1" applyBorder="1" applyAlignment="1">
      <alignment vertical="center"/>
    </xf>
    <xf numFmtId="0" fontId="71" fillId="0" borderId="18" xfId="0" applyFont="1" applyBorder="1" applyAlignment="1">
      <alignment horizontal="left" vertical="center"/>
    </xf>
    <xf numFmtId="0" fontId="71" fillId="0" borderId="19" xfId="0" applyFont="1" applyBorder="1" applyAlignment="1">
      <alignment vertical="center"/>
    </xf>
    <xf numFmtId="3" fontId="70" fillId="0" borderId="1" xfId="0" quotePrefix="1" applyNumberFormat="1" applyFont="1" applyBorder="1" applyAlignment="1">
      <alignment horizontal="left" vertical="center"/>
    </xf>
    <xf numFmtId="3" fontId="70" fillId="0" borderId="16" xfId="0" applyNumberFormat="1" applyFont="1" applyBorder="1" applyAlignment="1">
      <alignment vertical="center"/>
    </xf>
    <xf numFmtId="3" fontId="70" fillId="0" borderId="17" xfId="0" applyNumberFormat="1" applyFont="1" applyBorder="1" applyAlignment="1">
      <alignment vertical="center"/>
    </xf>
    <xf numFmtId="3" fontId="70" fillId="0" borderId="17" xfId="0" quotePrefix="1" applyNumberFormat="1" applyFont="1" applyBorder="1" applyAlignment="1">
      <alignment horizontal="left" vertical="center"/>
    </xf>
    <xf numFmtId="1" fontId="39" fillId="0" borderId="59" xfId="0" applyNumberFormat="1" applyFont="1" applyBorder="1" applyAlignment="1">
      <alignment horizontal="left" vertical="center" wrapText="1"/>
    </xf>
    <xf numFmtId="1" fontId="39" fillId="0" borderId="6" xfId="0" applyNumberFormat="1" applyFont="1" applyBorder="1" applyAlignment="1">
      <alignment horizontal="left" vertical="center" wrapText="1"/>
    </xf>
    <xf numFmtId="3" fontId="55" fillId="0" borderId="7" xfId="0" applyNumberFormat="1" applyFont="1" applyBorder="1" applyAlignment="1">
      <alignment vertical="center"/>
    </xf>
    <xf numFmtId="0" fontId="2" fillId="5" borderId="13" xfId="0" applyFont="1" applyFill="1" applyBorder="1" applyAlignment="1">
      <alignment horizontal="left" vertical="top" wrapText="1"/>
    </xf>
    <xf numFmtId="4" fontId="72" fillId="0" borderId="13" xfId="0" applyNumberFormat="1" applyFont="1" applyBorder="1" applyAlignment="1">
      <alignment horizontal="center" vertical="center"/>
    </xf>
    <xf numFmtId="3" fontId="6" fillId="0" borderId="15" xfId="0" applyNumberFormat="1" applyFont="1" applyBorder="1" applyAlignment="1">
      <alignment horizontal="centerContinuous" vertical="center"/>
    </xf>
    <xf numFmtId="3" fontId="2" fillId="0" borderId="0" xfId="0" applyNumberFormat="1" applyFont="1"/>
    <xf numFmtId="165" fontId="18" fillId="0" borderId="6" xfId="0" applyNumberFormat="1" applyFont="1" applyBorder="1" applyAlignment="1">
      <alignment horizontal="center"/>
    </xf>
    <xf numFmtId="3" fontId="18" fillId="0" borderId="7" xfId="0" applyNumberFormat="1" applyFont="1" applyBorder="1" applyAlignment="1">
      <alignment horizontal="center"/>
    </xf>
    <xf numFmtId="166" fontId="18" fillId="0" borderId="13" xfId="0" applyNumberFormat="1" applyFont="1" applyBorder="1" applyAlignment="1">
      <alignment horizontal="center"/>
    </xf>
    <xf numFmtId="166" fontId="18" fillId="0" borderId="11" xfId="0" applyNumberFormat="1" applyFont="1" applyBorder="1" applyAlignment="1">
      <alignment horizontal="center"/>
    </xf>
    <xf numFmtId="165" fontId="14" fillId="0" borderId="0" xfId="0" applyNumberFormat="1" applyFont="1" applyAlignment="1">
      <alignment horizontal="center"/>
    </xf>
    <xf numFmtId="3" fontId="14" fillId="0" borderId="6" xfId="0" applyNumberFormat="1" applyFont="1" applyBorder="1" applyAlignment="1">
      <alignment horizontal="center"/>
    </xf>
    <xf numFmtId="165" fontId="14" fillId="0" borderId="54" xfId="0" applyNumberFormat="1" applyFont="1" applyBorder="1" applyAlignment="1">
      <alignment horizontal="center"/>
    </xf>
    <xf numFmtId="3" fontId="14" fillId="0" borderId="13" xfId="0" applyNumberFormat="1" applyFont="1" applyBorder="1" applyAlignment="1">
      <alignment horizontal="center"/>
    </xf>
    <xf numFmtId="165" fontId="14" fillId="0" borderId="6" xfId="0" applyNumberFormat="1" applyFont="1" applyBorder="1" applyAlignment="1">
      <alignment horizontal="center"/>
    </xf>
    <xf numFmtId="166" fontId="14" fillId="0" borderId="13" xfId="0" applyNumberFormat="1" applyFont="1" applyBorder="1" applyAlignment="1">
      <alignment horizontal="center"/>
    </xf>
    <xf numFmtId="3" fontId="9" fillId="0" borderId="7" xfId="0" applyNumberFormat="1" applyFont="1" applyBorder="1" applyAlignment="1">
      <alignment horizontal="center"/>
    </xf>
    <xf numFmtId="3" fontId="14" fillId="0" borderId="7" xfId="0" applyNumberFormat="1" applyFont="1" applyBorder="1" applyAlignment="1">
      <alignment horizontal="center"/>
    </xf>
    <xf numFmtId="3" fontId="14" fillId="0" borderId="3" xfId="0" applyNumberFormat="1" applyFont="1" applyBorder="1" applyAlignment="1">
      <alignment horizontal="center"/>
    </xf>
    <xf numFmtId="165" fontId="14" fillId="0" borderId="15" xfId="0" applyNumberFormat="1" applyFont="1" applyBorder="1" applyAlignment="1">
      <alignment horizontal="center"/>
    </xf>
    <xf numFmtId="3" fontId="14" fillId="0" borderId="10" xfId="0" applyNumberFormat="1" applyFont="1" applyBorder="1" applyAlignment="1">
      <alignment horizontal="center"/>
    </xf>
    <xf numFmtId="165" fontId="14" fillId="0" borderId="3" xfId="0" applyNumberFormat="1" applyFont="1" applyBorder="1" applyAlignment="1">
      <alignment horizontal="center"/>
    </xf>
    <xf numFmtId="3" fontId="14" fillId="0" borderId="14" xfId="0" applyNumberFormat="1" applyFont="1" applyBorder="1" applyAlignment="1">
      <alignment horizontal="center"/>
    </xf>
    <xf numFmtId="165" fontId="18" fillId="0" borderId="62" xfId="0" applyNumberFormat="1" applyFont="1" applyBorder="1" applyAlignment="1">
      <alignment horizontal="center"/>
    </xf>
    <xf numFmtId="165" fontId="14" fillId="0" borderId="62" xfId="0" applyNumberFormat="1" applyFont="1" applyBorder="1" applyAlignment="1">
      <alignment horizontal="center"/>
    </xf>
    <xf numFmtId="165" fontId="14" fillId="0" borderId="61" xfId="0" applyNumberFormat="1" applyFont="1" applyBorder="1" applyAlignment="1">
      <alignment horizontal="center"/>
    </xf>
    <xf numFmtId="166" fontId="14" fillId="0" borderId="14" xfId="0" applyNumberFormat="1" applyFont="1" applyBorder="1" applyAlignment="1">
      <alignment horizontal="center"/>
    </xf>
    <xf numFmtId="0" fontId="6" fillId="0" borderId="15" xfId="0" applyFont="1" applyBorder="1" applyAlignment="1">
      <alignment vertical="center"/>
    </xf>
    <xf numFmtId="3" fontId="39" fillId="0" borderId="0" xfId="0" applyNumberFormat="1" applyFont="1" applyAlignment="1">
      <alignment horizontal="center" vertical="center"/>
    </xf>
    <xf numFmtId="3" fontId="70" fillId="0" borderId="3" xfId="0" applyNumberFormat="1" applyFont="1" applyBorder="1" applyAlignment="1">
      <alignment horizontal="left" vertical="center"/>
    </xf>
    <xf numFmtId="3" fontId="70" fillId="0" borderId="0" xfId="0" applyNumberFormat="1" applyFont="1" applyAlignment="1">
      <alignment horizontal="left" vertical="center"/>
    </xf>
    <xf numFmtId="0" fontId="61" fillId="0" borderId="7" xfId="5" applyFont="1" applyBorder="1" applyAlignment="1">
      <alignment horizontal="center" vertical="center"/>
    </xf>
    <xf numFmtId="3" fontId="7" fillId="0" borderId="13" xfId="0" applyNumberFormat="1" applyFont="1" applyBorder="1" applyAlignment="1">
      <alignment horizontal="center" vertical="center"/>
    </xf>
    <xf numFmtId="3" fontId="61" fillId="0" borderId="0" xfId="0" applyNumberFormat="1" applyFont="1"/>
    <xf numFmtId="3" fontId="2" fillId="0" borderId="6" xfId="0" applyNumberFormat="1" applyFont="1" applyBorder="1" applyAlignment="1">
      <alignment horizontal="center" vertical="center"/>
    </xf>
    <xf numFmtId="3" fontId="2" fillId="0" borderId="7" xfId="0" applyNumberFormat="1" applyFont="1" applyBorder="1" applyAlignment="1">
      <alignment horizontal="center" vertical="center"/>
    </xf>
    <xf numFmtId="3" fontId="55" fillId="0" borderId="0" xfId="0" applyNumberFormat="1" applyFont="1"/>
    <xf numFmtId="0" fontId="2" fillId="0" borderId="2" xfId="5" applyBorder="1" applyAlignment="1">
      <alignment horizontal="center"/>
    </xf>
    <xf numFmtId="0" fontId="2" fillId="0" borderId="0" xfId="5" applyAlignment="1">
      <alignment horizontal="center"/>
    </xf>
    <xf numFmtId="0" fontId="2" fillId="0" borderId="13" xfId="5" applyBorder="1" applyAlignment="1">
      <alignment horizontal="center"/>
    </xf>
    <xf numFmtId="0" fontId="56" fillId="0" borderId="13" xfId="5" applyFont="1" applyBorder="1" applyAlignment="1">
      <alignment horizontal="center" vertical="center"/>
    </xf>
    <xf numFmtId="0" fontId="55" fillId="0" borderId="0" xfId="0" applyFont="1" applyAlignment="1">
      <alignment horizontal="right"/>
    </xf>
    <xf numFmtId="2" fontId="6" fillId="0" borderId="0" xfId="0" applyNumberFormat="1" applyFont="1" applyAlignment="1">
      <alignment horizontal="center"/>
    </xf>
    <xf numFmtId="1" fontId="6" fillId="0" borderId="13" xfId="0" applyNumberFormat="1" applyFont="1" applyBorder="1" applyAlignment="1">
      <alignment horizontal="center"/>
    </xf>
    <xf numFmtId="2" fontId="6" fillId="0" borderId="13" xfId="0" applyNumberFormat="1" applyFont="1" applyBorder="1" applyAlignment="1">
      <alignment horizontal="center" vertical="center"/>
    </xf>
    <xf numFmtId="3" fontId="0" fillId="0" borderId="12" xfId="0" applyNumberFormat="1" applyBorder="1" applyAlignment="1">
      <alignment horizontal="center"/>
    </xf>
    <xf numFmtId="3" fontId="0" fillId="0" borderId="15" xfId="0" applyNumberFormat="1" applyBorder="1" applyAlignment="1">
      <alignment horizontal="center"/>
    </xf>
    <xf numFmtId="3" fontId="34" fillId="0" borderId="0" xfId="0" applyNumberFormat="1" applyFont="1"/>
    <xf numFmtId="3" fontId="26" fillId="0" borderId="0" xfId="5" applyNumberFormat="1" applyFont="1" applyAlignment="1">
      <alignment horizontal="center" vertical="center"/>
    </xf>
    <xf numFmtId="3" fontId="56" fillId="0" borderId="5" xfId="2" applyNumberFormat="1" applyFont="1" applyBorder="1" applyAlignment="1">
      <alignment horizontal="centerContinuous" vertical="center"/>
    </xf>
    <xf numFmtId="0" fontId="39" fillId="0" borderId="19" xfId="8" applyFont="1" applyBorder="1" applyAlignment="1">
      <alignment horizontal="left" vertical="center"/>
    </xf>
    <xf numFmtId="0" fontId="9" fillId="0" borderId="38" xfId="0" applyFont="1" applyBorder="1" applyAlignment="1">
      <alignment vertical="center"/>
    </xf>
    <xf numFmtId="0" fontId="9" fillId="0" borderId="9" xfId="0" applyFont="1" applyBorder="1" applyAlignment="1">
      <alignment vertical="center"/>
    </xf>
    <xf numFmtId="0" fontId="10" fillId="0" borderId="11" xfId="0" applyFont="1" applyBorder="1" applyAlignment="1">
      <alignment vertical="center"/>
    </xf>
    <xf numFmtId="0" fontId="10" fillId="0" borderId="10" xfId="0" applyFont="1" applyBorder="1" applyAlignment="1">
      <alignment vertical="center"/>
    </xf>
    <xf numFmtId="3" fontId="6" fillId="0" borderId="7" xfId="0" applyNumberFormat="1" applyFont="1" applyBorder="1" applyAlignment="1">
      <alignment horizontal="center"/>
    </xf>
    <xf numFmtId="3" fontId="6" fillId="0" borderId="13" xfId="0" applyNumberFormat="1" applyFont="1" applyBorder="1" applyAlignment="1">
      <alignment horizontal="center"/>
    </xf>
    <xf numFmtId="3" fontId="6" fillId="0" borderId="9" xfId="0" applyNumberFormat="1" applyFont="1" applyBorder="1" applyAlignment="1">
      <alignment horizontal="center" vertical="center"/>
    </xf>
    <xf numFmtId="3" fontId="2" fillId="0" borderId="5" xfId="2" applyNumberFormat="1" applyFont="1" applyBorder="1" applyAlignment="1">
      <alignment horizontal="centerContinuous" vertical="center"/>
    </xf>
    <xf numFmtId="1" fontId="2" fillId="0" borderId="0" xfId="0" applyNumberFormat="1" applyFont="1"/>
    <xf numFmtId="0" fontId="73" fillId="10" borderId="5" xfId="0" applyFont="1" applyFill="1" applyBorder="1"/>
    <xf numFmtId="0" fontId="74" fillId="10" borderId="9" xfId="0" applyFont="1" applyFill="1" applyBorder="1" applyAlignment="1">
      <alignment horizontal="centerContinuous" vertical="center"/>
    </xf>
    <xf numFmtId="0" fontId="73" fillId="10" borderId="8" xfId="0" applyFont="1" applyFill="1" applyBorder="1" applyAlignment="1">
      <alignment horizontal="centerContinuous"/>
    </xf>
    <xf numFmtId="0" fontId="73" fillId="10" borderId="4" xfId="0" applyFont="1" applyFill="1" applyBorder="1" applyAlignment="1">
      <alignment horizontal="centerContinuous"/>
    </xf>
    <xf numFmtId="0" fontId="73" fillId="10" borderId="5" xfId="0" applyFont="1" applyFill="1" applyBorder="1" applyAlignment="1">
      <alignment horizontal="centerContinuous" vertical="center"/>
    </xf>
    <xf numFmtId="0" fontId="75" fillId="10" borderId="5" xfId="0" applyFont="1" applyFill="1" applyBorder="1" applyAlignment="1">
      <alignment horizontal="centerContinuous" vertical="center"/>
    </xf>
    <xf numFmtId="0" fontId="75" fillId="10" borderId="5" xfId="0" applyFont="1" applyFill="1" applyBorder="1" applyAlignment="1">
      <alignment horizontal="center" vertical="center"/>
    </xf>
    <xf numFmtId="0" fontId="74" fillId="10" borderId="3" xfId="0" applyFont="1" applyFill="1" applyBorder="1" applyAlignment="1">
      <alignment vertical="top"/>
    </xf>
    <xf numFmtId="0" fontId="75" fillId="10" borderId="8" xfId="0" applyFont="1" applyFill="1" applyBorder="1" applyAlignment="1">
      <alignment horizontal="centerContinuous" vertical="center" wrapText="1"/>
    </xf>
    <xf numFmtId="0" fontId="75" fillId="10" borderId="1" xfId="0" applyFont="1" applyFill="1" applyBorder="1" applyAlignment="1">
      <alignment horizontal="centerContinuous" vertical="center" wrapText="1"/>
    </xf>
    <xf numFmtId="0" fontId="75" fillId="10" borderId="3" xfId="0" applyFont="1" applyFill="1" applyBorder="1" applyAlignment="1">
      <alignment horizontal="centerContinuous" vertical="center" wrapText="1"/>
    </xf>
    <xf numFmtId="0" fontId="75" fillId="10" borderId="3" xfId="0" applyFont="1" applyFill="1" applyBorder="1" applyAlignment="1">
      <alignment horizontal="center" vertical="center" wrapText="1"/>
    </xf>
    <xf numFmtId="0" fontId="76" fillId="0" borderId="0" xfId="0" applyFont="1" applyAlignment="1">
      <alignment horizontal="centerContinuous"/>
    </xf>
    <xf numFmtId="0" fontId="77" fillId="0" borderId="0" xfId="0" applyFont="1" applyAlignment="1">
      <alignment horizontal="centerContinuous"/>
    </xf>
    <xf numFmtId="0" fontId="6" fillId="11" borderId="2" xfId="0" applyFont="1" applyFill="1" applyBorder="1" applyAlignment="1">
      <alignment horizontal="centerContinuous" vertical="center"/>
    </xf>
    <xf numFmtId="0" fontId="6" fillId="11" borderId="2" xfId="0" applyFont="1" applyFill="1" applyBorder="1" applyAlignment="1">
      <alignment horizontal="center" vertical="center"/>
    </xf>
    <xf numFmtId="0" fontId="6" fillId="11" borderId="4" xfId="0" applyFont="1" applyFill="1" applyBorder="1" applyAlignment="1">
      <alignment horizontal="centerContinuous" vertical="center"/>
    </xf>
    <xf numFmtId="0" fontId="7" fillId="11" borderId="2" xfId="0" applyFont="1" applyFill="1" applyBorder="1" applyAlignment="1">
      <alignment horizontal="centerContinuous" vertical="center"/>
    </xf>
    <xf numFmtId="0" fontId="6" fillId="11" borderId="4" xfId="0" applyFont="1" applyFill="1" applyBorder="1" applyAlignment="1">
      <alignment horizontal="center" vertical="center"/>
    </xf>
    <xf numFmtId="0" fontId="7" fillId="11" borderId="2" xfId="0" applyFont="1" applyFill="1" applyBorder="1" applyAlignment="1">
      <alignment horizontal="center" vertical="center"/>
    </xf>
    <xf numFmtId="0" fontId="7" fillId="11" borderId="1" xfId="0" applyFont="1" applyFill="1" applyBorder="1" applyAlignment="1">
      <alignment horizontal="centerContinuous" vertical="center"/>
    </xf>
    <xf numFmtId="0" fontId="74" fillId="12" borderId="5" xfId="0" applyFont="1" applyFill="1" applyBorder="1" applyAlignment="1">
      <alignment horizontal="centerContinuous" vertical="center" wrapText="1"/>
    </xf>
    <xf numFmtId="0" fontId="74" fillId="12" borderId="2" xfId="0" applyFont="1" applyFill="1" applyBorder="1" applyAlignment="1">
      <alignment textRotation="90"/>
    </xf>
    <xf numFmtId="0" fontId="74" fillId="12" borderId="4" xfId="0" applyFont="1" applyFill="1" applyBorder="1" applyAlignment="1">
      <alignment textRotation="90"/>
    </xf>
    <xf numFmtId="0" fontId="74" fillId="12" borderId="5" xfId="0" applyFont="1" applyFill="1" applyBorder="1" applyAlignment="1">
      <alignment vertical="center"/>
    </xf>
    <xf numFmtId="0" fontId="74" fillId="12" borderId="1" xfId="0" applyFont="1" applyFill="1" applyBorder="1" applyAlignment="1">
      <alignment vertical="center"/>
    </xf>
    <xf numFmtId="0" fontId="74" fillId="12" borderId="1" xfId="0" applyFont="1" applyFill="1" applyBorder="1"/>
    <xf numFmtId="0" fontId="75" fillId="12" borderId="5" xfId="0" applyFont="1" applyFill="1" applyBorder="1" applyAlignment="1">
      <alignment horizontal="centerContinuous"/>
    </xf>
    <xf numFmtId="0" fontId="75" fillId="12" borderId="11" xfId="0" applyFont="1" applyFill="1" applyBorder="1" applyAlignment="1">
      <alignment horizontal="centerContinuous"/>
    </xf>
    <xf numFmtId="0" fontId="73" fillId="12" borderId="9" xfId="0" applyFont="1" applyFill="1" applyBorder="1"/>
    <xf numFmtId="0" fontId="73" fillId="12" borderId="8" xfId="0" applyFont="1" applyFill="1" applyBorder="1" applyAlignment="1">
      <alignment horizontal="centerContinuous" vertical="center"/>
    </xf>
    <xf numFmtId="0" fontId="73" fillId="12" borderId="2" xfId="0" applyFont="1" applyFill="1" applyBorder="1" applyAlignment="1">
      <alignment horizontal="centerContinuous"/>
    </xf>
    <xf numFmtId="0" fontId="75" fillId="12" borderId="6" xfId="0" applyFont="1" applyFill="1" applyBorder="1" applyAlignment="1">
      <alignment horizontal="centerContinuous"/>
    </xf>
    <xf numFmtId="0" fontId="75" fillId="12" borderId="7" xfId="0" applyFont="1" applyFill="1" applyBorder="1" applyAlignment="1">
      <alignment horizontal="centerContinuous"/>
    </xf>
    <xf numFmtId="0" fontId="78" fillId="12" borderId="7" xfId="0" applyFont="1" applyFill="1" applyBorder="1" applyAlignment="1">
      <alignment horizontal="center"/>
    </xf>
    <xf numFmtId="0" fontId="75" fillId="12" borderId="5" xfId="0" applyFont="1" applyFill="1" applyBorder="1" applyAlignment="1">
      <alignment horizontal="center"/>
    </xf>
    <xf numFmtId="0" fontId="73" fillId="12" borderId="11" xfId="0" applyFont="1" applyFill="1" applyBorder="1"/>
    <xf numFmtId="0" fontId="73" fillId="12" borderId="11" xfId="0" applyFont="1" applyFill="1" applyBorder="1" applyAlignment="1">
      <alignment horizontal="centerContinuous"/>
    </xf>
    <xf numFmtId="0" fontId="73" fillId="12" borderId="5" xfId="0" applyFont="1" applyFill="1" applyBorder="1" applyAlignment="1">
      <alignment horizontal="centerContinuous"/>
    </xf>
    <xf numFmtId="0" fontId="73" fillId="12" borderId="6" xfId="0" applyFont="1" applyFill="1" applyBorder="1"/>
    <xf numFmtId="0" fontId="73" fillId="12" borderId="13" xfId="0" applyFont="1" applyFill="1" applyBorder="1"/>
    <xf numFmtId="0" fontId="75" fillId="12" borderId="7" xfId="0" applyFont="1" applyFill="1" applyBorder="1" applyAlignment="1">
      <alignment horizontal="center"/>
    </xf>
    <xf numFmtId="0" fontId="75" fillId="12" borderId="3" xfId="0" applyFont="1" applyFill="1" applyBorder="1" applyAlignment="1">
      <alignment horizontal="center"/>
    </xf>
    <xf numFmtId="0" fontId="73" fillId="12" borderId="7" xfId="0" applyFont="1" applyFill="1" applyBorder="1" applyAlignment="1">
      <alignment horizontal="centerContinuous"/>
    </xf>
    <xf numFmtId="0" fontId="73" fillId="12" borderId="6" xfId="0" applyFont="1" applyFill="1" applyBorder="1" applyAlignment="1">
      <alignment horizontal="centerContinuous"/>
    </xf>
    <xf numFmtId="0" fontId="2" fillId="13" borderId="11" xfId="0" applyFont="1" applyFill="1" applyBorder="1" applyAlignment="1">
      <alignment horizontal="centerContinuous"/>
    </xf>
    <xf numFmtId="3" fontId="9" fillId="13" borderId="7" xfId="0" applyNumberFormat="1" applyFont="1" applyFill="1" applyBorder="1" applyAlignment="1">
      <alignment horizontal="center" vertical="center"/>
    </xf>
    <xf numFmtId="3" fontId="9" fillId="13" borderId="10" xfId="0" applyNumberFormat="1" applyFont="1" applyFill="1" applyBorder="1" applyAlignment="1">
      <alignment horizontal="centerContinuous"/>
    </xf>
    <xf numFmtId="3" fontId="9" fillId="13" borderId="10" xfId="0" applyNumberFormat="1" applyFont="1" applyFill="1" applyBorder="1" applyAlignment="1">
      <alignment horizontal="center"/>
    </xf>
    <xf numFmtId="0" fontId="2" fillId="13" borderId="11" xfId="0" applyFont="1" applyFill="1" applyBorder="1" applyAlignment="1">
      <alignment horizontal="center"/>
    </xf>
    <xf numFmtId="0" fontId="0" fillId="6" borderId="11" xfId="0" applyFill="1" applyBorder="1" applyAlignment="1">
      <alignment horizontal="center"/>
    </xf>
    <xf numFmtId="3" fontId="9" fillId="6" borderId="7" xfId="0" applyNumberFormat="1" applyFont="1" applyFill="1" applyBorder="1" applyAlignment="1">
      <alignment horizontal="center" vertical="center"/>
    </xf>
    <xf numFmtId="3" fontId="9" fillId="6" borderId="10" xfId="0" applyNumberFormat="1" applyFont="1" applyFill="1" applyBorder="1" applyAlignment="1">
      <alignment horizontal="center"/>
    </xf>
    <xf numFmtId="0" fontId="73" fillId="12" borderId="5" xfId="0" applyFont="1" applyFill="1" applyBorder="1" applyAlignment="1">
      <alignment horizontal="center" vertical="center"/>
    </xf>
    <xf numFmtId="3" fontId="73" fillId="12" borderId="2" xfId="0" applyNumberFormat="1" applyFont="1" applyFill="1" applyBorder="1" applyAlignment="1">
      <alignment horizontal="center" vertical="center"/>
    </xf>
    <xf numFmtId="0" fontId="75" fillId="12" borderId="7" xfId="0" applyFont="1" applyFill="1" applyBorder="1" applyAlignment="1">
      <alignment horizontal="centerContinuous" vertical="center"/>
    </xf>
    <xf numFmtId="3" fontId="75" fillId="12" borderId="6" xfId="0" applyNumberFormat="1" applyFont="1" applyFill="1" applyBorder="1" applyAlignment="1">
      <alignment horizontal="center" vertical="center"/>
    </xf>
    <xf numFmtId="3" fontId="75" fillId="12" borderId="13" xfId="0" applyNumberFormat="1" applyFont="1" applyFill="1" applyBorder="1" applyAlignment="1">
      <alignment horizontal="center" vertical="center"/>
    </xf>
    <xf numFmtId="0" fontId="75" fillId="12" borderId="10" xfId="0" applyFont="1" applyFill="1" applyBorder="1" applyAlignment="1">
      <alignment horizontal="centerContinuous"/>
    </xf>
    <xf numFmtId="0" fontId="75" fillId="12" borderId="3" xfId="0" applyFont="1" applyFill="1" applyBorder="1" applyAlignment="1">
      <alignment horizontal="center" vertical="center"/>
    </xf>
    <xf numFmtId="3" fontId="75" fillId="12" borderId="14" xfId="0" applyNumberFormat="1" applyFont="1" applyFill="1" applyBorder="1" applyAlignment="1">
      <alignment horizontal="center" vertical="center"/>
    </xf>
    <xf numFmtId="0" fontId="73" fillId="12" borderId="9" xfId="0" applyFont="1" applyFill="1" applyBorder="1" applyAlignment="1">
      <alignment vertical="center"/>
    </xf>
    <xf numFmtId="0" fontId="73" fillId="12" borderId="9" xfId="0" applyFont="1" applyFill="1" applyBorder="1" applyAlignment="1">
      <alignment horizontal="centerContinuous" vertical="center"/>
    </xf>
    <xf numFmtId="0" fontId="73" fillId="12" borderId="8" xfId="0" quotePrefix="1" applyFont="1" applyFill="1" applyBorder="1" applyAlignment="1">
      <alignment horizontal="centerContinuous" vertical="center"/>
    </xf>
    <xf numFmtId="0" fontId="73" fillId="12" borderId="4" xfId="0" applyFont="1" applyFill="1" applyBorder="1" applyAlignment="1">
      <alignment horizontal="centerContinuous" vertical="center"/>
    </xf>
    <xf numFmtId="0" fontId="76" fillId="0" borderId="0" xfId="0" applyFont="1"/>
    <xf numFmtId="3" fontId="0" fillId="0" borderId="3" xfId="0" applyNumberFormat="1" applyBorder="1" applyAlignment="1">
      <alignment horizontal="centerContinuous" vertical="center"/>
    </xf>
    <xf numFmtId="41" fontId="76" fillId="0" borderId="0" xfId="13" applyFont="1"/>
    <xf numFmtId="41" fontId="0" fillId="0" borderId="0" xfId="13" applyFont="1"/>
    <xf numFmtId="41" fontId="0" fillId="0" borderId="0" xfId="13" applyFont="1" applyAlignment="1">
      <alignment vertical="center"/>
    </xf>
    <xf numFmtId="0" fontId="80" fillId="12" borderId="5" xfId="0" applyFont="1" applyFill="1" applyBorder="1" applyAlignment="1">
      <alignment horizontal="centerContinuous"/>
    </xf>
    <xf numFmtId="0" fontId="80" fillId="12" borderId="11" xfId="0" applyFont="1" applyFill="1" applyBorder="1" applyAlignment="1">
      <alignment horizontal="centerContinuous"/>
    </xf>
    <xf numFmtId="0" fontId="80" fillId="12" borderId="2" xfId="0" applyFont="1" applyFill="1" applyBorder="1" applyAlignment="1">
      <alignment horizontal="centerContinuous"/>
    </xf>
    <xf numFmtId="0" fontId="80" fillId="12" borderId="9" xfId="0" applyFont="1" applyFill="1" applyBorder="1" applyAlignment="1">
      <alignment horizontal="centerContinuous"/>
    </xf>
    <xf numFmtId="0" fontId="80" fillId="12" borderId="8" xfId="0" applyFont="1" applyFill="1" applyBorder="1" applyAlignment="1">
      <alignment horizontal="centerContinuous"/>
    </xf>
    <xf numFmtId="0" fontId="80" fillId="12" borderId="8" xfId="0" applyFont="1" applyFill="1" applyBorder="1" applyAlignment="1">
      <alignment horizontal="centerContinuous" vertical="center"/>
    </xf>
    <xf numFmtId="0" fontId="80" fillId="12" borderId="4" xfId="0" applyFont="1" applyFill="1" applyBorder="1" applyAlignment="1">
      <alignment horizontal="centerContinuous"/>
    </xf>
    <xf numFmtId="0" fontId="81" fillId="12" borderId="6" xfId="0" applyFont="1" applyFill="1" applyBorder="1" applyAlignment="1">
      <alignment horizontal="centerContinuous"/>
    </xf>
    <xf numFmtId="0" fontId="81" fillId="12" borderId="7" xfId="0" applyFont="1" applyFill="1" applyBorder="1" applyAlignment="1">
      <alignment horizontal="centerContinuous"/>
    </xf>
    <xf numFmtId="0" fontId="81" fillId="12" borderId="13" xfId="0" applyFont="1" applyFill="1" applyBorder="1" applyAlignment="1">
      <alignment horizontal="centerContinuous"/>
    </xf>
    <xf numFmtId="0" fontId="81" fillId="12" borderId="0" xfId="0" applyFont="1" applyFill="1" applyAlignment="1">
      <alignment horizontal="centerContinuous"/>
    </xf>
    <xf numFmtId="0" fontId="81" fillId="12" borderId="11" xfId="0" applyFont="1" applyFill="1" applyBorder="1" applyAlignment="1">
      <alignment horizontal="centerContinuous"/>
    </xf>
    <xf numFmtId="0" fontId="81" fillId="12" borderId="2" xfId="0" applyFont="1" applyFill="1" applyBorder="1" applyAlignment="1">
      <alignment horizontal="centerContinuous"/>
    </xf>
    <xf numFmtId="0" fontId="81" fillId="12" borderId="11" xfId="0" applyFont="1" applyFill="1" applyBorder="1"/>
    <xf numFmtId="0" fontId="81" fillId="12" borderId="2" xfId="0" applyFont="1" applyFill="1" applyBorder="1"/>
    <xf numFmtId="0" fontId="81" fillId="12" borderId="0" xfId="0" applyFont="1" applyFill="1"/>
    <xf numFmtId="0" fontId="81" fillId="12" borderId="6" xfId="0" applyFont="1" applyFill="1" applyBorder="1" applyAlignment="1">
      <alignment horizontal="centerContinuous" vertical="center"/>
    </xf>
    <xf numFmtId="0" fontId="81" fillId="12" borderId="7" xfId="0" applyFont="1" applyFill="1" applyBorder="1" applyAlignment="1">
      <alignment horizontal="centerContinuous" vertical="center"/>
    </xf>
    <xf numFmtId="0" fontId="81" fillId="12" borderId="13" xfId="0" applyFont="1" applyFill="1" applyBorder="1" applyAlignment="1">
      <alignment horizontal="centerContinuous" vertical="center"/>
    </xf>
    <xf numFmtId="0" fontId="81" fillId="12" borderId="7" xfId="0" applyFont="1" applyFill="1" applyBorder="1" applyAlignment="1">
      <alignment vertical="center"/>
    </xf>
    <xf numFmtId="0" fontId="81" fillId="12" borderId="13" xfId="0" applyFont="1" applyFill="1" applyBorder="1" applyAlignment="1">
      <alignment vertical="center"/>
    </xf>
    <xf numFmtId="0" fontId="81" fillId="12" borderId="3" xfId="0" applyFont="1" applyFill="1" applyBorder="1" applyAlignment="1">
      <alignment horizontal="centerContinuous" vertical="center"/>
    </xf>
    <xf numFmtId="0" fontId="81" fillId="12" borderId="10" xfId="0" applyFont="1" applyFill="1" applyBorder="1" applyAlignment="1">
      <alignment horizontal="centerContinuous" vertical="center"/>
    </xf>
    <xf numFmtId="0" fontId="81" fillId="12" borderId="14" xfId="0" applyFont="1" applyFill="1" applyBorder="1" applyAlignment="1">
      <alignment vertical="center"/>
    </xf>
    <xf numFmtId="0" fontId="81" fillId="12" borderId="14" xfId="0" applyFont="1" applyFill="1" applyBorder="1" applyAlignment="1">
      <alignment horizontal="centerContinuous" vertical="center"/>
    </xf>
    <xf numFmtId="0" fontId="73" fillId="12" borderId="9" xfId="0" applyFont="1" applyFill="1" applyBorder="1" applyAlignment="1">
      <alignment horizontal="centerContinuous"/>
    </xf>
    <xf numFmtId="0" fontId="73" fillId="12" borderId="8" xfId="0" applyFont="1" applyFill="1" applyBorder="1" applyAlignment="1">
      <alignment horizontal="centerContinuous"/>
    </xf>
    <xf numFmtId="0" fontId="73" fillId="12" borderId="4" xfId="0" applyFont="1" applyFill="1" applyBorder="1" applyAlignment="1">
      <alignment horizontal="centerContinuous"/>
    </xf>
    <xf numFmtId="0" fontId="75" fillId="12" borderId="13" xfId="0" applyFont="1" applyFill="1" applyBorder="1" applyAlignment="1">
      <alignment horizontal="centerContinuous"/>
    </xf>
    <xf numFmtId="0" fontId="75" fillId="12" borderId="13" xfId="0" applyFont="1" applyFill="1" applyBorder="1"/>
    <xf numFmtId="0" fontId="75" fillId="12" borderId="0" xfId="0" applyFont="1" applyFill="1" applyAlignment="1">
      <alignment horizontal="centerContinuous"/>
    </xf>
    <xf numFmtId="0" fontId="75" fillId="12" borderId="2" xfId="0" applyFont="1" applyFill="1" applyBorder="1" applyAlignment="1">
      <alignment horizontal="centerContinuous"/>
    </xf>
    <xf numFmtId="0" fontId="75" fillId="12" borderId="11" xfId="0" applyFont="1" applyFill="1" applyBorder="1"/>
    <xf numFmtId="0" fontId="75" fillId="12" borderId="2" xfId="0" applyFont="1" applyFill="1" applyBorder="1"/>
    <xf numFmtId="0" fontId="75" fillId="12" borderId="0" xfId="0" applyFont="1" applyFill="1"/>
    <xf numFmtId="0" fontId="75" fillId="12" borderId="6" xfId="0" applyFont="1" applyFill="1" applyBorder="1" applyAlignment="1">
      <alignment horizontal="centerContinuous" vertical="center"/>
    </xf>
    <xf numFmtId="0" fontId="75" fillId="12" borderId="13" xfId="0" applyFont="1" applyFill="1" applyBorder="1" applyAlignment="1">
      <alignment horizontal="centerContinuous" vertical="center"/>
    </xf>
    <xf numFmtId="0" fontId="75" fillId="12" borderId="7" xfId="0" applyFont="1" applyFill="1" applyBorder="1" applyAlignment="1">
      <alignment vertical="center"/>
    </xf>
    <xf numFmtId="0" fontId="75" fillId="12" borderId="13" xfId="0" applyFont="1" applyFill="1" applyBorder="1" applyAlignment="1">
      <alignment vertical="center"/>
    </xf>
    <xf numFmtId="0" fontId="75" fillId="12" borderId="3" xfId="0" applyFont="1" applyFill="1" applyBorder="1" applyAlignment="1">
      <alignment horizontal="centerContinuous" vertical="center"/>
    </xf>
    <xf numFmtId="0" fontId="75" fillId="12" borderId="10" xfId="0" applyFont="1" applyFill="1" applyBorder="1" applyAlignment="1">
      <alignment horizontal="centerContinuous" vertical="center"/>
    </xf>
    <xf numFmtId="0" fontId="75" fillId="12" borderId="14" xfId="0" applyFont="1" applyFill="1" applyBorder="1" applyAlignment="1">
      <alignment horizontal="centerContinuous" vertical="center"/>
    </xf>
    <xf numFmtId="0" fontId="75" fillId="12" borderId="14" xfId="0" applyFont="1" applyFill="1" applyBorder="1" applyAlignment="1">
      <alignment vertical="center"/>
    </xf>
    <xf numFmtId="0" fontId="3" fillId="9" borderId="8" xfId="0" applyFont="1" applyFill="1" applyBorder="1" applyAlignment="1">
      <alignment horizontal="centerContinuous" vertical="center"/>
    </xf>
    <xf numFmtId="0" fontId="2" fillId="5" borderId="0" xfId="0" applyFont="1" applyFill="1" applyAlignment="1">
      <alignment vertical="center"/>
    </xf>
    <xf numFmtId="0" fontId="1" fillId="5" borderId="0" xfId="0" applyFont="1" applyFill="1" applyAlignment="1">
      <alignment vertical="center"/>
    </xf>
    <xf numFmtId="0" fontId="1" fillId="5" borderId="0" xfId="0" applyFont="1" applyFill="1" applyAlignment="1">
      <alignment vertical="center" wrapText="1"/>
    </xf>
    <xf numFmtId="0" fontId="1" fillId="5" borderId="0" xfId="0" applyFont="1" applyFill="1" applyAlignment="1">
      <alignment horizontal="left" vertical="center" wrapText="1"/>
    </xf>
    <xf numFmtId="0" fontId="2" fillId="5" borderId="15" xfId="0" applyFont="1" applyFill="1" applyBorder="1" applyAlignment="1">
      <alignment vertical="center"/>
    </xf>
    <xf numFmtId="0" fontId="1" fillId="5" borderId="0" xfId="0" applyFont="1" applyFill="1" applyAlignment="1">
      <alignment horizontal="center" vertical="center" wrapText="1"/>
    </xf>
    <xf numFmtId="3" fontId="9" fillId="0" borderId="15" xfId="0" applyNumberFormat="1" applyFont="1" applyBorder="1" applyAlignment="1">
      <alignment horizontal="center" vertical="center"/>
    </xf>
    <xf numFmtId="0" fontId="73" fillId="12" borderId="5" xfId="0" applyFont="1" applyFill="1" applyBorder="1" applyAlignment="1">
      <alignment horizontal="centerContinuous" vertical="center"/>
    </xf>
    <xf numFmtId="0" fontId="73" fillId="12" borderId="11" xfId="0" applyFont="1" applyFill="1" applyBorder="1" applyAlignment="1">
      <alignment horizontal="centerContinuous" vertical="center"/>
    </xf>
    <xf numFmtId="0" fontId="73" fillId="12" borderId="2" xfId="0" applyFont="1" applyFill="1" applyBorder="1" applyAlignment="1">
      <alignment horizontal="centerContinuous" vertical="center"/>
    </xf>
    <xf numFmtId="0" fontId="75" fillId="12" borderId="0" xfId="0" applyFont="1" applyFill="1" applyAlignment="1">
      <alignment horizontal="centerContinuous" vertical="center"/>
    </xf>
    <xf numFmtId="0" fontId="75" fillId="12" borderId="5" xfId="0" applyFont="1" applyFill="1" applyBorder="1" applyAlignment="1">
      <alignment horizontal="centerContinuous" vertical="center"/>
    </xf>
    <xf numFmtId="0" fontId="75" fillId="12" borderId="11" xfId="0" applyFont="1" applyFill="1" applyBorder="1" applyAlignment="1">
      <alignment horizontal="centerContinuous" vertical="center"/>
    </xf>
    <xf numFmtId="0" fontId="75" fillId="12" borderId="2" xfId="0" applyFont="1" applyFill="1" applyBorder="1" applyAlignment="1">
      <alignment horizontal="centerContinuous" vertical="center"/>
    </xf>
    <xf numFmtId="0" fontId="82" fillId="0" borderId="0" xfId="0" applyFont="1" applyAlignment="1">
      <alignment horizontal="centerContinuous"/>
    </xf>
    <xf numFmtId="0" fontId="83" fillId="0" borderId="0" xfId="0" applyFont="1" applyAlignment="1">
      <alignment horizontal="centerContinuous"/>
    </xf>
    <xf numFmtId="0" fontId="82" fillId="0" borderId="0" xfId="0" applyFont="1"/>
    <xf numFmtId="0" fontId="76" fillId="0" borderId="0" xfId="0" applyFont="1" applyAlignment="1">
      <alignment horizontal="center"/>
    </xf>
    <xf numFmtId="0" fontId="77" fillId="0" borderId="0" xfId="0" applyFont="1"/>
    <xf numFmtId="0" fontId="75" fillId="12" borderId="3" xfId="0" applyFont="1" applyFill="1" applyBorder="1" applyAlignment="1">
      <alignment horizontal="centerContinuous"/>
    </xf>
    <xf numFmtId="0" fontId="75" fillId="12" borderId="14" xfId="0" applyFont="1" applyFill="1" applyBorder="1" applyAlignment="1">
      <alignment horizontal="centerContinuous"/>
    </xf>
    <xf numFmtId="0" fontId="78" fillId="12" borderId="5" xfId="0" applyFont="1" applyFill="1" applyBorder="1" applyAlignment="1">
      <alignment horizontal="center"/>
    </xf>
    <xf numFmtId="0" fontId="73" fillId="12" borderId="2" xfId="0" applyFont="1" applyFill="1" applyBorder="1" applyAlignment="1">
      <alignment vertical="center"/>
    </xf>
    <xf numFmtId="0" fontId="73" fillId="12" borderId="12" xfId="0" applyFont="1" applyFill="1" applyBorder="1" applyAlignment="1">
      <alignment vertical="center"/>
    </xf>
    <xf numFmtId="0" fontId="73" fillId="12" borderId="12" xfId="0" applyFont="1" applyFill="1" applyBorder="1" applyAlignment="1">
      <alignment horizontal="centerContinuous" vertical="center"/>
    </xf>
    <xf numFmtId="0" fontId="73" fillId="12" borderId="2" xfId="0" applyFont="1" applyFill="1" applyBorder="1" applyAlignment="1">
      <alignment horizontal="center" vertical="center"/>
    </xf>
    <xf numFmtId="0" fontId="74" fillId="12" borderId="13" xfId="0" applyFont="1" applyFill="1" applyBorder="1" applyAlignment="1">
      <alignment vertical="center"/>
    </xf>
    <xf numFmtId="0" fontId="75" fillId="12" borderId="8" xfId="0" applyFont="1" applyFill="1" applyBorder="1" applyAlignment="1">
      <alignment horizontal="centerContinuous" vertical="center"/>
    </xf>
    <xf numFmtId="0" fontId="74" fillId="12" borderId="14" xfId="0" applyFont="1" applyFill="1" applyBorder="1" applyAlignment="1">
      <alignment vertical="center"/>
    </xf>
    <xf numFmtId="0" fontId="73" fillId="12" borderId="28" xfId="5" applyFont="1" applyFill="1" applyBorder="1" applyAlignment="1">
      <alignment horizontal="center" vertical="center"/>
    </xf>
    <xf numFmtId="0" fontId="73" fillId="12" borderId="29" xfId="5" applyFont="1" applyFill="1" applyBorder="1" applyAlignment="1">
      <alignment horizontal="center" vertical="center"/>
    </xf>
    <xf numFmtId="0" fontId="73" fillId="12" borderId="8" xfId="5" applyFont="1" applyFill="1" applyBorder="1" applyAlignment="1">
      <alignment horizontal="center" vertical="center"/>
    </xf>
    <xf numFmtId="0" fontId="73" fillId="12" borderId="9" xfId="5" applyFont="1" applyFill="1" applyBorder="1" applyAlignment="1">
      <alignment horizontal="center" vertical="center"/>
    </xf>
    <xf numFmtId="0" fontId="73" fillId="12" borderId="4" xfId="5" applyFont="1" applyFill="1" applyBorder="1" applyAlignment="1">
      <alignment horizontal="center" vertical="center"/>
    </xf>
    <xf numFmtId="0" fontId="73" fillId="12" borderId="55" xfId="5" applyFont="1" applyFill="1" applyBorder="1" applyAlignment="1">
      <alignment horizontal="center" vertical="center"/>
    </xf>
    <xf numFmtId="0" fontId="73" fillId="12" borderId="56" xfId="5" applyFont="1" applyFill="1" applyBorder="1" applyAlignment="1">
      <alignment horizontal="center" vertical="center"/>
    </xf>
    <xf numFmtId="0" fontId="75" fillId="12" borderId="56" xfId="0" applyFont="1" applyFill="1" applyBorder="1" applyAlignment="1">
      <alignment horizontal="centerContinuous" vertical="center"/>
    </xf>
    <xf numFmtId="0" fontId="75" fillId="12" borderId="15" xfId="0" applyFont="1" applyFill="1" applyBorder="1" applyAlignment="1">
      <alignment horizontal="centerContinuous" vertical="center"/>
    </xf>
    <xf numFmtId="0" fontId="78" fillId="12" borderId="5" xfId="0" applyFont="1" applyFill="1" applyBorder="1"/>
    <xf numFmtId="0" fontId="73" fillId="12" borderId="5" xfId="0" applyFont="1" applyFill="1" applyBorder="1" applyAlignment="1">
      <alignment vertical="center"/>
    </xf>
    <xf numFmtId="0" fontId="78" fillId="12" borderId="3" xfId="0" applyFont="1" applyFill="1" applyBorder="1" applyAlignment="1">
      <alignment vertical="top" wrapText="1"/>
    </xf>
    <xf numFmtId="0" fontId="74" fillId="12" borderId="3" xfId="0" applyFont="1" applyFill="1" applyBorder="1" applyAlignment="1">
      <alignment vertical="top"/>
    </xf>
    <xf numFmtId="0" fontId="74" fillId="12" borderId="1" xfId="0" applyFont="1" applyFill="1" applyBorder="1" applyAlignment="1">
      <alignment horizontal="center" vertical="center" wrapText="1"/>
    </xf>
    <xf numFmtId="0" fontId="74" fillId="12" borderId="5" xfId="0" applyFont="1" applyFill="1" applyBorder="1" applyAlignment="1">
      <alignment horizontal="center" vertical="center"/>
    </xf>
    <xf numFmtId="0" fontId="78" fillId="12" borderId="3" xfId="0" applyFont="1" applyFill="1" applyBorder="1" applyAlignment="1">
      <alignment vertical="center" wrapText="1"/>
    </xf>
    <xf numFmtId="16" fontId="73" fillId="12" borderId="10" xfId="0" quotePrefix="1" applyNumberFormat="1" applyFont="1" applyFill="1" applyBorder="1" applyAlignment="1">
      <alignment horizontal="center" vertical="center"/>
    </xf>
    <xf numFmtId="16" fontId="73" fillId="12" borderId="15" xfId="0" quotePrefix="1" applyNumberFormat="1" applyFont="1" applyFill="1" applyBorder="1" applyAlignment="1">
      <alignment horizontal="center" vertical="center"/>
    </xf>
    <xf numFmtId="0" fontId="73" fillId="12" borderId="14" xfId="0" applyFont="1" applyFill="1" applyBorder="1" applyAlignment="1">
      <alignment vertical="center"/>
    </xf>
    <xf numFmtId="0" fontId="73" fillId="12" borderId="12" xfId="0" applyFont="1" applyFill="1" applyBorder="1"/>
    <xf numFmtId="0" fontId="73" fillId="12" borderId="2" xfId="0" applyFont="1" applyFill="1" applyBorder="1"/>
    <xf numFmtId="0" fontId="74" fillId="12" borderId="3" xfId="0" applyFont="1" applyFill="1" applyBorder="1" applyAlignment="1">
      <alignment vertical="center"/>
    </xf>
    <xf numFmtId="17" fontId="76" fillId="0" borderId="0" xfId="0" quotePrefix="1" applyNumberFormat="1" applyFont="1" applyAlignment="1">
      <alignment horizontal="center"/>
    </xf>
    <xf numFmtId="0" fontId="74" fillId="12" borderId="2" xfId="0" applyFont="1" applyFill="1" applyBorder="1" applyAlignment="1">
      <alignment horizontal="center"/>
    </xf>
    <xf numFmtId="0" fontId="74" fillId="12" borderId="9" xfId="0" applyFont="1" applyFill="1" applyBorder="1" applyAlignment="1">
      <alignment horizontal="centerContinuous" vertical="center"/>
    </xf>
    <xf numFmtId="0" fontId="74" fillId="12" borderId="8" xfId="0" applyFont="1" applyFill="1" applyBorder="1" applyAlignment="1">
      <alignment horizontal="centerContinuous" vertical="center"/>
    </xf>
    <xf numFmtId="0" fontId="74" fillId="12" borderId="52" xfId="0" applyFont="1" applyFill="1" applyBorder="1" applyAlignment="1">
      <alignment horizontal="centerContinuous" vertical="center"/>
    </xf>
    <xf numFmtId="0" fontId="74" fillId="12" borderId="11" xfId="0" applyFont="1" applyFill="1" applyBorder="1" applyAlignment="1">
      <alignment horizontal="center" vertical="center"/>
    </xf>
    <xf numFmtId="0" fontId="74" fillId="12" borderId="13" xfId="0" applyFont="1" applyFill="1" applyBorder="1" applyAlignment="1">
      <alignment horizontal="center" vertical="center"/>
    </xf>
    <xf numFmtId="0" fontId="74" fillId="12" borderId="10" xfId="0" applyFont="1" applyFill="1" applyBorder="1" applyAlignment="1">
      <alignment horizontal="center" vertical="center"/>
    </xf>
    <xf numFmtId="0" fontId="74" fillId="12" borderId="15" xfId="0" applyFont="1" applyFill="1" applyBorder="1" applyAlignment="1">
      <alignment horizontal="center" vertical="center"/>
    </xf>
    <xf numFmtId="0" fontId="74" fillId="12" borderId="14" xfId="0" applyFont="1" applyFill="1" applyBorder="1" applyAlignment="1">
      <alignment horizontal="center" vertical="center"/>
    </xf>
    <xf numFmtId="0" fontId="75" fillId="12" borderId="3" xfId="0" applyFont="1" applyFill="1" applyBorder="1" applyAlignment="1">
      <alignment horizontal="centerContinuous" vertical="center" wrapText="1"/>
    </xf>
    <xf numFmtId="0" fontId="74" fillId="12" borderId="10" xfId="0" applyFont="1" applyFill="1" applyBorder="1" applyAlignment="1">
      <alignment horizontal="centerContinuous" vertical="center"/>
    </xf>
    <xf numFmtId="0" fontId="74" fillId="12" borderId="14" xfId="0" applyFont="1" applyFill="1" applyBorder="1" applyAlignment="1">
      <alignment horizontal="centerContinuous" vertical="center"/>
    </xf>
    <xf numFmtId="0" fontId="74" fillId="12" borderId="15" xfId="0" applyFont="1" applyFill="1" applyBorder="1" applyAlignment="1">
      <alignment horizontal="centerContinuous" vertical="center"/>
    </xf>
    <xf numFmtId="0" fontId="74" fillId="12" borderId="53" xfId="0" applyFont="1" applyFill="1" applyBorder="1" applyAlignment="1">
      <alignment horizontal="centerContinuous" vertical="center"/>
    </xf>
    <xf numFmtId="0" fontId="74" fillId="12" borderId="4" xfId="0" applyFont="1" applyFill="1" applyBorder="1" applyAlignment="1">
      <alignment horizontal="centerContinuous" vertical="center"/>
    </xf>
    <xf numFmtId="1" fontId="6" fillId="0" borderId="0" xfId="0" applyNumberFormat="1" applyFont="1" applyAlignment="1">
      <alignment horizontal="center" vertical="center"/>
    </xf>
    <xf numFmtId="0" fontId="6" fillId="13" borderId="7" xfId="0" applyFont="1" applyFill="1" applyBorder="1" applyAlignment="1">
      <alignment horizontal="left" vertical="center"/>
    </xf>
    <xf numFmtId="0" fontId="6" fillId="13" borderId="6" xfId="0" applyFont="1" applyFill="1" applyBorder="1" applyAlignment="1">
      <alignment horizontal="left" vertical="center"/>
    </xf>
    <xf numFmtId="0" fontId="6" fillId="13" borderId="0" xfId="0" applyFont="1" applyFill="1" applyAlignment="1">
      <alignment horizontal="center" vertical="center"/>
    </xf>
    <xf numFmtId="165" fontId="6" fillId="13" borderId="13" xfId="0" applyNumberFormat="1" applyFont="1" applyFill="1" applyBorder="1" applyAlignment="1">
      <alignment horizontal="center" vertical="center"/>
    </xf>
    <xf numFmtId="3" fontId="6" fillId="13" borderId="0" xfId="0" applyNumberFormat="1" applyFont="1" applyFill="1" applyAlignment="1">
      <alignment horizontal="center" vertical="center"/>
    </xf>
    <xf numFmtId="0" fontId="6" fillId="13" borderId="13" xfId="0" applyFont="1" applyFill="1" applyBorder="1" applyAlignment="1">
      <alignment horizontal="center" vertical="center"/>
    </xf>
    <xf numFmtId="0" fontId="6" fillId="13" borderId="10" xfId="0" applyFont="1" applyFill="1" applyBorder="1" applyAlignment="1">
      <alignment horizontal="left" vertical="center"/>
    </xf>
    <xf numFmtId="0" fontId="6" fillId="13" borderId="3" xfId="0" applyFont="1" applyFill="1" applyBorder="1" applyAlignment="1">
      <alignment horizontal="left" vertical="center"/>
    </xf>
    <xf numFmtId="0" fontId="6" fillId="13" borderId="15" xfId="0" applyFont="1" applyFill="1" applyBorder="1" applyAlignment="1">
      <alignment horizontal="center" vertical="center"/>
    </xf>
    <xf numFmtId="165" fontId="6" fillId="13" borderId="14" xfId="0" applyNumberFormat="1" applyFont="1" applyFill="1" applyBorder="1" applyAlignment="1">
      <alignment horizontal="center" vertical="center"/>
    </xf>
    <xf numFmtId="0" fontId="6" fillId="13" borderId="10" xfId="0" applyFont="1" applyFill="1" applyBorder="1" applyAlignment="1">
      <alignment horizontal="center" vertical="center"/>
    </xf>
    <xf numFmtId="3" fontId="6" fillId="13" borderId="15" xfId="0" applyNumberFormat="1" applyFont="1" applyFill="1" applyBorder="1" applyAlignment="1">
      <alignment horizontal="center" vertical="center"/>
    </xf>
    <xf numFmtId="0" fontId="74" fillId="12" borderId="7" xfId="0" applyFont="1" applyFill="1" applyBorder="1" applyAlignment="1">
      <alignment horizontal="left" vertical="center"/>
    </xf>
    <xf numFmtId="0" fontId="74" fillId="12" borderId="6" xfId="0" applyFont="1" applyFill="1" applyBorder="1" applyAlignment="1">
      <alignment horizontal="left" vertical="center"/>
    </xf>
    <xf numFmtId="0" fontId="74" fillId="12" borderId="7" xfId="0" applyFont="1" applyFill="1" applyBorder="1" applyAlignment="1">
      <alignment horizontal="center" vertical="center"/>
    </xf>
    <xf numFmtId="0" fontId="74" fillId="12" borderId="0" xfId="0" applyFont="1" applyFill="1" applyAlignment="1">
      <alignment horizontal="center" vertical="center"/>
    </xf>
    <xf numFmtId="0" fontId="74" fillId="12" borderId="10" xfId="0" applyFont="1" applyFill="1" applyBorder="1" applyAlignment="1">
      <alignment horizontal="left" vertical="center"/>
    </xf>
    <xf numFmtId="0" fontId="74" fillId="12" borderId="3" xfId="0" applyFont="1" applyFill="1" applyBorder="1" applyAlignment="1">
      <alignment horizontal="left" vertical="center"/>
    </xf>
    <xf numFmtId="0" fontId="74" fillId="12" borderId="11" xfId="0" applyFont="1" applyFill="1" applyBorder="1" applyAlignment="1">
      <alignment vertical="center"/>
    </xf>
    <xf numFmtId="0" fontId="74" fillId="12" borderId="7" xfId="0" applyFont="1" applyFill="1" applyBorder="1" applyAlignment="1">
      <alignment vertical="center"/>
    </xf>
    <xf numFmtId="0" fontId="74" fillId="12" borderId="10" xfId="0" applyFont="1" applyFill="1" applyBorder="1" applyAlignment="1">
      <alignment vertical="center"/>
    </xf>
    <xf numFmtId="0" fontId="73" fillId="12" borderId="4" xfId="0" applyFont="1" applyFill="1" applyBorder="1"/>
    <xf numFmtId="0" fontId="74" fillId="12" borderId="10" xfId="0" applyFont="1" applyFill="1" applyBorder="1" applyAlignment="1">
      <alignment horizontal="center"/>
    </xf>
    <xf numFmtId="0" fontId="74" fillId="12" borderId="14" xfId="0" applyFont="1" applyFill="1" applyBorder="1" applyAlignment="1">
      <alignment horizontal="center"/>
    </xf>
    <xf numFmtId="0" fontId="74" fillId="12" borderId="15" xfId="0" applyFont="1" applyFill="1" applyBorder="1" applyAlignment="1">
      <alignment horizontal="center"/>
    </xf>
    <xf numFmtId="0" fontId="74" fillId="12" borderId="11" xfId="0" applyFont="1" applyFill="1" applyBorder="1"/>
    <xf numFmtId="0" fontId="74" fillId="12" borderId="9" xfId="0" applyFont="1" applyFill="1" applyBorder="1" applyAlignment="1">
      <alignment vertical="center"/>
    </xf>
    <xf numFmtId="0" fontId="74" fillId="12" borderId="4" xfId="0" applyFont="1" applyFill="1" applyBorder="1" applyAlignment="1">
      <alignment vertical="center"/>
    </xf>
    <xf numFmtId="0" fontId="85" fillId="0" borderId="0" xfId="0" applyFont="1"/>
    <xf numFmtId="0" fontId="73" fillId="12" borderId="11" xfId="0" applyFont="1" applyFill="1" applyBorder="1" applyAlignment="1">
      <alignment vertical="center"/>
    </xf>
    <xf numFmtId="0" fontId="73" fillId="12" borderId="6" xfId="0" applyFont="1" applyFill="1" applyBorder="1" applyAlignment="1">
      <alignment vertical="center"/>
    </xf>
    <xf numFmtId="0" fontId="81" fillId="12" borderId="11" xfId="0" applyFont="1" applyFill="1" applyBorder="1" applyAlignment="1">
      <alignment horizontal="centerContinuous" vertical="center"/>
    </xf>
    <xf numFmtId="0" fontId="81" fillId="12" borderId="2" xfId="0" applyFont="1" applyFill="1" applyBorder="1" applyAlignment="1">
      <alignment horizontal="centerContinuous" vertical="center"/>
    </xf>
    <xf numFmtId="0" fontId="73" fillId="12" borderId="3" xfId="0" applyFont="1" applyFill="1" applyBorder="1" applyAlignment="1">
      <alignment vertical="center"/>
    </xf>
    <xf numFmtId="0" fontId="1" fillId="13" borderId="7" xfId="0" applyFont="1" applyFill="1" applyBorder="1" applyAlignment="1">
      <alignment horizontal="center" vertical="center"/>
    </xf>
    <xf numFmtId="0" fontId="1" fillId="13" borderId="13" xfId="0" applyFont="1" applyFill="1" applyBorder="1" applyAlignment="1">
      <alignment horizontal="center" vertical="center"/>
    </xf>
    <xf numFmtId="3" fontId="14" fillId="13" borderId="7" xfId="0" applyNumberFormat="1" applyFont="1" applyFill="1" applyBorder="1" applyAlignment="1">
      <alignment horizontal="center" vertical="center"/>
    </xf>
    <xf numFmtId="3" fontId="14" fillId="13" borderId="13" xfId="0" applyNumberFormat="1" applyFont="1" applyFill="1" applyBorder="1" applyAlignment="1">
      <alignment horizontal="center" vertical="center"/>
    </xf>
    <xf numFmtId="3" fontId="14" fillId="13" borderId="10" xfId="0" applyNumberFormat="1" applyFont="1" applyFill="1" applyBorder="1" applyAlignment="1">
      <alignment horizontal="center" vertical="center"/>
    </xf>
    <xf numFmtId="3" fontId="14" fillId="13" borderId="14" xfId="0" applyNumberFormat="1" applyFont="1" applyFill="1" applyBorder="1" applyAlignment="1">
      <alignment horizontal="center" vertical="center"/>
    </xf>
    <xf numFmtId="0" fontId="14" fillId="13" borderId="0" xfId="0" applyFont="1" applyFill="1" applyAlignment="1">
      <alignment horizontal="center" vertical="center"/>
    </xf>
    <xf numFmtId="0" fontId="14" fillId="13" borderId="12" xfId="0" applyFont="1" applyFill="1" applyBorder="1" applyAlignment="1">
      <alignment horizontal="center" vertical="center"/>
    </xf>
    <xf numFmtId="0" fontId="9" fillId="13" borderId="12" xfId="0" applyFont="1" applyFill="1" applyBorder="1" applyAlignment="1">
      <alignment horizontal="center" vertical="center"/>
    </xf>
    <xf numFmtId="2" fontId="14" fillId="13" borderId="15" xfId="0" applyNumberFormat="1" applyFont="1" applyFill="1" applyBorder="1" applyAlignment="1">
      <alignment horizontal="center" vertical="center"/>
    </xf>
    <xf numFmtId="3" fontId="14" fillId="13" borderId="15" xfId="0" applyNumberFormat="1" applyFont="1" applyFill="1" applyBorder="1" applyAlignment="1">
      <alignment horizontal="center" vertical="center"/>
    </xf>
    <xf numFmtId="0" fontId="1" fillId="13" borderId="7" xfId="0" applyFont="1" applyFill="1" applyBorder="1" applyAlignment="1">
      <alignment vertical="center"/>
    </xf>
    <xf numFmtId="0" fontId="1" fillId="13" borderId="13" xfId="0" applyFont="1" applyFill="1" applyBorder="1" applyAlignment="1">
      <alignment vertical="center"/>
    </xf>
    <xf numFmtId="3" fontId="14" fillId="13" borderId="0" xfId="0" applyNumberFormat="1" applyFont="1" applyFill="1" applyAlignment="1">
      <alignment horizontal="center" vertical="center"/>
    </xf>
    <xf numFmtId="3" fontId="14" fillId="13" borderId="11" xfId="0" applyNumberFormat="1" applyFont="1" applyFill="1" applyBorder="1" applyAlignment="1">
      <alignment horizontal="center" vertical="center"/>
    </xf>
    <xf numFmtId="3" fontId="14" fillId="13" borderId="2" xfId="0" applyNumberFormat="1" applyFont="1" applyFill="1" applyBorder="1" applyAlignment="1">
      <alignment horizontal="center" vertical="center"/>
    </xf>
    <xf numFmtId="2" fontId="14" fillId="13" borderId="10" xfId="0" applyNumberFormat="1" applyFont="1" applyFill="1" applyBorder="1" applyAlignment="1">
      <alignment horizontal="center" vertical="center"/>
    </xf>
    <xf numFmtId="0" fontId="2" fillId="0" borderId="5" xfId="2" applyNumberFormat="1" applyFont="1" applyBorder="1" applyAlignment="1">
      <alignment horizontal="center" vertical="center"/>
    </xf>
    <xf numFmtId="3" fontId="2" fillId="0" borderId="2" xfId="2" applyNumberFormat="1" applyFont="1" applyBorder="1" applyAlignment="1">
      <alignment horizontal="centerContinuous" vertical="center"/>
    </xf>
    <xf numFmtId="3" fontId="2" fillId="0" borderId="0" xfId="2" applyNumberFormat="1" applyFont="1" applyAlignment="1">
      <alignment horizontal="centerContinuous" vertical="center"/>
    </xf>
    <xf numFmtId="169" fontId="2" fillId="0" borderId="7" xfId="2" applyNumberFormat="1" applyFont="1" applyBorder="1" applyAlignment="1">
      <alignment horizontal="centerContinuous" vertical="center"/>
    </xf>
    <xf numFmtId="169" fontId="2" fillId="0" borderId="6" xfId="2" applyNumberFormat="1" applyFont="1" applyBorder="1" applyAlignment="1">
      <alignment horizontal="centerContinuous" vertical="center"/>
    </xf>
    <xf numFmtId="165" fontId="2" fillId="0" borderId="6" xfId="2" applyNumberFormat="1" applyFont="1" applyBorder="1" applyAlignment="1">
      <alignment horizontal="centerContinuous" vertical="center"/>
    </xf>
    <xf numFmtId="3" fontId="2" fillId="0" borderId="13" xfId="2" applyNumberFormat="1" applyFont="1" applyBorder="1" applyAlignment="1">
      <alignment horizontal="centerContinuous" vertical="center"/>
    </xf>
    <xf numFmtId="3" fontId="2" fillId="0" borderId="6" xfId="2" applyNumberFormat="1" applyFont="1" applyBorder="1" applyAlignment="1">
      <alignment horizontal="centerContinuous" vertical="center"/>
    </xf>
    <xf numFmtId="3" fontId="2" fillId="0" borderId="13" xfId="2" applyNumberFormat="1" applyFont="1" applyBorder="1" applyAlignment="1">
      <alignment horizontal="center" vertical="center"/>
    </xf>
    <xf numFmtId="3" fontId="2" fillId="0" borderId="6" xfId="2" applyNumberFormat="1" applyFont="1" applyBorder="1" applyAlignment="1">
      <alignment horizontal="center" vertical="center"/>
    </xf>
    <xf numFmtId="3" fontId="2" fillId="0" borderId="0" xfId="2" applyNumberFormat="1" applyFont="1" applyAlignment="1">
      <alignment horizontal="center" vertical="center"/>
    </xf>
    <xf numFmtId="3" fontId="2" fillId="0" borderId="0" xfId="2" applyNumberFormat="1" applyFont="1" applyAlignment="1" applyProtection="1">
      <alignment horizontal="center" vertical="center"/>
      <protection locked="0"/>
    </xf>
    <xf numFmtId="3" fontId="2" fillId="0" borderId="6" xfId="2" applyNumberFormat="1" applyFont="1" applyBorder="1" applyAlignment="1" applyProtection="1">
      <alignment horizontal="centerContinuous" vertical="center"/>
      <protection locked="0"/>
    </xf>
    <xf numFmtId="3" fontId="2" fillId="0" borderId="6" xfId="2" applyNumberFormat="1" applyFont="1" applyBorder="1" applyAlignment="1" applyProtection="1">
      <alignment horizontal="center" vertical="center"/>
      <protection locked="0"/>
    </xf>
    <xf numFmtId="3" fontId="56" fillId="0" borderId="6" xfId="2" applyNumberFormat="1" applyFont="1" applyBorder="1" applyAlignment="1" applyProtection="1">
      <alignment horizontal="center" vertical="center"/>
      <protection locked="0"/>
    </xf>
    <xf numFmtId="0" fontId="2" fillId="0" borderId="3" xfId="2" applyNumberFormat="1" applyFont="1" applyBorder="1" applyAlignment="1">
      <alignment horizontal="left" vertical="center"/>
    </xf>
    <xf numFmtId="3" fontId="2" fillId="0" borderId="15" xfId="2" applyNumberFormat="1" applyFont="1" applyBorder="1" applyAlignment="1" applyProtection="1">
      <alignment horizontal="centerContinuous" vertical="center"/>
      <protection locked="0"/>
    </xf>
    <xf numFmtId="3" fontId="2" fillId="0" borderId="3" xfId="2" applyNumberFormat="1" applyFont="1" applyBorder="1" applyAlignment="1" applyProtection="1">
      <alignment horizontal="centerContinuous" vertical="center"/>
      <protection locked="0"/>
    </xf>
    <xf numFmtId="3" fontId="2" fillId="0" borderId="3" xfId="2" applyNumberFormat="1" applyFont="1" applyBorder="1" applyAlignment="1" applyProtection="1">
      <alignment horizontal="center" vertical="center"/>
      <protection locked="0"/>
    </xf>
    <xf numFmtId="3" fontId="2" fillId="0" borderId="15" xfId="2" applyNumberFormat="1" applyFont="1" applyBorder="1" applyAlignment="1">
      <alignment horizontal="centerContinuous" vertical="center"/>
    </xf>
    <xf numFmtId="3" fontId="2" fillId="0" borderId="3" xfId="2" applyNumberFormat="1" applyFont="1" applyBorder="1" applyAlignment="1">
      <alignment horizontal="centerContinuous" vertical="center"/>
    </xf>
    <xf numFmtId="3" fontId="2" fillId="0" borderId="3" xfId="2" applyNumberFormat="1" applyFont="1" applyBorder="1" applyAlignment="1" applyProtection="1">
      <alignment vertical="center"/>
      <protection locked="0"/>
    </xf>
    <xf numFmtId="3" fontId="2" fillId="0" borderId="15" xfId="2" applyNumberFormat="1" applyFont="1" applyBorder="1" applyAlignment="1" applyProtection="1">
      <alignment vertical="center"/>
      <protection locked="0"/>
    </xf>
    <xf numFmtId="169" fontId="2" fillId="0" borderId="10" xfId="2" applyNumberFormat="1" applyFont="1" applyBorder="1" applyAlignment="1">
      <alignment horizontal="centerContinuous" vertical="center"/>
    </xf>
    <xf numFmtId="169" fontId="2" fillId="0" borderId="3" xfId="2" applyNumberFormat="1" applyFont="1" applyBorder="1" applyAlignment="1">
      <alignment horizontal="centerContinuous" vertical="center"/>
    </xf>
    <xf numFmtId="165" fontId="2" fillId="0" borderId="15" xfId="2" applyNumberFormat="1" applyFont="1" applyBorder="1" applyAlignment="1">
      <alignment horizontal="centerContinuous" vertical="center"/>
    </xf>
    <xf numFmtId="165" fontId="2" fillId="0" borderId="3" xfId="2" applyNumberFormat="1" applyFont="1" applyBorder="1" applyAlignment="1">
      <alignment horizontal="centerContinuous" vertical="center"/>
    </xf>
    <xf numFmtId="3" fontId="56" fillId="0" borderId="6" xfId="2" applyNumberFormat="1" applyFont="1" applyBorder="1" applyAlignment="1">
      <alignment horizontal="centerContinuous" vertical="center"/>
    </xf>
    <xf numFmtId="169" fontId="2" fillId="0" borderId="7" xfId="2" applyNumberFormat="1" applyFont="1" applyBorder="1" applyAlignment="1">
      <alignment horizontal="center" vertical="center"/>
    </xf>
    <xf numFmtId="165" fontId="2" fillId="0" borderId="0" xfId="2" applyNumberFormat="1" applyFont="1" applyAlignment="1">
      <alignment horizontal="center" vertical="center"/>
    </xf>
    <xf numFmtId="3" fontId="2" fillId="0" borderId="0" xfId="2" applyNumberFormat="1" applyFont="1" applyAlignment="1" applyProtection="1">
      <alignment horizontal="centerContinuous" vertical="center"/>
      <protection locked="0"/>
    </xf>
    <xf numFmtId="3" fontId="2" fillId="0" borderId="6" xfId="2" applyNumberFormat="1" applyFont="1" applyBorder="1" applyAlignment="1" applyProtection="1">
      <alignment vertical="center"/>
      <protection locked="0"/>
    </xf>
    <xf numFmtId="3" fontId="2" fillId="0" borderId="0" xfId="2" applyNumberFormat="1" applyFont="1" applyAlignment="1" applyProtection="1">
      <alignment vertical="center"/>
      <protection locked="0"/>
    </xf>
    <xf numFmtId="169" fontId="2" fillId="0" borderId="11" xfId="2" applyNumberFormat="1" applyFont="1" applyBorder="1" applyAlignment="1">
      <alignment horizontal="centerContinuous" vertical="center"/>
    </xf>
    <xf numFmtId="169" fontId="2" fillId="0" borderId="5" xfId="2" applyNumberFormat="1" applyFont="1" applyBorder="1" applyAlignment="1">
      <alignment horizontal="centerContinuous" vertical="center"/>
    </xf>
    <xf numFmtId="165" fontId="2" fillId="0" borderId="12" xfId="2" applyNumberFormat="1" applyFont="1" applyBorder="1" applyAlignment="1">
      <alignment horizontal="centerContinuous" vertical="center"/>
    </xf>
    <xf numFmtId="165" fontId="2" fillId="0" borderId="5" xfId="2" applyNumberFormat="1" applyFont="1" applyBorder="1" applyAlignment="1">
      <alignment horizontal="centerContinuous" vertical="center"/>
    </xf>
    <xf numFmtId="0" fontId="2" fillId="0" borderId="6" xfId="2" applyNumberFormat="1" applyFont="1" applyBorder="1" applyAlignment="1">
      <alignment horizontal="centerContinuous" vertical="center"/>
    </xf>
    <xf numFmtId="3" fontId="2" fillId="0" borderId="15" xfId="2" applyNumberFormat="1" applyFont="1" applyBorder="1" applyAlignment="1">
      <alignment horizontal="center" vertical="center"/>
    </xf>
    <xf numFmtId="3" fontId="2" fillId="0" borderId="3" xfId="2" applyNumberFormat="1" applyFont="1" applyBorder="1" applyAlignment="1">
      <alignment horizontal="center" vertical="center"/>
    </xf>
    <xf numFmtId="3" fontId="6" fillId="0" borderId="10" xfId="3" applyNumberFormat="1" applyFont="1" applyBorder="1" applyAlignment="1">
      <alignment horizontal="center" vertical="center"/>
    </xf>
    <xf numFmtId="166" fontId="6" fillId="0" borderId="3" xfId="3" applyNumberFormat="1" applyFont="1" applyBorder="1" applyAlignment="1">
      <alignment horizontal="center" vertical="center"/>
    </xf>
    <xf numFmtId="2" fontId="6" fillId="0" borderId="14" xfId="3" applyNumberFormat="1" applyFont="1" applyBorder="1" applyAlignment="1">
      <alignment horizontal="center" vertical="center"/>
    </xf>
    <xf numFmtId="3" fontId="6" fillId="0" borderId="15" xfId="3" applyNumberFormat="1" applyFont="1" applyBorder="1" applyAlignment="1">
      <alignment horizontal="center" vertical="center"/>
    </xf>
    <xf numFmtId="0" fontId="2" fillId="0" borderId="27" xfId="5" applyBorder="1" applyAlignment="1">
      <alignment horizontal="center" vertical="center"/>
    </xf>
    <xf numFmtId="0" fontId="2" fillId="0" borderId="29" xfId="5" applyBorder="1" applyAlignment="1">
      <alignment horizontal="center" vertical="center"/>
    </xf>
    <xf numFmtId="0" fontId="2" fillId="0" borderId="15" xfId="5" applyBorder="1" applyAlignment="1">
      <alignment horizontal="center" vertical="center"/>
    </xf>
    <xf numFmtId="0" fontId="2" fillId="0" borderId="10" xfId="5" applyBorder="1" applyAlignment="1">
      <alignment horizontal="center" vertical="center"/>
    </xf>
    <xf numFmtId="3" fontId="2" fillId="0" borderId="34" xfId="5" applyNumberFormat="1" applyBorder="1" applyAlignment="1">
      <alignment horizontal="center" vertical="center"/>
    </xf>
    <xf numFmtId="0" fontId="2" fillId="0" borderId="10" xfId="5" applyBorder="1" applyAlignment="1">
      <alignment horizontal="centerContinuous" vertical="center"/>
    </xf>
    <xf numFmtId="0" fontId="2" fillId="0" borderId="15" xfId="5" applyBorder="1" applyAlignment="1">
      <alignment horizontal="centerContinuous" vertical="center"/>
    </xf>
    <xf numFmtId="0" fontId="2" fillId="0" borderId="14" xfId="5" applyBorder="1" applyAlignment="1">
      <alignment horizontal="centerContinuous" vertical="center"/>
    </xf>
    <xf numFmtId="3" fontId="2" fillId="0" borderId="14" xfId="5" applyNumberFormat="1" applyBorder="1" applyAlignment="1">
      <alignment horizontal="center" vertical="center"/>
    </xf>
    <xf numFmtId="0" fontId="2" fillId="0" borderId="33" xfId="5" applyBorder="1" applyAlignment="1">
      <alignment horizontal="center" vertical="center"/>
    </xf>
    <xf numFmtId="0" fontId="2" fillId="0" borderId="42" xfId="5" applyBorder="1" applyAlignment="1">
      <alignment horizontal="center" vertical="center"/>
    </xf>
    <xf numFmtId="0" fontId="8" fillId="0" borderId="7" xfId="5" applyFont="1" applyBorder="1" applyAlignment="1">
      <alignment horizontal="center" vertical="center"/>
    </xf>
    <xf numFmtId="0" fontId="8" fillId="0" borderId="13" xfId="5" applyFont="1" applyBorder="1" applyAlignment="1">
      <alignment horizontal="center" vertical="center"/>
    </xf>
    <xf numFmtId="0" fontId="22" fillId="0" borderId="7" xfId="5" applyFont="1" applyBorder="1" applyAlignment="1">
      <alignment horizontal="center" vertical="center"/>
    </xf>
    <xf numFmtId="0" fontId="22" fillId="0" borderId="13" xfId="5" applyFont="1" applyBorder="1" applyAlignment="1">
      <alignment horizontal="center" vertical="center"/>
    </xf>
    <xf numFmtId="0" fontId="8" fillId="0" borderId="0" xfId="5" applyFont="1" applyAlignment="1">
      <alignment horizontal="center" vertical="center"/>
    </xf>
    <xf numFmtId="0" fontId="22" fillId="0" borderId="0" xfId="5" applyFont="1" applyAlignment="1">
      <alignment horizontal="center" vertical="center"/>
    </xf>
    <xf numFmtId="0" fontId="2" fillId="0" borderId="6" xfId="5" applyBorder="1" applyAlignment="1">
      <alignment horizontal="center" vertical="center"/>
    </xf>
    <xf numFmtId="0" fontId="73" fillId="12" borderId="9" xfId="0" applyFont="1" applyFill="1" applyBorder="1" applyAlignment="1">
      <alignment horizontal="center" vertical="center"/>
    </xf>
    <xf numFmtId="41" fontId="0" fillId="0" borderId="0" xfId="0" applyNumberFormat="1"/>
    <xf numFmtId="0" fontId="73" fillId="12" borderId="1" xfId="0" applyFont="1" applyFill="1" applyBorder="1" applyAlignment="1">
      <alignment vertical="center"/>
    </xf>
    <xf numFmtId="0" fontId="73" fillId="12" borderId="1" xfId="0" applyFont="1" applyFill="1" applyBorder="1" applyAlignment="1">
      <alignment horizontal="centerContinuous" vertical="center"/>
    </xf>
    <xf numFmtId="0" fontId="75" fillId="12" borderId="8" xfId="0" applyFont="1" applyFill="1" applyBorder="1" applyAlignment="1">
      <alignment horizontal="centerContinuous" vertical="center" wrapText="1"/>
    </xf>
    <xf numFmtId="0" fontId="75" fillId="12" borderId="1" xfId="0" applyFont="1" applyFill="1" applyBorder="1" applyAlignment="1">
      <alignment horizontal="centerContinuous" vertical="center" wrapText="1"/>
    </xf>
    <xf numFmtId="0" fontId="75" fillId="12" borderId="4" xfId="0" applyFont="1" applyFill="1" applyBorder="1" applyAlignment="1">
      <alignment horizontal="center" vertical="center" wrapText="1"/>
    </xf>
    <xf numFmtId="0" fontId="73" fillId="12" borderId="1" xfId="0" applyFont="1" applyFill="1" applyBorder="1" applyAlignment="1">
      <alignment horizontal="center" vertical="center" wrapText="1"/>
    </xf>
    <xf numFmtId="0" fontId="73" fillId="12" borderId="8" xfId="0" applyFont="1" applyFill="1" applyBorder="1" applyAlignment="1">
      <alignment horizontal="center" vertical="center" wrapText="1"/>
    </xf>
    <xf numFmtId="0" fontId="73" fillId="12" borderId="1" xfId="0" applyFont="1" applyFill="1" applyBorder="1" applyAlignment="1">
      <alignment horizontal="left" vertical="center" wrapText="1"/>
    </xf>
    <xf numFmtId="3" fontId="73" fillId="12" borderId="11" xfId="0" applyNumberFormat="1" applyFont="1" applyFill="1" applyBorder="1"/>
    <xf numFmtId="0" fontId="73" fillId="12" borderId="5" xfId="0" applyFont="1" applyFill="1" applyBorder="1"/>
    <xf numFmtId="0" fontId="73" fillId="12" borderId="7" xfId="0" applyFont="1" applyFill="1" applyBorder="1"/>
    <xf numFmtId="0" fontId="73" fillId="12" borderId="0" xfId="0" applyFont="1" applyFill="1" applyAlignment="1">
      <alignment horizontal="centerContinuous"/>
    </xf>
    <xf numFmtId="0" fontId="73" fillId="12" borderId="13" xfId="0" applyFont="1" applyFill="1" applyBorder="1" applyAlignment="1">
      <alignment horizontal="centerContinuous"/>
    </xf>
    <xf numFmtId="0" fontId="73" fillId="12" borderId="10" xfId="0" applyFont="1" applyFill="1" applyBorder="1"/>
    <xf numFmtId="0" fontId="73" fillId="12" borderId="14" xfId="0" applyFont="1" applyFill="1" applyBorder="1"/>
    <xf numFmtId="0" fontId="73" fillId="12" borderId="3" xfId="0" applyFont="1" applyFill="1" applyBorder="1"/>
    <xf numFmtId="0" fontId="78" fillId="12" borderId="3" xfId="0" applyFont="1" applyFill="1" applyBorder="1" applyAlignment="1">
      <alignment horizontal="center" vertical="center" wrapText="1"/>
    </xf>
    <xf numFmtId="0" fontId="73" fillId="12" borderId="8" xfId="0" applyFont="1" applyFill="1" applyBorder="1" applyAlignment="1">
      <alignment horizontal="center" vertical="center"/>
    </xf>
    <xf numFmtId="0" fontId="75" fillId="12" borderId="8" xfId="0" applyFont="1" applyFill="1" applyBorder="1" applyAlignment="1">
      <alignment horizontal="center" vertical="center"/>
    </xf>
    <xf numFmtId="0" fontId="74" fillId="12" borderId="3" xfId="0" applyFont="1" applyFill="1" applyBorder="1" applyAlignment="1">
      <alignment horizontal="center" vertical="center"/>
    </xf>
    <xf numFmtId="0" fontId="74" fillId="12" borderId="9" xfId="0" applyFont="1" applyFill="1" applyBorder="1" applyAlignment="1">
      <alignment horizontal="center" vertical="center"/>
    </xf>
    <xf numFmtId="0" fontId="74" fillId="12" borderId="8" xfId="0" applyFont="1" applyFill="1" applyBorder="1" applyAlignment="1">
      <alignment horizontal="center" vertical="center"/>
    </xf>
    <xf numFmtId="0" fontId="74" fillId="12" borderId="4" xfId="0" applyFont="1" applyFill="1" applyBorder="1" applyAlignment="1">
      <alignment horizontal="center" vertical="center"/>
    </xf>
    <xf numFmtId="0" fontId="74" fillId="12" borderId="11" xfId="0" applyFont="1" applyFill="1" applyBorder="1" applyAlignment="1">
      <alignment horizontal="centerContinuous" vertical="center"/>
    </xf>
    <xf numFmtId="0" fontId="73" fillId="12" borderId="12" xfId="0" applyFont="1" applyFill="1" applyBorder="1" applyAlignment="1">
      <alignment horizontal="centerContinuous"/>
    </xf>
    <xf numFmtId="0" fontId="74" fillId="12" borderId="12" xfId="0" applyFont="1" applyFill="1" applyBorder="1" applyAlignment="1">
      <alignment horizontal="centerContinuous" vertical="center"/>
    </xf>
    <xf numFmtId="0" fontId="73" fillId="12" borderId="3" xfId="0" applyFont="1" applyFill="1" applyBorder="1" applyAlignment="1">
      <alignment horizontal="center" vertical="top"/>
    </xf>
    <xf numFmtId="0" fontId="73" fillId="12" borderId="1" xfId="0" applyFont="1" applyFill="1" applyBorder="1" applyAlignment="1">
      <alignment horizontal="center" vertical="center"/>
    </xf>
    <xf numFmtId="175" fontId="0" fillId="0" borderId="0" xfId="13" applyNumberFormat="1" applyFont="1"/>
    <xf numFmtId="3" fontId="8" fillId="0" borderId="7" xfId="0" applyNumberFormat="1" applyFont="1" applyBorder="1" applyAlignment="1">
      <alignment vertical="center"/>
    </xf>
    <xf numFmtId="3" fontId="56" fillId="0" borderId="7" xfId="0" applyNumberFormat="1" applyFont="1" applyBorder="1" applyAlignment="1">
      <alignment vertical="center"/>
    </xf>
    <xf numFmtId="3" fontId="0" fillId="0" borderId="10" xfId="0" applyNumberFormat="1" applyBorder="1" applyAlignment="1">
      <alignment vertical="center"/>
    </xf>
    <xf numFmtId="0" fontId="75" fillId="12" borderId="11" xfId="0" applyFont="1" applyFill="1" applyBorder="1" applyAlignment="1">
      <alignment horizontal="center" vertical="center"/>
    </xf>
    <xf numFmtId="0" fontId="75" fillId="12" borderId="5" xfId="0" applyFont="1" applyFill="1" applyBorder="1" applyAlignment="1">
      <alignment horizontal="center" vertical="center"/>
    </xf>
    <xf numFmtId="0" fontId="74" fillId="12" borderId="8" xfId="0" applyFont="1" applyFill="1" applyBorder="1" applyAlignment="1">
      <alignment vertical="center"/>
    </xf>
    <xf numFmtId="0" fontId="75" fillId="12" borderId="10" xfId="0" applyFont="1" applyFill="1" applyBorder="1" applyAlignment="1">
      <alignment vertical="center"/>
    </xf>
    <xf numFmtId="0" fontId="75" fillId="12" borderId="3" xfId="0" applyFont="1" applyFill="1" applyBorder="1" applyAlignment="1">
      <alignment vertical="center"/>
    </xf>
    <xf numFmtId="0" fontId="18" fillId="13" borderId="6" xfId="0" applyFont="1" applyFill="1" applyBorder="1" applyAlignment="1">
      <alignment vertical="center"/>
    </xf>
    <xf numFmtId="3" fontId="37" fillId="13" borderId="0" xfId="0" applyNumberFormat="1" applyFont="1" applyFill="1" applyAlignment="1">
      <alignment horizontal="center" vertical="center"/>
    </xf>
    <xf numFmtId="3" fontId="6" fillId="13" borderId="13" xfId="0" applyNumberFormat="1" applyFont="1" applyFill="1" applyBorder="1" applyAlignment="1">
      <alignment horizontal="center" vertical="center"/>
    </xf>
    <xf numFmtId="3" fontId="37" fillId="13" borderId="13" xfId="0" applyNumberFormat="1" applyFont="1" applyFill="1" applyBorder="1" applyAlignment="1">
      <alignment horizontal="center" vertical="center"/>
    </xf>
    <xf numFmtId="3" fontId="37" fillId="13" borderId="7" xfId="0" applyNumberFormat="1" applyFont="1" applyFill="1" applyBorder="1" applyAlignment="1">
      <alignment horizontal="center" vertical="center"/>
    </xf>
    <xf numFmtId="3" fontId="86" fillId="12" borderId="0" xfId="0" applyNumberFormat="1" applyFont="1" applyFill="1" applyAlignment="1">
      <alignment horizontal="center" vertical="center"/>
    </xf>
    <xf numFmtId="3" fontId="86" fillId="12" borderId="13" xfId="0" applyNumberFormat="1" applyFont="1" applyFill="1" applyBorder="1" applyAlignment="1">
      <alignment horizontal="center" vertical="center"/>
    </xf>
    <xf numFmtId="3" fontId="86" fillId="12" borderId="7" xfId="0" applyNumberFormat="1" applyFont="1" applyFill="1" applyBorder="1" applyAlignment="1">
      <alignment horizontal="center" vertical="center"/>
    </xf>
    <xf numFmtId="0" fontId="9" fillId="13" borderId="6" xfId="0" applyFont="1" applyFill="1" applyBorder="1" applyAlignment="1">
      <alignment vertical="center"/>
    </xf>
    <xf numFmtId="0" fontId="81" fillId="14" borderId="7" xfId="0" applyFont="1" applyFill="1" applyBorder="1" applyAlignment="1">
      <alignment vertical="center"/>
    </xf>
    <xf numFmtId="0" fontId="75" fillId="14" borderId="0" xfId="0" applyFont="1" applyFill="1" applyAlignment="1">
      <alignment vertical="center"/>
    </xf>
    <xf numFmtId="3" fontId="86" fillId="14" borderId="0" xfId="0" applyNumberFormat="1" applyFont="1" applyFill="1" applyAlignment="1">
      <alignment horizontal="center" vertical="center"/>
    </xf>
    <xf numFmtId="3" fontId="86" fillId="14" borderId="13" xfId="0" applyNumberFormat="1" applyFont="1" applyFill="1" applyBorder="1" applyAlignment="1">
      <alignment horizontal="center" vertical="center"/>
    </xf>
    <xf numFmtId="3" fontId="86" fillId="14" borderId="7" xfId="0" applyNumberFormat="1" applyFont="1" applyFill="1" applyBorder="1" applyAlignment="1">
      <alignment horizontal="center" vertical="center"/>
    </xf>
    <xf numFmtId="3" fontId="86" fillId="14" borderId="15" xfId="0" applyNumberFormat="1" applyFont="1" applyFill="1" applyBorder="1" applyAlignment="1">
      <alignment horizontal="center" vertical="center"/>
    </xf>
    <xf numFmtId="3" fontId="86" fillId="14" borderId="14" xfId="0" applyNumberFormat="1" applyFont="1" applyFill="1" applyBorder="1" applyAlignment="1">
      <alignment horizontal="center" vertical="center"/>
    </xf>
    <xf numFmtId="3" fontId="86" fillId="14" borderId="10" xfId="0" applyNumberFormat="1" applyFont="1" applyFill="1" applyBorder="1" applyAlignment="1">
      <alignment horizontal="center" vertical="center"/>
    </xf>
    <xf numFmtId="0" fontId="75" fillId="12" borderId="5" xfId="0" applyFont="1" applyFill="1" applyBorder="1" applyAlignment="1">
      <alignment vertical="center"/>
    </xf>
    <xf numFmtId="1" fontId="74" fillId="12" borderId="8" xfId="0" applyNumberFormat="1" applyFont="1" applyFill="1" applyBorder="1" applyAlignment="1">
      <alignment horizontal="center" vertical="center"/>
    </xf>
    <xf numFmtId="1" fontId="74" fillId="12" borderId="4" xfId="0" applyNumberFormat="1" applyFont="1" applyFill="1" applyBorder="1" applyAlignment="1">
      <alignment horizontal="center" vertical="center"/>
    </xf>
    <xf numFmtId="1" fontId="74" fillId="12" borderId="9" xfId="0" applyNumberFormat="1" applyFont="1" applyFill="1" applyBorder="1" applyAlignment="1">
      <alignment horizontal="center" vertical="center"/>
    </xf>
    <xf numFmtId="0" fontId="81" fillId="12" borderId="10" xfId="0" applyFont="1" applyFill="1" applyBorder="1" applyAlignment="1">
      <alignment vertical="center"/>
    </xf>
    <xf numFmtId="0" fontId="81" fillId="12" borderId="15" xfId="0" applyFont="1" applyFill="1" applyBorder="1" applyAlignment="1">
      <alignment vertical="center"/>
    </xf>
    <xf numFmtId="3" fontId="86" fillId="12" borderId="15" xfId="0" applyNumberFormat="1" applyFont="1" applyFill="1" applyBorder="1" applyAlignment="1">
      <alignment horizontal="center" vertical="center"/>
    </xf>
    <xf numFmtId="3" fontId="86" fillId="12" borderId="14" xfId="0" applyNumberFormat="1" applyFont="1" applyFill="1" applyBorder="1" applyAlignment="1">
      <alignment horizontal="center" vertical="center"/>
    </xf>
    <xf numFmtId="0" fontId="75" fillId="12" borderId="11" xfId="0" applyFont="1" applyFill="1" applyBorder="1" applyAlignment="1">
      <alignment vertical="center"/>
    </xf>
    <xf numFmtId="0" fontId="75" fillId="12" borderId="9" xfId="0" applyFont="1" applyFill="1" applyBorder="1" applyAlignment="1">
      <alignment horizontal="center" vertical="center"/>
    </xf>
    <xf numFmtId="3" fontId="74" fillId="12" borderId="11" xfId="0" applyNumberFormat="1" applyFont="1" applyFill="1" applyBorder="1" applyAlignment="1">
      <alignment vertical="center"/>
    </xf>
    <xf numFmtId="3" fontId="74" fillId="12" borderId="9" xfId="0" applyNumberFormat="1" applyFont="1" applyFill="1" applyBorder="1" applyAlignment="1">
      <alignment vertical="center"/>
    </xf>
    <xf numFmtId="3" fontId="81" fillId="12" borderId="8" xfId="0" applyNumberFormat="1" applyFont="1" applyFill="1" applyBorder="1" applyAlignment="1">
      <alignment horizontal="center" vertical="center" wrapText="1"/>
    </xf>
    <xf numFmtId="3" fontId="81" fillId="12" borderId="4" xfId="0" applyNumberFormat="1" applyFont="1" applyFill="1" applyBorder="1" applyAlignment="1">
      <alignment horizontal="center" vertical="center" wrapText="1"/>
    </xf>
    <xf numFmtId="3" fontId="74" fillId="12" borderId="3" xfId="0" applyNumberFormat="1" applyFont="1" applyFill="1" applyBorder="1" applyAlignment="1">
      <alignment vertical="center"/>
    </xf>
    <xf numFmtId="3" fontId="81" fillId="12" borderId="14" xfId="0" applyNumberFormat="1" applyFont="1" applyFill="1" applyBorder="1" applyAlignment="1">
      <alignment horizontal="center" vertical="center" wrapText="1"/>
    </xf>
    <xf numFmtId="3" fontId="87" fillId="12" borderId="14" xfId="0" applyNumberFormat="1" applyFont="1" applyFill="1" applyBorder="1" applyAlignment="1">
      <alignment horizontal="center" vertical="center" wrapText="1"/>
    </xf>
    <xf numFmtId="3" fontId="87" fillId="12" borderId="3" xfId="0" applyNumberFormat="1" applyFont="1" applyFill="1" applyBorder="1" applyAlignment="1">
      <alignment horizontal="center" vertical="center" wrapText="1"/>
    </xf>
    <xf numFmtId="3" fontId="87" fillId="12" borderId="1" xfId="0" applyNumberFormat="1" applyFont="1" applyFill="1" applyBorder="1" applyAlignment="1">
      <alignment horizontal="center" vertical="center" wrapText="1"/>
    </xf>
    <xf numFmtId="3" fontId="88" fillId="12" borderId="15" xfId="0" applyNumberFormat="1" applyFont="1" applyFill="1" applyBorder="1" applyAlignment="1">
      <alignment horizontal="left" vertical="center"/>
    </xf>
    <xf numFmtId="3" fontId="89" fillId="12" borderId="3" xfId="0" applyNumberFormat="1" applyFont="1" applyFill="1" applyBorder="1" applyAlignment="1">
      <alignment horizontal="center" vertical="center"/>
    </xf>
    <xf numFmtId="3" fontId="90" fillId="12" borderId="15" xfId="0" applyNumberFormat="1" applyFont="1" applyFill="1" applyBorder="1" applyAlignment="1">
      <alignment horizontal="center" vertical="center"/>
    </xf>
    <xf numFmtId="3" fontId="74" fillId="12" borderId="10" xfId="0" applyNumberFormat="1" applyFont="1" applyFill="1" applyBorder="1" applyAlignment="1">
      <alignment horizontal="center" vertical="center"/>
    </xf>
    <xf numFmtId="3" fontId="74" fillId="12" borderId="14" xfId="0" applyNumberFormat="1" applyFont="1" applyFill="1" applyBorder="1" applyAlignment="1">
      <alignment horizontal="center" vertical="center"/>
    </xf>
    <xf numFmtId="3" fontId="75" fillId="12" borderId="1" xfId="0" applyNumberFormat="1" applyFont="1" applyFill="1" applyBorder="1" applyAlignment="1">
      <alignment horizontal="center" vertical="center" wrapText="1"/>
    </xf>
    <xf numFmtId="3" fontId="75" fillId="12" borderId="1" xfId="0" applyNumberFormat="1" applyFont="1" applyFill="1" applyBorder="1" applyAlignment="1">
      <alignment horizontal="center" vertical="center"/>
    </xf>
    <xf numFmtId="3" fontId="81" fillId="12" borderId="1" xfId="0" applyNumberFormat="1" applyFont="1" applyFill="1" applyBorder="1" applyAlignment="1">
      <alignment horizontal="center" vertical="center" wrapText="1"/>
    </xf>
    <xf numFmtId="0" fontId="89" fillId="12" borderId="1" xfId="0" applyFont="1" applyFill="1" applyBorder="1" applyAlignment="1">
      <alignment horizontal="center" vertical="center"/>
    </xf>
    <xf numFmtId="0" fontId="89" fillId="12" borderId="1" xfId="0" applyFont="1" applyFill="1" applyBorder="1" applyAlignment="1">
      <alignment horizontal="center" vertical="center" wrapText="1"/>
    </xf>
    <xf numFmtId="3" fontId="78" fillId="12" borderId="3" xfId="0" applyNumberFormat="1" applyFont="1" applyFill="1" applyBorder="1" applyAlignment="1">
      <alignment horizontal="center" vertical="center" wrapText="1"/>
    </xf>
    <xf numFmtId="4" fontId="63" fillId="12" borderId="1" xfId="0" applyNumberFormat="1" applyFont="1" applyFill="1" applyBorder="1" applyAlignment="1">
      <alignment horizontal="center" vertical="center"/>
    </xf>
    <xf numFmtId="3" fontId="89" fillId="12" borderId="1" xfId="0" applyNumberFormat="1" applyFont="1" applyFill="1" applyBorder="1" applyAlignment="1">
      <alignment horizontal="center" vertical="center"/>
    </xf>
    <xf numFmtId="4" fontId="74" fillId="12" borderId="1" xfId="0" applyNumberFormat="1" applyFont="1" applyFill="1" applyBorder="1" applyAlignment="1">
      <alignment horizontal="center" vertical="center"/>
    </xf>
    <xf numFmtId="3" fontId="75" fillId="12" borderId="9" xfId="0" applyNumberFormat="1" applyFont="1" applyFill="1" applyBorder="1" applyAlignment="1">
      <alignment horizontal="center" vertical="center"/>
    </xf>
    <xf numFmtId="0" fontId="89" fillId="12" borderId="9" xfId="0" applyFont="1" applyFill="1" applyBorder="1" applyAlignment="1">
      <alignment horizontal="center" vertical="center" wrapText="1"/>
    </xf>
    <xf numFmtId="0" fontId="89" fillId="12" borderId="46" xfId="0" applyFont="1" applyFill="1" applyBorder="1" applyAlignment="1">
      <alignment horizontal="center" vertical="center"/>
    </xf>
    <xf numFmtId="0" fontId="89" fillId="12" borderId="3" xfId="0" applyFont="1" applyFill="1" applyBorder="1" applyAlignment="1">
      <alignment horizontal="center" vertical="center"/>
    </xf>
    <xf numFmtId="0" fontId="89" fillId="12" borderId="3" xfId="0" applyFont="1" applyFill="1" applyBorder="1" applyAlignment="1">
      <alignment horizontal="center" vertical="center" wrapText="1"/>
    </xf>
    <xf numFmtId="0" fontId="89" fillId="12" borderId="47" xfId="0" applyFont="1" applyFill="1" applyBorder="1" applyAlignment="1">
      <alignment horizontal="center" vertical="center" wrapText="1"/>
    </xf>
    <xf numFmtId="0" fontId="89" fillId="12" borderId="14" xfId="0" applyFont="1" applyFill="1" applyBorder="1" applyAlignment="1">
      <alignment horizontal="center" vertical="center"/>
    </xf>
    <xf numFmtId="0" fontId="89" fillId="12" borderId="10" xfId="0" applyFont="1" applyFill="1" applyBorder="1" applyAlignment="1">
      <alignment horizontal="center" vertical="center" wrapText="1"/>
    </xf>
    <xf numFmtId="3" fontId="81" fillId="12" borderId="1" xfId="0" applyNumberFormat="1" applyFont="1" applyFill="1" applyBorder="1" applyAlignment="1">
      <alignment horizontal="center" vertical="center"/>
    </xf>
    <xf numFmtId="3" fontId="81" fillId="12" borderId="9" xfId="0" applyNumberFormat="1" applyFont="1" applyFill="1" applyBorder="1" applyAlignment="1">
      <alignment horizontal="center" vertical="center"/>
    </xf>
    <xf numFmtId="3" fontId="81" fillId="12" borderId="49" xfId="0" applyNumberFormat="1" applyFont="1" applyFill="1" applyBorder="1" applyAlignment="1">
      <alignment horizontal="center" vertical="center"/>
    </xf>
    <xf numFmtId="3" fontId="75" fillId="12" borderId="50" xfId="0" applyNumberFormat="1" applyFont="1" applyFill="1" applyBorder="1" applyAlignment="1">
      <alignment horizontal="center" vertical="center"/>
    </xf>
    <xf numFmtId="3" fontId="75" fillId="12" borderId="51" xfId="0" applyNumberFormat="1" applyFont="1" applyFill="1" applyBorder="1" applyAlignment="1">
      <alignment horizontal="center" vertical="center"/>
    </xf>
    <xf numFmtId="3" fontId="81" fillId="12" borderId="4" xfId="0" applyNumberFormat="1" applyFont="1" applyFill="1" applyBorder="1" applyAlignment="1">
      <alignment horizontal="center" vertical="center"/>
    </xf>
    <xf numFmtId="166" fontId="73" fillId="12" borderId="34" xfId="0" applyNumberFormat="1" applyFont="1" applyFill="1" applyBorder="1" applyAlignment="1">
      <alignment horizontal="center" vertical="center"/>
    </xf>
    <xf numFmtId="0" fontId="73" fillId="12" borderId="33" xfId="0" applyFont="1" applyFill="1" applyBorder="1"/>
    <xf numFmtId="0" fontId="75" fillId="12" borderId="34" xfId="0" applyFont="1" applyFill="1" applyBorder="1" applyAlignment="1">
      <alignment vertical="top"/>
    </xf>
    <xf numFmtId="3" fontId="75" fillId="12" borderId="31" xfId="0" applyNumberFormat="1" applyFont="1" applyFill="1" applyBorder="1" applyAlignment="1">
      <alignment horizontal="center" vertical="center"/>
    </xf>
    <xf numFmtId="3" fontId="75" fillId="12" borderId="31" xfId="0" applyNumberFormat="1" applyFont="1" applyFill="1" applyBorder="1" applyAlignment="1">
      <alignment horizontal="center" vertical="center" wrapText="1"/>
    </xf>
    <xf numFmtId="3" fontId="75" fillId="12" borderId="32" xfId="0" applyNumberFormat="1" applyFont="1" applyFill="1" applyBorder="1" applyAlignment="1">
      <alignment horizontal="center" vertical="center" wrapText="1"/>
    </xf>
    <xf numFmtId="3" fontId="75" fillId="12" borderId="30" xfId="0" applyNumberFormat="1" applyFont="1" applyFill="1" applyBorder="1" applyAlignment="1">
      <alignment horizontal="center" vertical="center"/>
    </xf>
    <xf numFmtId="0" fontId="81" fillId="12" borderId="15" xfId="0" applyFont="1" applyFill="1" applyBorder="1" applyAlignment="1">
      <alignment horizontal="center" vertical="center"/>
    </xf>
    <xf numFmtId="3" fontId="73" fillId="12" borderId="27" xfId="0" applyNumberFormat="1" applyFont="1" applyFill="1" applyBorder="1" applyAlignment="1">
      <alignment horizontal="center" vertical="center"/>
    </xf>
    <xf numFmtId="3" fontId="73" fillId="12" borderId="28" xfId="0" applyNumberFormat="1" applyFont="1" applyFill="1" applyBorder="1" applyAlignment="1">
      <alignment horizontal="center" vertical="center"/>
    </xf>
    <xf numFmtId="2" fontId="73" fillId="12" borderId="29" xfId="0" applyNumberFormat="1" applyFont="1" applyFill="1" applyBorder="1" applyAlignment="1">
      <alignment horizontal="center" vertical="center"/>
    </xf>
    <xf numFmtId="0" fontId="75" fillId="12" borderId="1" xfId="0" applyFont="1" applyFill="1" applyBorder="1" applyAlignment="1">
      <alignment vertical="center"/>
    </xf>
    <xf numFmtId="0" fontId="78" fillId="12" borderId="1" xfId="0" applyFont="1" applyFill="1" applyBorder="1" applyAlignment="1">
      <alignment horizontal="center" vertical="center" wrapText="1"/>
    </xf>
    <xf numFmtId="1" fontId="81" fillId="12" borderId="1" xfId="0" applyNumberFormat="1" applyFont="1" applyFill="1" applyBorder="1" applyAlignment="1">
      <alignment horizontal="center" vertical="center"/>
    </xf>
    <xf numFmtId="166" fontId="75" fillId="12" borderId="1" xfId="0" applyNumberFormat="1" applyFont="1" applyFill="1" applyBorder="1" applyAlignment="1">
      <alignment horizontal="center" vertical="center"/>
    </xf>
    <xf numFmtId="0" fontId="81" fillId="12" borderId="0" xfId="0" applyFont="1" applyFill="1" applyAlignment="1">
      <alignment vertical="center"/>
    </xf>
    <xf numFmtId="3" fontId="86" fillId="12" borderId="6" xfId="0" applyNumberFormat="1" applyFont="1" applyFill="1" applyBorder="1" applyAlignment="1">
      <alignment horizontal="center" vertical="center"/>
    </xf>
    <xf numFmtId="3" fontId="86" fillId="12" borderId="3" xfId="0" applyNumberFormat="1" applyFont="1" applyFill="1" applyBorder="1" applyAlignment="1">
      <alignment horizontal="center" vertical="center"/>
    </xf>
    <xf numFmtId="0" fontId="74" fillId="12" borderId="5" xfId="0" applyFont="1" applyFill="1" applyBorder="1" applyAlignment="1">
      <alignment horizontal="center"/>
    </xf>
    <xf numFmtId="0" fontId="75" fillId="12" borderId="4" xfId="0" applyFont="1" applyFill="1" applyBorder="1" applyAlignment="1">
      <alignment horizontal="center" vertical="center"/>
    </xf>
    <xf numFmtId="0" fontId="74" fillId="12" borderId="5" xfId="0" applyFont="1" applyFill="1" applyBorder="1" applyAlignment="1">
      <alignment horizontal="center" wrapText="1"/>
    </xf>
    <xf numFmtId="0" fontId="73" fillId="12" borderId="5" xfId="0" applyFont="1" applyFill="1" applyBorder="1" applyAlignment="1">
      <alignment horizontal="center" wrapText="1"/>
    </xf>
    <xf numFmtId="0" fontId="89" fillId="12" borderId="21" xfId="0" quotePrefix="1" applyFont="1" applyFill="1" applyBorder="1" applyAlignment="1">
      <alignment horizontal="center" vertical="center"/>
    </xf>
    <xf numFmtId="0" fontId="89" fillId="12" borderId="22" xfId="0" applyFont="1" applyFill="1" applyBorder="1" applyAlignment="1">
      <alignment horizontal="center" vertical="center"/>
    </xf>
    <xf numFmtId="0" fontId="89" fillId="12" borderId="23" xfId="0" quotePrefix="1" applyFont="1" applyFill="1" applyBorder="1" applyAlignment="1">
      <alignment horizontal="center" vertical="center"/>
    </xf>
    <xf numFmtId="0" fontId="89" fillId="12" borderId="24" xfId="0" applyFont="1" applyFill="1" applyBorder="1" applyAlignment="1">
      <alignment horizontal="center" vertical="center"/>
    </xf>
    <xf numFmtId="0" fontId="74" fillId="12" borderId="3" xfId="0" applyFont="1" applyFill="1" applyBorder="1" applyAlignment="1">
      <alignment horizontal="center" vertical="center" wrapText="1"/>
    </xf>
    <xf numFmtId="0" fontId="73" fillId="12" borderId="3" xfId="0" applyFont="1" applyFill="1" applyBorder="1" applyAlignment="1">
      <alignment horizontal="center" vertical="center" wrapText="1"/>
    </xf>
    <xf numFmtId="3" fontId="74" fillId="12" borderId="3" xfId="0" applyNumberFormat="1" applyFont="1" applyFill="1" applyBorder="1" applyAlignment="1">
      <alignment horizontal="center" vertical="center"/>
    </xf>
    <xf numFmtId="3" fontId="74" fillId="12" borderId="15" xfId="0" applyNumberFormat="1" applyFont="1" applyFill="1" applyBorder="1" applyAlignment="1">
      <alignment horizontal="center" vertical="center"/>
    </xf>
    <xf numFmtId="166" fontId="74" fillId="12" borderId="3" xfId="0" applyNumberFormat="1" applyFont="1" applyFill="1" applyBorder="1" applyAlignment="1">
      <alignment horizontal="center" vertical="center"/>
    </xf>
    <xf numFmtId="0" fontId="75" fillId="12" borderId="2" xfId="0" applyFont="1" applyFill="1" applyBorder="1" applyAlignment="1">
      <alignment horizontal="center" vertical="center"/>
    </xf>
    <xf numFmtId="0" fontId="78" fillId="12" borderId="14" xfId="0" applyFont="1" applyFill="1" applyBorder="1" applyAlignment="1">
      <alignment horizontal="center" vertical="center" wrapText="1"/>
    </xf>
    <xf numFmtId="0" fontId="78" fillId="12" borderId="3" xfId="0" applyFont="1" applyFill="1" applyBorder="1" applyAlignment="1">
      <alignment horizontal="center" vertical="center"/>
    </xf>
    <xf numFmtId="0" fontId="78" fillId="12" borderId="10" xfId="0" applyFont="1" applyFill="1" applyBorder="1" applyAlignment="1">
      <alignment horizontal="center" vertical="center" wrapText="1"/>
    </xf>
    <xf numFmtId="0" fontId="78" fillId="12" borderId="15" xfId="0" applyFont="1" applyFill="1" applyBorder="1" applyAlignment="1">
      <alignment horizontal="center" vertical="center"/>
    </xf>
    <xf numFmtId="0" fontId="78" fillId="12" borderId="14" xfId="0" applyFont="1" applyFill="1" applyBorder="1" applyAlignment="1">
      <alignment horizontal="center" vertical="center"/>
    </xf>
    <xf numFmtId="0" fontId="75" fillId="12" borderId="14" xfId="0" applyFont="1" applyFill="1" applyBorder="1" applyAlignment="1">
      <alignment horizontal="center" vertical="top"/>
    </xf>
    <xf numFmtId="3" fontId="73" fillId="12" borderId="3" xfId="0" applyNumberFormat="1" applyFont="1" applyFill="1" applyBorder="1" applyAlignment="1">
      <alignment horizontal="center" vertical="center"/>
    </xf>
    <xf numFmtId="3" fontId="73" fillId="12" borderId="14" xfId="0" applyNumberFormat="1" applyFont="1" applyFill="1" applyBorder="1" applyAlignment="1">
      <alignment horizontal="center" vertical="center"/>
    </xf>
    <xf numFmtId="0" fontId="73" fillId="12" borderId="1" xfId="0" applyFont="1" applyFill="1" applyBorder="1" applyAlignment="1">
      <alignment horizontal="centerContinuous" vertical="center" wrapText="1"/>
    </xf>
    <xf numFmtId="0" fontId="75" fillId="12" borderId="3" xfId="0" applyFont="1" applyFill="1" applyBorder="1" applyAlignment="1">
      <alignment vertical="top"/>
    </xf>
    <xf numFmtId="0" fontId="78" fillId="12" borderId="11" xfId="0" applyFont="1" applyFill="1" applyBorder="1" applyAlignment="1">
      <alignment horizontal="centerContinuous" vertical="center"/>
    </xf>
    <xf numFmtId="0" fontId="78" fillId="12" borderId="1" xfId="0" applyFont="1" applyFill="1" applyBorder="1" applyAlignment="1">
      <alignment horizontal="centerContinuous" vertical="center"/>
    </xf>
    <xf numFmtId="0" fontId="78" fillId="12" borderId="8" xfId="0" applyFont="1" applyFill="1" applyBorder="1" applyAlignment="1">
      <alignment horizontal="centerContinuous" vertical="center"/>
    </xf>
    <xf numFmtId="0" fontId="78" fillId="12" borderId="1" xfId="0" applyFont="1" applyFill="1" applyBorder="1" applyAlignment="1">
      <alignment horizontal="centerContinuous" vertical="center" wrapText="1"/>
    </xf>
    <xf numFmtId="0" fontId="78" fillId="12" borderId="4" xfId="0" applyFont="1" applyFill="1" applyBorder="1" applyAlignment="1">
      <alignment horizontal="centerContinuous" vertical="center" wrapText="1"/>
    </xf>
    <xf numFmtId="0" fontId="75" fillId="12" borderId="4" xfId="0" applyFont="1" applyFill="1" applyBorder="1" applyAlignment="1">
      <alignment horizontal="centerContinuous" vertical="center"/>
    </xf>
    <xf numFmtId="0" fontId="92" fillId="0" borderId="0" xfId="0" applyFont="1" applyAlignment="1">
      <alignment horizontal="centerContinuous"/>
    </xf>
    <xf numFmtId="3" fontId="73" fillId="12" borderId="1" xfId="0" applyNumberFormat="1" applyFont="1" applyFill="1" applyBorder="1" applyAlignment="1">
      <alignment horizontal="center" vertical="center"/>
    </xf>
    <xf numFmtId="0" fontId="77" fillId="0" borderId="0" xfId="0" applyFont="1" applyAlignment="1">
      <alignment horizontal="center"/>
    </xf>
    <xf numFmtId="0" fontId="75" fillId="12" borderId="12" xfId="0" applyFont="1" applyFill="1" applyBorder="1" applyAlignment="1">
      <alignment horizontal="centerContinuous" vertical="center"/>
    </xf>
    <xf numFmtId="0" fontId="73" fillId="12" borderId="10" xfId="0" applyFont="1" applyFill="1" applyBorder="1" applyAlignment="1">
      <alignment horizontal="centerContinuous" vertical="center"/>
    </xf>
    <xf numFmtId="0" fontId="78" fillId="12" borderId="10" xfId="0" applyFont="1" applyFill="1" applyBorder="1" applyAlignment="1">
      <alignment horizontal="centerContinuous" vertical="center"/>
    </xf>
    <xf numFmtId="0" fontId="78" fillId="12" borderId="14" xfId="0" applyFont="1" applyFill="1" applyBorder="1" applyAlignment="1">
      <alignment horizontal="centerContinuous" vertical="center"/>
    </xf>
    <xf numFmtId="0" fontId="73" fillId="12" borderId="5" xfId="2" applyNumberFormat="1" applyFont="1" applyFill="1" applyBorder="1" applyAlignment="1">
      <alignment vertical="center"/>
    </xf>
    <xf numFmtId="0" fontId="74" fillId="12" borderId="5" xfId="2" applyNumberFormat="1" applyFont="1" applyFill="1" applyBorder="1" applyAlignment="1">
      <alignment vertical="center"/>
    </xf>
    <xf numFmtId="0" fontId="74" fillId="12" borderId="8" xfId="2" applyNumberFormat="1" applyFont="1" applyFill="1" applyBorder="1" applyAlignment="1">
      <alignment vertical="center"/>
    </xf>
    <xf numFmtId="0" fontId="74" fillId="12" borderId="4" xfId="2" applyNumberFormat="1" applyFont="1" applyFill="1" applyBorder="1" applyAlignment="1">
      <alignment vertical="center"/>
    </xf>
    <xf numFmtId="0" fontId="74" fillId="12" borderId="11" xfId="2" applyNumberFormat="1" applyFont="1" applyFill="1" applyBorder="1" applyAlignment="1">
      <alignment horizontal="centerContinuous"/>
    </xf>
    <xf numFmtId="0" fontId="74" fillId="12" borderId="2" xfId="2" applyNumberFormat="1" applyFont="1" applyFill="1" applyBorder="1" applyAlignment="1">
      <alignment horizontal="centerContinuous"/>
    </xf>
    <xf numFmtId="0" fontId="75" fillId="12" borderId="12" xfId="2" applyNumberFormat="1" applyFont="1" applyFill="1" applyBorder="1" applyAlignment="1">
      <alignment horizontal="left"/>
    </xf>
    <xf numFmtId="0" fontId="74" fillId="12" borderId="12" xfId="2" applyNumberFormat="1" applyFont="1" applyFill="1" applyBorder="1"/>
    <xf numFmtId="0" fontId="74" fillId="12" borderId="12" xfId="2" applyNumberFormat="1" applyFont="1" applyFill="1" applyBorder="1" applyAlignment="1">
      <alignment horizontal="centerContinuous"/>
    </xf>
    <xf numFmtId="0" fontId="73" fillId="12" borderId="6" xfId="2" applyNumberFormat="1" applyFont="1" applyFill="1" applyBorder="1" applyAlignment="1">
      <alignment horizontal="center" vertical="center"/>
    </xf>
    <xf numFmtId="0" fontId="74" fillId="12" borderId="6" xfId="2" applyNumberFormat="1" applyFont="1" applyFill="1" applyBorder="1" applyAlignment="1">
      <alignment vertical="center"/>
    </xf>
    <xf numFmtId="0" fontId="74" fillId="12" borderId="5" xfId="2" applyNumberFormat="1" applyFont="1" applyFill="1" applyBorder="1" applyAlignment="1">
      <alignment horizontal="center" vertical="center"/>
    </xf>
    <xf numFmtId="0" fontId="93" fillId="12" borderId="9" xfId="2" applyNumberFormat="1" applyFont="1" applyFill="1" applyBorder="1" applyAlignment="1">
      <alignment horizontal="centerContinuous" vertical="center"/>
    </xf>
    <xf numFmtId="0" fontId="93" fillId="12" borderId="8" xfId="2" applyNumberFormat="1" applyFont="1" applyFill="1" applyBorder="1" applyAlignment="1">
      <alignment horizontal="centerContinuous" vertical="center"/>
    </xf>
    <xf numFmtId="0" fontId="93" fillId="12" borderId="4" xfId="2" applyNumberFormat="1" applyFont="1" applyFill="1" applyBorder="1" applyAlignment="1">
      <alignment horizontal="centerContinuous" vertical="center"/>
    </xf>
    <xf numFmtId="0" fontId="93" fillId="12" borderId="0" xfId="2" applyNumberFormat="1" applyFont="1" applyFill="1" applyAlignment="1">
      <alignment horizontal="centerContinuous" vertical="center"/>
    </xf>
    <xf numFmtId="0" fontId="93" fillId="12" borderId="7" xfId="2" applyNumberFormat="1" applyFont="1" applyFill="1" applyBorder="1" applyAlignment="1">
      <alignment vertical="center"/>
    </xf>
    <xf numFmtId="0" fontId="93" fillId="12" borderId="13" xfId="2" applyNumberFormat="1" applyFont="1" applyFill="1" applyBorder="1" applyAlignment="1">
      <alignment vertical="center"/>
    </xf>
    <xf numFmtId="0" fontId="93" fillId="12" borderId="0" xfId="2" applyNumberFormat="1" applyFont="1" applyFill="1" applyAlignment="1">
      <alignment vertical="center"/>
    </xf>
    <xf numFmtId="0" fontId="93" fillId="12" borderId="10" xfId="2" applyNumberFormat="1" applyFont="1" applyFill="1" applyBorder="1" applyAlignment="1">
      <alignment horizontal="centerContinuous" vertical="center"/>
    </xf>
    <xf numFmtId="0" fontId="93" fillId="12" borderId="15" xfId="2" applyNumberFormat="1" applyFont="1" applyFill="1" applyBorder="1" applyAlignment="1">
      <alignment horizontal="centerContinuous" vertical="center"/>
    </xf>
    <xf numFmtId="0" fontId="93" fillId="12" borderId="14" xfId="2" applyNumberFormat="1" applyFont="1" applyFill="1" applyBorder="1" applyAlignment="1">
      <alignment horizontal="centerContinuous" vertical="center"/>
    </xf>
    <xf numFmtId="0" fontId="75" fillId="12" borderId="3" xfId="2" applyNumberFormat="1" applyFont="1" applyFill="1" applyBorder="1" applyAlignment="1">
      <alignment horizontal="center" vertical="center" wrapText="1"/>
    </xf>
    <xf numFmtId="0" fontId="78" fillId="12" borderId="1" xfId="2" applyNumberFormat="1" applyFont="1" applyFill="1" applyBorder="1" applyAlignment="1">
      <alignment horizontal="center" vertical="center"/>
    </xf>
    <xf numFmtId="0" fontId="75" fillId="12" borderId="1" xfId="2" applyNumberFormat="1" applyFont="1" applyFill="1" applyBorder="1" applyAlignment="1">
      <alignment horizontal="center" vertical="center"/>
    </xf>
    <xf numFmtId="0" fontId="75" fillId="12" borderId="1" xfId="2" applyNumberFormat="1" applyFont="1" applyFill="1" applyBorder="1" applyAlignment="1">
      <alignment horizontal="center" vertical="center" wrapText="1"/>
    </xf>
    <xf numFmtId="0" fontId="78" fillId="12" borderId="15" xfId="2" applyNumberFormat="1" applyFont="1" applyFill="1" applyBorder="1" applyAlignment="1">
      <alignment horizontal="center" vertical="center" wrapText="1"/>
    </xf>
    <xf numFmtId="0" fontId="75" fillId="12" borderId="9" xfId="2" applyNumberFormat="1" applyFont="1" applyFill="1" applyBorder="1" applyAlignment="1">
      <alignment horizontal="center" vertical="center" wrapText="1"/>
    </xf>
    <xf numFmtId="0" fontId="75" fillId="12" borderId="8" xfId="2" applyNumberFormat="1" applyFont="1" applyFill="1" applyBorder="1" applyAlignment="1">
      <alignment horizontal="center" vertical="center"/>
    </xf>
    <xf numFmtId="0" fontId="75" fillId="12" borderId="14" xfId="2" applyNumberFormat="1" applyFont="1" applyFill="1" applyBorder="1" applyAlignment="1">
      <alignment horizontal="center" vertical="top" wrapText="1"/>
    </xf>
    <xf numFmtId="0" fontId="75" fillId="12" borderId="4" xfId="2" applyNumberFormat="1" applyFont="1" applyFill="1" applyBorder="1" applyAlignment="1">
      <alignment horizontal="center" vertical="center" wrapText="1"/>
    </xf>
    <xf numFmtId="0" fontId="75" fillId="12" borderId="4" xfId="2" applyNumberFormat="1" applyFont="1" applyFill="1" applyBorder="1" applyAlignment="1">
      <alignment horizontal="center" vertical="center"/>
    </xf>
    <xf numFmtId="171" fontId="75" fillId="12" borderId="15" xfId="2" applyFont="1" applyFill="1" applyBorder="1" applyAlignment="1">
      <alignment horizontal="center" vertical="center"/>
    </xf>
    <xf numFmtId="171" fontId="75" fillId="12" borderId="3" xfId="2" applyFont="1" applyFill="1" applyBorder="1" applyAlignment="1">
      <alignment horizontal="center" vertical="center" wrapText="1"/>
    </xf>
    <xf numFmtId="0" fontId="76" fillId="0" borderId="0" xfId="2" applyNumberFormat="1" applyFont="1" applyAlignment="1">
      <alignment horizontal="centerContinuous"/>
    </xf>
    <xf numFmtId="0" fontId="77" fillId="0" borderId="0" xfId="2" applyNumberFormat="1" applyFont="1" applyAlignment="1">
      <alignment horizontal="centerContinuous"/>
    </xf>
    <xf numFmtId="0" fontId="94" fillId="0" borderId="0" xfId="2" applyNumberFormat="1" applyFont="1" applyAlignment="1">
      <alignment horizontal="centerContinuous"/>
    </xf>
    <xf numFmtId="171" fontId="77" fillId="0" borderId="0" xfId="2" applyFont="1"/>
    <xf numFmtId="0" fontId="77" fillId="0" borderId="0" xfId="2" applyNumberFormat="1" applyFont="1"/>
    <xf numFmtId="0" fontId="73" fillId="12" borderId="1" xfId="2" applyNumberFormat="1" applyFont="1" applyFill="1" applyBorder="1" applyAlignment="1">
      <alignment horizontal="center" vertical="center"/>
    </xf>
    <xf numFmtId="0" fontId="86" fillId="12" borderId="3" xfId="0" applyFont="1" applyFill="1" applyBorder="1" applyAlignment="1">
      <alignment horizontal="center" vertical="center" wrapText="1"/>
    </xf>
    <xf numFmtId="0" fontId="73" fillId="12" borderId="3" xfId="2" applyNumberFormat="1" applyFont="1" applyFill="1" applyBorder="1" applyAlignment="1">
      <alignment horizontal="center" vertical="center"/>
    </xf>
    <xf numFmtId="3" fontId="73" fillId="12" borderId="10" xfId="0" applyNumberFormat="1" applyFont="1" applyFill="1" applyBorder="1" applyAlignment="1">
      <alignment horizontal="center" vertical="center"/>
    </xf>
    <xf numFmtId="3" fontId="73" fillId="12" borderId="15" xfId="0" applyNumberFormat="1" applyFont="1" applyFill="1" applyBorder="1" applyAlignment="1">
      <alignment horizontal="center" vertical="center"/>
    </xf>
    <xf numFmtId="165" fontId="73" fillId="12" borderId="14" xfId="0" applyNumberFormat="1" applyFont="1" applyFill="1" applyBorder="1" applyAlignment="1">
      <alignment horizontal="center" vertical="center"/>
    </xf>
    <xf numFmtId="165" fontId="80" fillId="12" borderId="14" xfId="0" applyNumberFormat="1" applyFont="1" applyFill="1" applyBorder="1" applyAlignment="1">
      <alignment horizontal="center" vertical="center"/>
    </xf>
    <xf numFmtId="0" fontId="73" fillId="12" borderId="5" xfId="2" applyNumberFormat="1" applyFont="1" applyFill="1" applyBorder="1" applyAlignment="1">
      <alignment horizontal="center" vertical="center"/>
    </xf>
    <xf numFmtId="0" fontId="73" fillId="12" borderId="11" xfId="3" applyFont="1" applyFill="1" applyBorder="1" applyAlignment="1">
      <alignment vertical="center"/>
    </xf>
    <xf numFmtId="0" fontId="75" fillId="12" borderId="11" xfId="4" applyFont="1" applyFill="1" applyBorder="1" applyAlignment="1">
      <alignment horizontal="center" vertical="center"/>
    </xf>
    <xf numFmtId="0" fontId="74" fillId="12" borderId="11" xfId="3" applyFont="1" applyFill="1" applyBorder="1" applyAlignment="1">
      <alignment horizontal="centerContinuous" vertical="center"/>
    </xf>
    <xf numFmtId="0" fontId="74" fillId="12" borderId="5" xfId="3" applyFont="1" applyFill="1" applyBorder="1" applyAlignment="1">
      <alignment horizontal="centerContinuous" vertical="center"/>
    </xf>
    <xf numFmtId="0" fontId="74" fillId="12" borderId="2" xfId="3" applyFont="1" applyFill="1" applyBorder="1" applyAlignment="1">
      <alignment horizontal="centerContinuous" vertical="center"/>
    </xf>
    <xf numFmtId="0" fontId="73" fillId="12" borderId="10" xfId="3" applyFont="1" applyFill="1" applyBorder="1" applyAlignment="1">
      <alignment horizontal="center" vertical="top"/>
    </xf>
    <xf numFmtId="0" fontId="75" fillId="12" borderId="10" xfId="4" applyFont="1" applyFill="1" applyBorder="1" applyAlignment="1">
      <alignment horizontal="center" vertical="center"/>
    </xf>
    <xf numFmtId="0" fontId="74" fillId="12" borderId="10" xfId="3" applyFont="1" applyFill="1" applyBorder="1" applyAlignment="1">
      <alignment horizontal="centerContinuous" vertical="center"/>
    </xf>
    <xf numFmtId="0" fontId="74" fillId="12" borderId="3" xfId="3" applyFont="1" applyFill="1" applyBorder="1" applyAlignment="1">
      <alignment horizontal="centerContinuous" vertical="center"/>
    </xf>
    <xf numFmtId="0" fontId="74" fillId="12" borderId="14" xfId="3" applyFont="1" applyFill="1" applyBorder="1" applyAlignment="1">
      <alignment horizontal="centerContinuous" vertical="center"/>
    </xf>
    <xf numFmtId="0" fontId="73" fillId="12" borderId="10" xfId="3" applyFont="1" applyFill="1" applyBorder="1" applyAlignment="1">
      <alignment horizontal="centerContinuous" vertical="top"/>
    </xf>
    <xf numFmtId="0" fontId="73" fillId="12" borderId="11" xfId="3" applyFont="1" applyFill="1" applyBorder="1" applyAlignment="1">
      <alignment horizontal="centerContinuous" vertical="center"/>
    </xf>
    <xf numFmtId="0" fontId="73" fillId="12" borderId="5" xfId="3" applyFont="1" applyFill="1" applyBorder="1" applyAlignment="1">
      <alignment horizontal="centerContinuous" vertical="center"/>
    </xf>
    <xf numFmtId="0" fontId="73" fillId="12" borderId="2" xfId="3" applyFont="1" applyFill="1" applyBorder="1" applyAlignment="1">
      <alignment horizontal="centerContinuous" vertical="center"/>
    </xf>
    <xf numFmtId="0" fontId="73" fillId="12" borderId="10" xfId="3" applyFont="1" applyFill="1" applyBorder="1" applyAlignment="1">
      <alignment horizontal="centerContinuous" vertical="center"/>
    </xf>
    <xf numFmtId="0" fontId="73" fillId="12" borderId="3" xfId="3" applyFont="1" applyFill="1" applyBorder="1" applyAlignment="1">
      <alignment horizontal="centerContinuous" vertical="center"/>
    </xf>
    <xf numFmtId="0" fontId="73" fillId="12" borderId="14" xfId="3" applyFont="1" applyFill="1" applyBorder="1" applyAlignment="1">
      <alignment horizontal="centerContinuous" vertical="center"/>
    </xf>
    <xf numFmtId="0" fontId="78" fillId="12" borderId="11" xfId="5" applyFont="1" applyFill="1" applyBorder="1"/>
    <xf numFmtId="0" fontId="73" fillId="12" borderId="5" xfId="5" applyFont="1" applyFill="1" applyBorder="1" applyAlignment="1">
      <alignment vertical="center"/>
    </xf>
    <xf numFmtId="0" fontId="73" fillId="12" borderId="12" xfId="5" applyFont="1" applyFill="1" applyBorder="1" applyAlignment="1">
      <alignment horizontal="center" vertical="center"/>
    </xf>
    <xf numFmtId="0" fontId="73" fillId="12" borderId="12" xfId="5" applyFont="1" applyFill="1" applyBorder="1"/>
    <xf numFmtId="0" fontId="73" fillId="12" borderId="2" xfId="5" applyFont="1" applyFill="1" applyBorder="1" applyAlignment="1">
      <alignment horizontal="centerContinuous" vertical="center"/>
    </xf>
    <xf numFmtId="0" fontId="78" fillId="12" borderId="7" xfId="5" applyFont="1" applyFill="1" applyBorder="1" applyAlignment="1">
      <alignment vertical="top" wrapText="1"/>
    </xf>
    <xf numFmtId="0" fontId="74" fillId="12" borderId="6" xfId="5" applyFont="1" applyFill="1" applyBorder="1" applyAlignment="1">
      <alignment vertical="top"/>
    </xf>
    <xf numFmtId="0" fontId="78" fillId="12" borderId="10" xfId="5" applyFont="1" applyFill="1" applyBorder="1" applyAlignment="1">
      <alignment vertical="center"/>
    </xf>
    <xf numFmtId="0" fontId="73" fillId="12" borderId="3" xfId="5" applyFont="1" applyFill="1" applyBorder="1" applyAlignment="1">
      <alignment vertical="center"/>
    </xf>
    <xf numFmtId="0" fontId="73" fillId="12" borderId="14" xfId="5" applyFont="1" applyFill="1" applyBorder="1" applyAlignment="1">
      <alignment horizontal="center" vertical="center"/>
    </xf>
    <xf numFmtId="0" fontId="78" fillId="12" borderId="5" xfId="5" applyFont="1" applyFill="1" applyBorder="1"/>
    <xf numFmtId="0" fontId="73" fillId="12" borderId="12" xfId="5" applyFont="1" applyFill="1" applyBorder="1" applyAlignment="1">
      <alignment horizontal="centerContinuous" vertical="center"/>
    </xf>
    <xf numFmtId="0" fontId="78" fillId="12" borderId="3" xfId="5" applyFont="1" applyFill="1" applyBorder="1" applyAlignment="1">
      <alignment vertical="top" wrapText="1"/>
    </xf>
    <xf numFmtId="0" fontId="74" fillId="12" borderId="3" xfId="5" applyFont="1" applyFill="1" applyBorder="1" applyAlignment="1">
      <alignment vertical="top"/>
    </xf>
    <xf numFmtId="0" fontId="75" fillId="12" borderId="9" xfId="5" applyFont="1" applyFill="1" applyBorder="1" applyAlignment="1">
      <alignment horizontal="centerContinuous" vertical="center"/>
    </xf>
    <xf numFmtId="0" fontId="75" fillId="12" borderId="8" xfId="5" applyFont="1" applyFill="1" applyBorder="1" applyAlignment="1">
      <alignment horizontal="centerContinuous" vertical="center"/>
    </xf>
    <xf numFmtId="0" fontId="75" fillId="12" borderId="4" xfId="5" applyFont="1" applyFill="1" applyBorder="1" applyAlignment="1">
      <alignment horizontal="centerContinuous" vertical="center"/>
    </xf>
    <xf numFmtId="0" fontId="75" fillId="12" borderId="5" xfId="5" applyFont="1" applyFill="1" applyBorder="1" applyAlignment="1">
      <alignment horizontal="centerContinuous" vertical="center"/>
    </xf>
    <xf numFmtId="0" fontId="75" fillId="12" borderId="3" xfId="5" applyFont="1" applyFill="1" applyBorder="1" applyAlignment="1">
      <alignment horizontal="centerContinuous" vertical="center"/>
    </xf>
    <xf numFmtId="0" fontId="73" fillId="12" borderId="12" xfId="5" applyFont="1" applyFill="1" applyBorder="1" applyAlignment="1">
      <alignment vertical="center"/>
    </xf>
    <xf numFmtId="0" fontId="73" fillId="12" borderId="2" xfId="5" applyFont="1" applyFill="1" applyBorder="1" applyAlignment="1">
      <alignment horizontal="center" vertical="center"/>
    </xf>
    <xf numFmtId="0" fontId="75" fillId="12" borderId="1" xfId="5" applyFont="1" applyFill="1" applyBorder="1" applyAlignment="1">
      <alignment horizontal="centerContinuous" vertical="center"/>
    </xf>
    <xf numFmtId="0" fontId="73" fillId="12" borderId="13" xfId="5" applyFont="1" applyFill="1" applyBorder="1" applyAlignment="1">
      <alignment vertical="center"/>
    </xf>
    <xf numFmtId="0" fontId="73" fillId="12" borderId="2" xfId="5" applyFont="1" applyFill="1" applyBorder="1" applyAlignment="1">
      <alignment vertical="center"/>
    </xf>
    <xf numFmtId="0" fontId="74" fillId="12" borderId="13" xfId="5" applyFont="1" applyFill="1" applyBorder="1" applyAlignment="1">
      <alignment vertical="top"/>
    </xf>
    <xf numFmtId="0" fontId="73" fillId="12" borderId="14" xfId="5" applyFont="1" applyFill="1" applyBorder="1" applyAlignment="1">
      <alignment vertical="center"/>
    </xf>
    <xf numFmtId="0" fontId="74" fillId="12" borderId="1" xfId="0" applyFont="1" applyFill="1" applyBorder="1" applyAlignment="1">
      <alignment horizontal="centerContinuous" vertical="center"/>
    </xf>
    <xf numFmtId="3" fontId="86" fillId="12" borderId="10" xfId="0" applyNumberFormat="1" applyFont="1" applyFill="1" applyBorder="1" applyAlignment="1">
      <alignment horizontal="center" vertical="center"/>
    </xf>
    <xf numFmtId="0" fontId="74" fillId="12" borderId="2" xfId="0" applyFont="1" applyFill="1" applyBorder="1" applyAlignment="1">
      <alignment horizontal="center" vertical="center"/>
    </xf>
    <xf numFmtId="0" fontId="74" fillId="12" borderId="12" xfId="0" applyFont="1" applyFill="1" applyBorder="1" applyAlignment="1">
      <alignment horizontal="center" vertical="center"/>
    </xf>
    <xf numFmtId="0" fontId="75" fillId="12" borderId="11" xfId="0" applyFont="1" applyFill="1" applyBorder="1" applyAlignment="1">
      <alignment horizontal="centerContinuous" vertical="center" wrapText="1"/>
    </xf>
    <xf numFmtId="0" fontId="75" fillId="12" borderId="1" xfId="0" applyFont="1" applyFill="1" applyBorder="1" applyAlignment="1">
      <alignment horizontal="centerContinuous" vertical="center"/>
    </xf>
    <xf numFmtId="0" fontId="74" fillId="12" borderId="2" xfId="0" applyFont="1" applyFill="1" applyBorder="1" applyAlignment="1">
      <alignment horizontal="centerContinuous" vertical="center"/>
    </xf>
    <xf numFmtId="41" fontId="0" fillId="0" borderId="13" xfId="13" applyFont="1" applyBorder="1" applyAlignment="1">
      <alignment horizontal="center"/>
    </xf>
    <xf numFmtId="41" fontId="0" fillId="0" borderId="6" xfId="13" applyFont="1" applyBorder="1" applyAlignment="1">
      <alignment horizontal="center"/>
    </xf>
    <xf numFmtId="41" fontId="0" fillId="0" borderId="13" xfId="13" applyFont="1" applyBorder="1" applyAlignment="1">
      <alignment horizontal="left" vertical="center"/>
    </xf>
    <xf numFmtId="41" fontId="56" fillId="0" borderId="14" xfId="13" applyFont="1" applyBorder="1" applyAlignment="1">
      <alignment horizontal="centerContinuous"/>
    </xf>
    <xf numFmtId="176" fontId="0" fillId="0" borderId="0" xfId="14" applyNumberFormat="1" applyFont="1"/>
    <xf numFmtId="10" fontId="0" fillId="0" borderId="0" xfId="14" applyNumberFormat="1" applyFont="1"/>
    <xf numFmtId="0" fontId="75" fillId="12" borderId="6" xfId="0" applyFont="1" applyFill="1" applyBorder="1" applyAlignment="1">
      <alignment vertical="center"/>
    </xf>
    <xf numFmtId="0" fontId="95" fillId="0" borderId="0" xfId="0" applyFont="1" applyAlignment="1">
      <alignment horizontal="centerContinuous"/>
    </xf>
    <xf numFmtId="0" fontId="96" fillId="0" borderId="0" xfId="0" applyFont="1" applyAlignment="1">
      <alignment horizontal="centerContinuous"/>
    </xf>
    <xf numFmtId="0" fontId="96" fillId="0" borderId="0" xfId="0" applyFont="1"/>
    <xf numFmtId="176" fontId="0" fillId="0" borderId="0" xfId="14" applyNumberFormat="1" applyFont="1" applyAlignment="1">
      <alignment vertical="center"/>
    </xf>
    <xf numFmtId="0" fontId="74" fillId="12" borderId="1" xfId="0" applyFont="1" applyFill="1" applyBorder="1" applyAlignment="1">
      <alignment horizontal="center"/>
    </xf>
    <xf numFmtId="0" fontId="74" fillId="12" borderId="4" xfId="0" applyFont="1" applyFill="1" applyBorder="1" applyAlignment="1">
      <alignment horizontal="center"/>
    </xf>
    <xf numFmtId="176" fontId="6" fillId="0" borderId="7" xfId="14" applyNumberFormat="1" applyFont="1" applyFill="1" applyBorder="1" applyAlignment="1">
      <alignment horizontal="center"/>
    </xf>
    <xf numFmtId="0" fontId="74" fillId="12" borderId="5" xfId="0" applyFont="1" applyFill="1" applyBorder="1"/>
    <xf numFmtId="0" fontId="74" fillId="12" borderId="9" xfId="0" applyFont="1" applyFill="1" applyBorder="1"/>
    <xf numFmtId="0" fontId="74" fillId="12" borderId="4" xfId="0" applyFont="1" applyFill="1" applyBorder="1"/>
    <xf numFmtId="0" fontId="25" fillId="0" borderId="0" xfId="0" applyFont="1" applyAlignment="1">
      <alignment horizontal="centerContinuous"/>
    </xf>
    <xf numFmtId="0" fontId="74" fillId="0" borderId="0" xfId="0" applyFont="1"/>
    <xf numFmtId="3" fontId="74" fillId="0" borderId="0" xfId="0" applyNumberFormat="1" applyFont="1"/>
    <xf numFmtId="0" fontId="74" fillId="0" borderId="0" xfId="0" applyFont="1" applyAlignment="1">
      <alignment vertical="center"/>
    </xf>
    <xf numFmtId="3" fontId="74" fillId="0" borderId="0" xfId="0" applyNumberFormat="1" applyFont="1" applyAlignment="1">
      <alignment vertical="center"/>
    </xf>
    <xf numFmtId="2" fontId="74" fillId="0" borderId="0" xfId="0" applyNumberFormat="1" applyFont="1" applyAlignment="1">
      <alignment vertical="center"/>
    </xf>
    <xf numFmtId="2" fontId="74" fillId="0" borderId="0" xfId="0" applyNumberFormat="1" applyFont="1"/>
    <xf numFmtId="0" fontId="73" fillId="0" borderId="0" xfId="0" applyFont="1"/>
    <xf numFmtId="165" fontId="73" fillId="0" borderId="0" xfId="0" applyNumberFormat="1" applyFont="1"/>
    <xf numFmtId="0" fontId="73" fillId="0" borderId="0" xfId="0" applyFont="1" applyAlignment="1">
      <alignment horizontal="right"/>
    </xf>
    <xf numFmtId="0" fontId="30" fillId="0" borderId="0" xfId="0" applyFont="1" applyAlignment="1">
      <alignment horizontal="left" wrapText="1"/>
    </xf>
    <xf numFmtId="0" fontId="27" fillId="0" borderId="0" xfId="0" applyFont="1" applyAlignment="1">
      <alignment horizontal="center"/>
    </xf>
    <xf numFmtId="0" fontId="12" fillId="0" borderId="0" xfId="0" applyFont="1" applyAlignment="1">
      <alignment horizontal="center" vertical="center"/>
    </xf>
    <xf numFmtId="0" fontId="76" fillId="0" borderId="0" xfId="0" applyFont="1" applyAlignment="1">
      <alignment horizontal="center"/>
    </xf>
    <xf numFmtId="0" fontId="0" fillId="0" borderId="0" xfId="0" applyAlignment="1">
      <alignment horizontal="center"/>
    </xf>
    <xf numFmtId="0" fontId="21" fillId="4" borderId="0" xfId="0" applyFont="1" applyFill="1" applyAlignment="1">
      <alignment horizontal="center"/>
    </xf>
    <xf numFmtId="0" fontId="4" fillId="0" borderId="0" xfId="0" applyFont="1" applyAlignment="1">
      <alignment horizontal="center"/>
    </xf>
    <xf numFmtId="0" fontId="97" fillId="0" borderId="0" xfId="0" applyFont="1" applyAlignment="1">
      <alignment horizontal="center"/>
    </xf>
    <xf numFmtId="0" fontId="2" fillId="0" borderId="0" xfId="0" applyFont="1" applyAlignment="1">
      <alignment horizontal="left" wrapText="1"/>
    </xf>
    <xf numFmtId="0" fontId="41" fillId="0" borderId="0" xfId="0" applyFont="1" applyAlignment="1">
      <alignment horizontal="center"/>
    </xf>
    <xf numFmtId="0" fontId="78" fillId="12" borderId="6" xfId="0" applyFont="1" applyFill="1" applyBorder="1" applyAlignment="1">
      <alignment horizontal="center" vertical="center" wrapText="1"/>
    </xf>
    <xf numFmtId="0" fontId="78" fillId="12" borderId="3" xfId="0" applyFont="1" applyFill="1" applyBorder="1" applyAlignment="1">
      <alignment horizontal="center" vertical="center" wrapText="1"/>
    </xf>
    <xf numFmtId="0" fontId="75" fillId="12" borderId="57" xfId="0" applyFont="1" applyFill="1" applyBorder="1" applyAlignment="1">
      <alignment horizontal="center" vertical="center"/>
    </xf>
    <xf numFmtId="0" fontId="75" fillId="12" borderId="15" xfId="0" applyFont="1" applyFill="1" applyBorder="1" applyAlignment="1">
      <alignment horizontal="center" vertical="center"/>
    </xf>
    <xf numFmtId="0" fontId="75" fillId="12" borderId="58" xfId="0" applyFont="1" applyFill="1" applyBorder="1" applyAlignment="1">
      <alignment horizontal="center" vertical="center"/>
    </xf>
    <xf numFmtId="0" fontId="73" fillId="12" borderId="9" xfId="0" applyFont="1" applyFill="1" applyBorder="1" applyAlignment="1">
      <alignment horizontal="center" vertical="center"/>
    </xf>
    <xf numFmtId="0" fontId="73" fillId="12" borderId="8" xfId="0" applyFont="1" applyFill="1" applyBorder="1" applyAlignment="1">
      <alignment horizontal="center" vertical="center"/>
    </xf>
    <xf numFmtId="0" fontId="73" fillId="12" borderId="4" xfId="0" applyFont="1" applyFill="1" applyBorder="1" applyAlignment="1">
      <alignment horizontal="center" vertical="center"/>
    </xf>
    <xf numFmtId="0" fontId="75" fillId="12" borderId="8" xfId="0" applyFont="1" applyFill="1" applyBorder="1" applyAlignment="1">
      <alignment horizontal="center" vertical="center"/>
    </xf>
    <xf numFmtId="0" fontId="75" fillId="12" borderId="44" xfId="0" applyFont="1" applyFill="1" applyBorder="1" applyAlignment="1">
      <alignment horizontal="center" vertical="top" wrapText="1"/>
    </xf>
    <xf numFmtId="0" fontId="75" fillId="12" borderId="45" xfId="0" applyFont="1" applyFill="1" applyBorder="1" applyAlignment="1">
      <alignment horizontal="center" vertical="top" wrapText="1"/>
    </xf>
    <xf numFmtId="0" fontId="75" fillId="12" borderId="43" xfId="0" applyFont="1" applyFill="1" applyBorder="1" applyAlignment="1">
      <alignment horizontal="center" vertical="top" wrapText="1"/>
    </xf>
    <xf numFmtId="0" fontId="75" fillId="12" borderId="43" xfId="0" applyFont="1" applyFill="1" applyBorder="1" applyAlignment="1">
      <alignment horizontal="center" vertical="center"/>
    </xf>
    <xf numFmtId="0" fontId="75" fillId="12" borderId="44" xfId="0" applyFont="1" applyFill="1" applyBorder="1" applyAlignment="1">
      <alignment horizontal="center" vertical="center"/>
    </xf>
    <xf numFmtId="0" fontId="75" fillId="12" borderId="45" xfId="0" applyFont="1" applyFill="1" applyBorder="1" applyAlignment="1">
      <alignment horizontal="center" vertical="center"/>
    </xf>
    <xf numFmtId="0" fontId="74" fillId="12" borderId="5" xfId="0" applyFont="1" applyFill="1" applyBorder="1" applyAlignment="1">
      <alignment horizontal="center" vertical="center"/>
    </xf>
    <xf numFmtId="0" fontId="74" fillId="12" borderId="3" xfId="0" applyFont="1" applyFill="1" applyBorder="1" applyAlignment="1">
      <alignment horizontal="center" vertical="center"/>
    </xf>
    <xf numFmtId="0" fontId="3" fillId="0" borderId="0" xfId="0" applyFont="1" applyAlignment="1">
      <alignment horizontal="center"/>
    </xf>
    <xf numFmtId="0" fontId="2" fillId="0" borderId="0" xfId="0" applyFont="1" applyAlignment="1">
      <alignment horizontal="left" vertical="center" wrapText="1"/>
    </xf>
    <xf numFmtId="0" fontId="27" fillId="0" borderId="0" xfId="0" applyFont="1" applyAlignment="1">
      <alignment horizontal="center" vertical="center"/>
    </xf>
    <xf numFmtId="0" fontId="74" fillId="12" borderId="9" xfId="0" applyFont="1" applyFill="1" applyBorder="1" applyAlignment="1">
      <alignment horizontal="center" vertical="center" wrapText="1"/>
    </xf>
    <xf numFmtId="0" fontId="74" fillId="12" borderId="8" xfId="0" applyFont="1" applyFill="1" applyBorder="1" applyAlignment="1">
      <alignment horizontal="center" vertical="center" wrapText="1"/>
    </xf>
    <xf numFmtId="0" fontId="74" fillId="12" borderId="4" xfId="0" applyFont="1" applyFill="1" applyBorder="1" applyAlignment="1">
      <alignment horizontal="center" vertical="center" wrapText="1"/>
    </xf>
    <xf numFmtId="0" fontId="74" fillId="12" borderId="10" xfId="0" applyFont="1" applyFill="1" applyBorder="1" applyAlignment="1">
      <alignment horizontal="center" vertical="center"/>
    </xf>
    <xf numFmtId="0" fontId="74" fillId="12" borderId="14" xfId="0" applyFont="1" applyFill="1" applyBorder="1" applyAlignment="1">
      <alignment horizontal="center" vertical="center"/>
    </xf>
    <xf numFmtId="17" fontId="76" fillId="0" borderId="0" xfId="0" quotePrefix="1" applyNumberFormat="1" applyFont="1" applyAlignment="1">
      <alignment horizontal="center"/>
    </xf>
    <xf numFmtId="0" fontId="74" fillId="12" borderId="11" xfId="0" applyFont="1" applyFill="1" applyBorder="1" applyAlignment="1">
      <alignment horizontal="center" vertical="center"/>
    </xf>
    <xf numFmtId="0" fontId="74" fillId="12" borderId="2" xfId="0" applyFont="1" applyFill="1" applyBorder="1" applyAlignment="1">
      <alignment horizontal="center" vertical="center"/>
    </xf>
    <xf numFmtId="0" fontId="74" fillId="12" borderId="12" xfId="0" applyFont="1" applyFill="1" applyBorder="1" applyAlignment="1">
      <alignment horizontal="center" vertical="center"/>
    </xf>
    <xf numFmtId="0" fontId="74" fillId="12" borderId="15" xfId="0" applyFont="1" applyFill="1" applyBorder="1" applyAlignment="1">
      <alignment horizontal="center" vertical="center"/>
    </xf>
    <xf numFmtId="0" fontId="74" fillId="12" borderId="60" xfId="0" applyFont="1" applyFill="1" applyBorder="1" applyAlignment="1">
      <alignment horizontal="center" vertical="center"/>
    </xf>
    <xf numFmtId="0" fontId="74" fillId="12" borderId="53" xfId="0" applyFont="1" applyFill="1" applyBorder="1" applyAlignment="1">
      <alignment horizontal="center" vertical="center"/>
    </xf>
    <xf numFmtId="0" fontId="74" fillId="12" borderId="6" xfId="0" applyFont="1" applyFill="1" applyBorder="1" applyAlignment="1">
      <alignment horizontal="center" vertical="center"/>
    </xf>
    <xf numFmtId="0" fontId="75" fillId="12" borderId="10" xfId="0" applyFont="1" applyFill="1" applyBorder="1" applyAlignment="1">
      <alignment horizontal="center" vertical="center" wrapText="1"/>
    </xf>
    <xf numFmtId="0" fontId="75" fillId="12" borderId="14" xfId="0" applyFont="1" applyFill="1" applyBorder="1" applyAlignment="1">
      <alignment horizontal="center" vertical="center" wrapText="1"/>
    </xf>
    <xf numFmtId="0" fontId="21" fillId="0" borderId="0" xfId="0" applyFont="1" applyAlignment="1">
      <alignment horizontal="center"/>
    </xf>
    <xf numFmtId="0" fontId="74" fillId="12" borderId="12" xfId="0" applyFont="1" applyFill="1" applyBorder="1" applyAlignment="1">
      <alignment horizontal="center" vertical="center" wrapText="1"/>
    </xf>
    <xf numFmtId="0" fontId="74" fillId="12" borderId="11" xfId="0" applyFont="1" applyFill="1" applyBorder="1" applyAlignment="1">
      <alignment horizontal="center" vertical="center" wrapText="1"/>
    </xf>
    <xf numFmtId="0" fontId="74" fillId="12" borderId="9" xfId="0" applyFont="1" applyFill="1" applyBorder="1" applyAlignment="1">
      <alignment horizontal="center" vertical="center"/>
    </xf>
    <xf numFmtId="0" fontId="74" fillId="12" borderId="8" xfId="0" applyFont="1" applyFill="1" applyBorder="1" applyAlignment="1">
      <alignment horizontal="center" vertical="center"/>
    </xf>
    <xf numFmtId="0" fontId="74" fillId="12" borderId="4" xfId="0" applyFont="1" applyFill="1" applyBorder="1" applyAlignment="1">
      <alignment horizontal="center" vertical="center"/>
    </xf>
    <xf numFmtId="0" fontId="84" fillId="0" borderId="0" xfId="0" applyFont="1" applyAlignment="1">
      <alignment horizontal="center" vertical="center" wrapText="1"/>
    </xf>
    <xf numFmtId="0" fontId="84" fillId="0" borderId="0" xfId="0" applyFont="1" applyAlignment="1">
      <alignment horizontal="center"/>
    </xf>
    <xf numFmtId="0" fontId="73" fillId="12" borderId="9" xfId="0" applyFont="1" applyFill="1" applyBorder="1" applyAlignment="1">
      <alignment horizontal="center"/>
    </xf>
    <xf numFmtId="0" fontId="73" fillId="12" borderId="8" xfId="0" applyFont="1" applyFill="1" applyBorder="1" applyAlignment="1">
      <alignment horizontal="center"/>
    </xf>
    <xf numFmtId="0" fontId="74" fillId="12" borderId="7" xfId="0" applyFont="1" applyFill="1" applyBorder="1" applyAlignment="1">
      <alignment horizontal="center"/>
    </xf>
    <xf numFmtId="0" fontId="74" fillId="12" borderId="13" xfId="0" applyFont="1" applyFill="1" applyBorder="1" applyAlignment="1">
      <alignment horizontal="center"/>
    </xf>
    <xf numFmtId="0" fontId="74" fillId="12" borderId="10" xfId="0" applyFont="1" applyFill="1" applyBorder="1" applyAlignment="1">
      <alignment horizontal="center"/>
    </xf>
    <xf numFmtId="0" fontId="74" fillId="12" borderId="14" xfId="0" applyFont="1" applyFill="1" applyBorder="1" applyAlignment="1">
      <alignment horizontal="center"/>
    </xf>
    <xf numFmtId="0" fontId="75" fillId="12" borderId="11" xfId="0" applyFont="1" applyFill="1" applyBorder="1" applyAlignment="1">
      <alignment horizontal="center"/>
    </xf>
    <xf numFmtId="0" fontId="75" fillId="12" borderId="2" xfId="0" applyFont="1" applyFill="1" applyBorder="1" applyAlignment="1">
      <alignment horizontal="center"/>
    </xf>
    <xf numFmtId="0" fontId="21" fillId="0" borderId="0" xfId="0" applyFont="1" applyAlignment="1">
      <alignment horizontal="center" wrapText="1"/>
    </xf>
    <xf numFmtId="0" fontId="26" fillId="0" borderId="0" xfId="0" applyFont="1" applyAlignment="1">
      <alignment horizontal="left" vertical="center" wrapText="1"/>
    </xf>
    <xf numFmtId="0" fontId="2" fillId="0" borderId="12" xfId="0" applyFont="1" applyBorder="1" applyAlignment="1">
      <alignment horizontal="left" vertical="center" wrapText="1"/>
    </xf>
    <xf numFmtId="0" fontId="81" fillId="14" borderId="10" xfId="0" applyFont="1" applyFill="1" applyBorder="1" applyAlignment="1">
      <alignment horizontal="center" vertical="center"/>
    </xf>
    <xf numFmtId="0" fontId="81" fillId="14" borderId="15" xfId="0" applyFont="1" applyFill="1" applyBorder="1" applyAlignment="1">
      <alignment horizontal="center" vertical="center"/>
    </xf>
    <xf numFmtId="3" fontId="75" fillId="12" borderId="9" xfId="1" applyNumberFormat="1" applyFont="1" applyFill="1" applyBorder="1" applyAlignment="1" applyProtection="1">
      <alignment horizontal="center" vertical="center" wrapText="1"/>
      <protection locked="0"/>
    </xf>
    <xf numFmtId="3" fontId="75" fillId="12" borderId="4" xfId="1" applyNumberFormat="1" applyFont="1" applyFill="1" applyBorder="1" applyAlignment="1" applyProtection="1">
      <alignment horizontal="center" vertical="center" wrapText="1"/>
      <protection locked="0"/>
    </xf>
    <xf numFmtId="3" fontId="75" fillId="12" borderId="1" xfId="1" applyNumberFormat="1" applyFont="1" applyFill="1" applyBorder="1" applyAlignment="1" applyProtection="1">
      <alignment horizontal="center" vertical="center" wrapText="1"/>
      <protection locked="0"/>
    </xf>
    <xf numFmtId="0" fontId="1" fillId="0" borderId="0" xfId="0" applyFont="1" applyAlignment="1">
      <alignment horizontal="center"/>
    </xf>
    <xf numFmtId="0" fontId="81" fillId="12" borderId="4" xfId="1" applyFont="1" applyFill="1" applyBorder="1" applyAlignment="1">
      <alignment horizontal="center" vertical="center" wrapText="1"/>
    </xf>
    <xf numFmtId="0" fontId="81" fillId="12" borderId="1" xfId="1" applyFont="1" applyFill="1" applyBorder="1" applyAlignment="1">
      <alignment horizontal="center" vertical="center" wrapText="1"/>
    </xf>
    <xf numFmtId="3" fontId="78" fillId="12" borderId="1" xfId="1" applyNumberFormat="1" applyFont="1" applyFill="1" applyBorder="1" applyAlignment="1" applyProtection="1">
      <alignment horizontal="center" vertical="center" wrapText="1"/>
      <protection locked="0"/>
    </xf>
    <xf numFmtId="3" fontId="75" fillId="12" borderId="1" xfId="0" applyNumberFormat="1" applyFont="1" applyFill="1" applyBorder="1" applyAlignment="1">
      <alignment horizontal="center" vertical="center"/>
    </xf>
    <xf numFmtId="3" fontId="78" fillId="12" borderId="9" xfId="0" applyNumberFormat="1" applyFont="1" applyFill="1" applyBorder="1" applyAlignment="1">
      <alignment horizontal="center" vertical="center" wrapText="1"/>
    </xf>
    <xf numFmtId="3" fontId="78" fillId="12" borderId="8" xfId="0" applyNumberFormat="1" applyFont="1" applyFill="1" applyBorder="1" applyAlignment="1">
      <alignment horizontal="center" vertical="center" wrapText="1"/>
    </xf>
    <xf numFmtId="3" fontId="78" fillId="12" borderId="4" xfId="0" applyNumberFormat="1" applyFont="1" applyFill="1" applyBorder="1" applyAlignment="1">
      <alignment horizontal="center" vertical="center" wrapText="1"/>
    </xf>
    <xf numFmtId="3" fontId="75" fillId="12" borderId="9" xfId="0" applyNumberFormat="1" applyFont="1" applyFill="1" applyBorder="1" applyAlignment="1">
      <alignment horizontal="center" vertical="center"/>
    </xf>
    <xf numFmtId="3" fontId="75" fillId="12" borderId="43" xfId="0" applyNumberFormat="1" applyFont="1" applyFill="1" applyBorder="1" applyAlignment="1">
      <alignment horizontal="center" vertical="center" wrapText="1"/>
    </xf>
    <xf numFmtId="3" fontId="75" fillId="12" borderId="44" xfId="0" applyNumberFormat="1" applyFont="1" applyFill="1" applyBorder="1" applyAlignment="1">
      <alignment horizontal="center" vertical="center" wrapText="1"/>
    </xf>
    <xf numFmtId="3" fontId="75" fillId="12" borderId="45" xfId="0" applyNumberFormat="1" applyFont="1" applyFill="1" applyBorder="1" applyAlignment="1">
      <alignment horizontal="center" vertical="center" wrapText="1"/>
    </xf>
    <xf numFmtId="3" fontId="75" fillId="12" borderId="8" xfId="0" applyNumberFormat="1" applyFont="1" applyFill="1" applyBorder="1" applyAlignment="1">
      <alignment horizontal="center" vertical="center" wrapText="1"/>
    </xf>
    <xf numFmtId="3" fontId="73" fillId="12" borderId="33" xfId="0" applyNumberFormat="1" applyFont="1" applyFill="1" applyBorder="1" applyAlignment="1">
      <alignment horizontal="center" vertical="center"/>
    </xf>
    <xf numFmtId="3" fontId="73" fillId="12" borderId="34" xfId="0" applyNumberFormat="1" applyFont="1" applyFill="1" applyBorder="1" applyAlignment="1">
      <alignment horizontal="center" vertical="center"/>
    </xf>
    <xf numFmtId="0" fontId="1" fillId="0" borderId="0" xfId="0" applyFont="1" applyAlignment="1">
      <alignment horizontal="center" vertical="center"/>
    </xf>
    <xf numFmtId="0" fontId="41" fillId="0" borderId="0" xfId="0" applyFont="1" applyAlignment="1">
      <alignment horizontal="center" wrapText="1"/>
    </xf>
    <xf numFmtId="0" fontId="73" fillId="12" borderId="31" xfId="0" applyFont="1" applyFill="1" applyBorder="1" applyAlignment="1">
      <alignment horizontal="center" vertical="center"/>
    </xf>
    <xf numFmtId="0" fontId="73" fillId="12" borderId="32" xfId="0" applyFont="1" applyFill="1" applyBorder="1" applyAlignment="1">
      <alignment horizontal="center" vertical="center"/>
    </xf>
    <xf numFmtId="0" fontId="73" fillId="12" borderId="30" xfId="0" applyFont="1" applyFill="1" applyBorder="1" applyAlignment="1">
      <alignment horizontal="center" vertical="center"/>
    </xf>
    <xf numFmtId="0" fontId="17" fillId="0" borderId="0" xfId="0" applyFont="1" applyAlignment="1">
      <alignment horizontal="center" vertical="center"/>
    </xf>
    <xf numFmtId="0" fontId="78" fillId="12" borderId="9" xfId="0" applyFont="1" applyFill="1" applyBorder="1" applyAlignment="1">
      <alignment horizontal="center" vertical="center" wrapText="1"/>
    </xf>
    <xf numFmtId="0" fontId="78" fillId="12" borderId="4" xfId="0" applyFont="1" applyFill="1" applyBorder="1" applyAlignment="1">
      <alignment horizontal="center" vertical="center" wrapText="1"/>
    </xf>
    <xf numFmtId="0" fontId="25" fillId="0" borderId="0" xfId="0" applyFont="1" applyAlignment="1">
      <alignment horizontal="center"/>
    </xf>
    <xf numFmtId="0" fontId="81" fillId="12" borderId="10" xfId="0" applyFont="1" applyFill="1" applyBorder="1" applyAlignment="1">
      <alignment horizontal="center" vertical="center"/>
    </xf>
    <xf numFmtId="0" fontId="81" fillId="12" borderId="15" xfId="0" applyFont="1" applyFill="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6" fillId="0" borderId="9" xfId="0" applyFont="1" applyBorder="1" applyAlignment="1">
      <alignment horizontal="center" vertical="center" wrapText="1"/>
    </xf>
    <xf numFmtId="0" fontId="6" fillId="0" borderId="4" xfId="0" applyFont="1" applyBorder="1" applyAlignment="1">
      <alignment horizontal="center" vertical="center" wrapText="1"/>
    </xf>
    <xf numFmtId="0" fontId="75" fillId="12" borderId="9" xfId="0" applyFont="1" applyFill="1" applyBorder="1" applyAlignment="1">
      <alignment horizontal="center" vertical="center" wrapText="1"/>
    </xf>
    <xf numFmtId="0" fontId="75" fillId="12" borderId="4" xfId="0" applyFont="1" applyFill="1" applyBorder="1" applyAlignment="1">
      <alignment horizontal="center" vertical="center" wrapText="1"/>
    </xf>
    <xf numFmtId="0" fontId="42" fillId="0" borderId="0" xfId="0" applyFont="1" applyAlignment="1">
      <alignment horizontal="center"/>
    </xf>
    <xf numFmtId="0" fontId="24" fillId="0" borderId="0" xfId="0" applyFont="1" applyAlignment="1">
      <alignment horizontal="center"/>
    </xf>
    <xf numFmtId="0" fontId="89" fillId="12" borderId="9" xfId="0" applyFont="1" applyFill="1" applyBorder="1" applyAlignment="1">
      <alignment horizontal="center" vertical="center" wrapText="1"/>
    </xf>
    <xf numFmtId="0" fontId="89" fillId="12" borderId="8" xfId="0" applyFont="1" applyFill="1" applyBorder="1" applyAlignment="1">
      <alignment horizontal="center" vertical="center" wrapText="1"/>
    </xf>
    <xf numFmtId="0" fontId="75" fillId="12" borderId="9" xfId="0" applyFont="1" applyFill="1" applyBorder="1" applyAlignment="1">
      <alignment horizontal="center" vertical="center"/>
    </xf>
    <xf numFmtId="0" fontId="75" fillId="12" borderId="4" xfId="0" applyFont="1" applyFill="1" applyBorder="1" applyAlignment="1">
      <alignment horizontal="center" vertical="center"/>
    </xf>
    <xf numFmtId="0" fontId="91" fillId="12" borderId="4" xfId="0" applyFont="1" applyFill="1" applyBorder="1"/>
    <xf numFmtId="0" fontId="41" fillId="0" borderId="7" xfId="11" applyFont="1" applyBorder="1" applyAlignment="1" applyProtection="1">
      <alignment horizontal="center" vertical="center" wrapText="1"/>
      <protection hidden="1"/>
    </xf>
    <xf numFmtId="0" fontId="41" fillId="0" borderId="0" xfId="11" applyFont="1" applyAlignment="1" applyProtection="1">
      <alignment horizontal="center" vertical="center" wrapText="1"/>
      <protection hidden="1"/>
    </xf>
    <xf numFmtId="0" fontId="24" fillId="0" borderId="0" xfId="0" applyFont="1" applyAlignment="1">
      <alignment horizontal="center" wrapText="1"/>
    </xf>
    <xf numFmtId="0" fontId="75" fillId="12" borderId="5" xfId="9" applyFont="1" applyFill="1" applyBorder="1" applyAlignment="1" applyProtection="1">
      <alignment horizontal="center" wrapText="1"/>
    </xf>
    <xf numFmtId="0" fontId="75" fillId="12" borderId="6" xfId="9" applyFont="1" applyFill="1" applyBorder="1" applyAlignment="1" applyProtection="1">
      <alignment horizontal="center" wrapText="1"/>
    </xf>
    <xf numFmtId="0" fontId="74" fillId="12" borderId="8" xfId="2" applyNumberFormat="1" applyFont="1" applyFill="1" applyBorder="1" applyAlignment="1">
      <alignment horizontal="center" vertical="center"/>
    </xf>
    <xf numFmtId="0" fontId="76" fillId="0" borderId="0" xfId="2" applyNumberFormat="1" applyFont="1" applyAlignment="1">
      <alignment horizontal="center"/>
    </xf>
    <xf numFmtId="0" fontId="74" fillId="12" borderId="1" xfId="2" applyNumberFormat="1" applyFont="1" applyFill="1" applyBorder="1" applyAlignment="1">
      <alignment horizontal="center" vertical="center"/>
    </xf>
    <xf numFmtId="0" fontId="75" fillId="12" borderId="11" xfId="2" applyNumberFormat="1" applyFont="1" applyFill="1" applyBorder="1" applyAlignment="1">
      <alignment horizontal="center"/>
    </xf>
    <xf numFmtId="0" fontId="75" fillId="12" borderId="2" xfId="2" applyNumberFormat="1" applyFont="1" applyFill="1" applyBorder="1" applyAlignment="1">
      <alignment horizontal="center"/>
    </xf>
    <xf numFmtId="0" fontId="75" fillId="12" borderId="1" xfId="5" applyFont="1" applyFill="1" applyBorder="1" applyAlignment="1">
      <alignment horizontal="center" vertical="center"/>
    </xf>
    <xf numFmtId="0" fontId="9" fillId="0" borderId="1" xfId="5" applyFont="1" applyBorder="1" applyAlignment="1">
      <alignment horizontal="center" vertical="center"/>
    </xf>
    <xf numFmtId="0" fontId="73" fillId="12" borderId="11" xfId="5" applyFont="1" applyFill="1" applyBorder="1" applyAlignment="1">
      <alignment horizontal="center" vertical="center"/>
    </xf>
    <xf numFmtId="0" fontId="73" fillId="12" borderId="12" xfId="5" applyFont="1" applyFill="1" applyBorder="1" applyAlignment="1">
      <alignment horizontal="center" vertical="center"/>
    </xf>
    <xf numFmtId="0" fontId="75" fillId="12" borderId="12" xfId="5" applyFont="1" applyFill="1" applyBorder="1" applyAlignment="1">
      <alignment horizontal="center" vertical="top" wrapText="1"/>
    </xf>
    <xf numFmtId="0" fontId="75" fillId="12" borderId="2" xfId="5" applyFont="1" applyFill="1" applyBorder="1" applyAlignment="1">
      <alignment horizontal="center" vertical="top" wrapText="1"/>
    </xf>
    <xf numFmtId="0" fontId="75" fillId="12" borderId="4" xfId="5" applyFont="1" applyFill="1" applyBorder="1" applyAlignment="1">
      <alignment horizontal="center" vertical="center"/>
    </xf>
    <xf numFmtId="0" fontId="75" fillId="12" borderId="9" xfId="5" applyFont="1" applyFill="1" applyBorder="1" applyAlignment="1">
      <alignment horizontal="center" vertical="top" wrapText="1"/>
    </xf>
    <xf numFmtId="0" fontId="75" fillId="12" borderId="4" xfId="5" applyFont="1" applyFill="1" applyBorder="1" applyAlignment="1">
      <alignment horizontal="center" vertical="top" wrapText="1"/>
    </xf>
    <xf numFmtId="0" fontId="75" fillId="12" borderId="9" xfId="5" applyFont="1" applyFill="1" applyBorder="1" applyAlignment="1">
      <alignment horizontal="center" vertical="center"/>
    </xf>
    <xf numFmtId="0" fontId="75" fillId="12" borderId="8" xfId="5" applyFont="1" applyFill="1" applyBorder="1" applyAlignment="1">
      <alignment horizontal="center" vertical="center"/>
    </xf>
    <xf numFmtId="0" fontId="2" fillId="0" borderId="11" xfId="5" applyBorder="1" applyAlignment="1">
      <alignment horizontal="center" vertical="center"/>
    </xf>
    <xf numFmtId="0" fontId="2" fillId="0" borderId="12" xfId="5" applyBorder="1" applyAlignment="1">
      <alignment horizontal="center" vertical="center"/>
    </xf>
    <xf numFmtId="0" fontId="24" fillId="0" borderId="0" xfId="5" applyFont="1" applyAlignment="1">
      <alignment horizontal="center" vertical="center"/>
    </xf>
    <xf numFmtId="0" fontId="21" fillId="0" borderId="0" xfId="5" applyFont="1" applyAlignment="1">
      <alignment horizontal="center" vertical="center"/>
    </xf>
    <xf numFmtId="0" fontId="21" fillId="4" borderId="0" xfId="5" applyFont="1" applyFill="1" applyAlignment="1">
      <alignment horizontal="center" vertical="center"/>
    </xf>
    <xf numFmtId="0" fontId="21" fillId="0" borderId="0" xfId="5" applyFont="1" applyAlignment="1">
      <alignment horizontal="center"/>
    </xf>
    <xf numFmtId="0" fontId="73" fillId="12" borderId="3" xfId="0" applyFont="1" applyFill="1" applyBorder="1" applyAlignment="1">
      <alignment horizontal="centerContinuous" vertical="center"/>
    </xf>
    <xf numFmtId="0" fontId="25" fillId="0" borderId="0" xfId="0" applyFont="1" applyAlignment="1"/>
    <xf numFmtId="3" fontId="30" fillId="0" borderId="1" xfId="0" applyNumberFormat="1" applyFont="1" applyBorder="1" applyAlignment="1">
      <alignment horizontal="center" vertical="center"/>
    </xf>
    <xf numFmtId="0" fontId="73" fillId="12" borderId="1" xfId="0" applyFont="1" applyFill="1" applyBorder="1"/>
    <xf numFmtId="0" fontId="98" fillId="12" borderId="1" xfId="0" applyFont="1" applyFill="1" applyBorder="1" applyAlignment="1">
      <alignment horizontal="center" vertical="center"/>
    </xf>
    <xf numFmtId="2" fontId="30" fillId="0" borderId="1" xfId="0" applyNumberFormat="1" applyFont="1" applyBorder="1" applyAlignment="1">
      <alignment horizontal="center" vertical="center"/>
    </xf>
    <xf numFmtId="0" fontId="41" fillId="0" borderId="1" xfId="0" applyFont="1" applyBorder="1" applyAlignment="1">
      <alignment vertical="center"/>
    </xf>
    <xf numFmtId="3" fontId="1" fillId="0" borderId="1" xfId="0" applyNumberFormat="1" applyFont="1" applyBorder="1" applyAlignment="1">
      <alignment horizontal="center" vertical="center"/>
    </xf>
    <xf numFmtId="0" fontId="75" fillId="0" borderId="0" xfId="0" applyFont="1"/>
    <xf numFmtId="0" fontId="75" fillId="0" borderId="0" xfId="0" applyFont="1" applyAlignment="1">
      <alignment horizontal="centerContinuous" vertical="center"/>
    </xf>
    <xf numFmtId="0" fontId="75" fillId="0" borderId="0" xfId="0" applyFont="1" applyAlignment="1">
      <alignment vertical="center"/>
    </xf>
    <xf numFmtId="3" fontId="73" fillId="0" borderId="0" xfId="0" applyNumberFormat="1" applyFont="1"/>
    <xf numFmtId="2" fontId="73" fillId="0" borderId="0" xfId="0" applyNumberFormat="1" applyFont="1" applyAlignment="1">
      <alignment horizontal="center"/>
    </xf>
    <xf numFmtId="168" fontId="73" fillId="0" borderId="0" xfId="0" applyNumberFormat="1" applyFont="1"/>
    <xf numFmtId="168" fontId="75" fillId="0" borderId="0" xfId="0" applyNumberFormat="1" applyFont="1" applyAlignment="1">
      <alignment vertical="center"/>
    </xf>
    <xf numFmtId="3" fontId="75" fillId="0" borderId="0" xfId="0" applyNumberFormat="1" applyFont="1" applyAlignment="1">
      <alignment vertical="center"/>
    </xf>
    <xf numFmtId="3" fontId="73" fillId="0" borderId="0" xfId="0" applyNumberFormat="1" applyFont="1" applyAlignment="1">
      <alignment vertical="center"/>
    </xf>
    <xf numFmtId="0" fontId="99" fillId="0" borderId="0" xfId="0" applyFont="1"/>
    <xf numFmtId="0" fontId="76" fillId="0" borderId="0" xfId="2" applyNumberFormat="1" applyFont="1" applyAlignment="1">
      <alignment horizontal="center" vertical="center"/>
    </xf>
    <xf numFmtId="0" fontId="77" fillId="0" borderId="0" xfId="2" applyNumberFormat="1" applyFont="1" applyAlignment="1">
      <alignment horizontal="centerContinuous" vertical="center"/>
    </xf>
    <xf numFmtId="171" fontId="77" fillId="0" borderId="0" xfId="2" applyFont="1" applyAlignment="1">
      <alignment vertical="center"/>
    </xf>
    <xf numFmtId="0" fontId="76" fillId="0" borderId="0" xfId="2" applyNumberFormat="1" applyFont="1" applyAlignment="1">
      <alignment horizontal="centerContinuous" vertical="center"/>
    </xf>
  </cellXfs>
  <cellStyles count="16">
    <cellStyle name="Hipervínculo" xfId="12" builtinId="8"/>
    <cellStyle name="Millares [0]" xfId="13" builtinId="6"/>
    <cellStyle name="Normal" xfId="0" builtinId="0"/>
    <cellStyle name="Normal 2" xfId="10" xr:uid="{00000000-0005-0000-0000-000003000000}"/>
    <cellStyle name="Normal 3" xfId="15" xr:uid="{00000000-0005-0000-0000-000004000000}"/>
    <cellStyle name="Normal_APS" xfId="1" xr:uid="{00000000-0005-0000-0000-000005000000}"/>
    <cellStyle name="Normal_cap III-1" xfId="2" xr:uid="{00000000-0005-0000-0000-000006000000}"/>
    <cellStyle name="Normal_EGRE" xfId="3" xr:uid="{00000000-0005-0000-0000-000007000000}"/>
    <cellStyle name="Normal_ESTUDIO CAMAS 2009" xfId="4" xr:uid="{00000000-0005-0000-0000-000008000000}"/>
    <cellStyle name="Normal_ind" xfId="5" xr:uid="{00000000-0005-0000-0000-000009000000}"/>
    <cellStyle name="Normal_REM 04-2002" xfId="11" xr:uid="{00000000-0005-0000-0000-00000A000000}"/>
    <cellStyle name="Normal_REM 06-2002" xfId="6" xr:uid="{00000000-0005-0000-0000-00000B000000}"/>
    <cellStyle name="Normal_REM 09-2002" xfId="7" xr:uid="{00000000-0005-0000-0000-00000C000000}"/>
    <cellStyle name="Normal_REM 17-2002" xfId="8" xr:uid="{00000000-0005-0000-0000-00000D000000}"/>
    <cellStyle name="Normal_REM 20-2002" xfId="9" xr:uid="{00000000-0005-0000-0000-00000E000000}"/>
    <cellStyle name="Porcentaje" xfId="1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E23A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43.xml"/><Relationship Id="rId159" Type="http://schemas.openxmlformats.org/officeDocument/2006/relationships/externalLink" Target="externalLinks/externalLink64.xml"/><Relationship Id="rId170" Type="http://schemas.openxmlformats.org/officeDocument/2006/relationships/externalLink" Target="externalLinks/externalLink75.xml"/><Relationship Id="rId191" Type="http://schemas.openxmlformats.org/officeDocument/2006/relationships/styles" Target="styles.xml"/><Relationship Id="rId107" Type="http://schemas.openxmlformats.org/officeDocument/2006/relationships/externalLink" Target="externalLinks/externalLink1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33.xml"/><Relationship Id="rId149" Type="http://schemas.openxmlformats.org/officeDocument/2006/relationships/externalLink" Target="externalLinks/externalLink54.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65.xml"/><Relationship Id="rId181" Type="http://schemas.openxmlformats.org/officeDocument/2006/relationships/externalLink" Target="externalLinks/externalLink8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23.xml"/><Relationship Id="rId139" Type="http://schemas.openxmlformats.org/officeDocument/2006/relationships/externalLink" Target="externalLinks/externalLink44.xml"/><Relationship Id="rId85" Type="http://schemas.openxmlformats.org/officeDocument/2006/relationships/worksheet" Target="worksheets/sheet85.xml"/><Relationship Id="rId150" Type="http://schemas.openxmlformats.org/officeDocument/2006/relationships/externalLink" Target="externalLinks/externalLink55.xml"/><Relationship Id="rId171" Type="http://schemas.openxmlformats.org/officeDocument/2006/relationships/externalLink" Target="externalLinks/externalLink76.xml"/><Relationship Id="rId192" Type="http://schemas.openxmlformats.org/officeDocument/2006/relationships/sharedStrings" Target="sharedString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13.xml"/><Relationship Id="rId129" Type="http://schemas.openxmlformats.org/officeDocument/2006/relationships/externalLink" Target="externalLinks/externalLink34.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externalLink" Target="externalLinks/externalLink1.xml"/><Relationship Id="rId140" Type="http://schemas.openxmlformats.org/officeDocument/2006/relationships/externalLink" Target="externalLinks/externalLink45.xml"/><Relationship Id="rId161" Type="http://schemas.openxmlformats.org/officeDocument/2006/relationships/externalLink" Target="externalLinks/externalLink66.xml"/><Relationship Id="rId182" Type="http://schemas.openxmlformats.org/officeDocument/2006/relationships/externalLink" Target="externalLinks/externalLink8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24.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35.xml"/><Relationship Id="rId151" Type="http://schemas.openxmlformats.org/officeDocument/2006/relationships/externalLink" Target="externalLinks/externalLink56.xml"/><Relationship Id="rId172" Type="http://schemas.openxmlformats.org/officeDocument/2006/relationships/externalLink" Target="externalLinks/externalLink77.xml"/><Relationship Id="rId193" Type="http://schemas.openxmlformats.org/officeDocument/2006/relationships/calcChain" Target="calcChain.xml"/><Relationship Id="rId13" Type="http://schemas.openxmlformats.org/officeDocument/2006/relationships/worksheet" Target="worksheets/sheet13.xml"/><Relationship Id="rId109" Type="http://schemas.openxmlformats.org/officeDocument/2006/relationships/externalLink" Target="externalLinks/externalLink1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externalLink" Target="externalLinks/externalLink9.xml"/><Relationship Id="rId120" Type="http://schemas.openxmlformats.org/officeDocument/2006/relationships/externalLink" Target="externalLinks/externalLink25.xml"/><Relationship Id="rId125" Type="http://schemas.openxmlformats.org/officeDocument/2006/relationships/externalLink" Target="externalLinks/externalLink30.xml"/><Relationship Id="rId141" Type="http://schemas.openxmlformats.org/officeDocument/2006/relationships/externalLink" Target="externalLinks/externalLink46.xml"/><Relationship Id="rId146" Type="http://schemas.openxmlformats.org/officeDocument/2006/relationships/externalLink" Target="externalLinks/externalLink51.xml"/><Relationship Id="rId167" Type="http://schemas.openxmlformats.org/officeDocument/2006/relationships/externalLink" Target="externalLinks/externalLink72.xml"/><Relationship Id="rId188" Type="http://schemas.openxmlformats.org/officeDocument/2006/relationships/externalLink" Target="externalLinks/externalLink9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67.xml"/><Relationship Id="rId183"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5.xml"/><Relationship Id="rId115" Type="http://schemas.openxmlformats.org/officeDocument/2006/relationships/externalLink" Target="externalLinks/externalLink20.xml"/><Relationship Id="rId131" Type="http://schemas.openxmlformats.org/officeDocument/2006/relationships/externalLink" Target="externalLinks/externalLink36.xml"/><Relationship Id="rId136" Type="http://schemas.openxmlformats.org/officeDocument/2006/relationships/externalLink" Target="externalLinks/externalLink41.xml"/><Relationship Id="rId157" Type="http://schemas.openxmlformats.org/officeDocument/2006/relationships/externalLink" Target="externalLinks/externalLink62.xml"/><Relationship Id="rId178" Type="http://schemas.openxmlformats.org/officeDocument/2006/relationships/externalLink" Target="externalLinks/externalLink8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57.xml"/><Relationship Id="rId173" Type="http://schemas.openxmlformats.org/officeDocument/2006/relationships/externalLink" Target="externalLinks/externalLink7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5.xml"/><Relationship Id="rId105" Type="http://schemas.openxmlformats.org/officeDocument/2006/relationships/externalLink" Target="externalLinks/externalLink10.xml"/><Relationship Id="rId126" Type="http://schemas.openxmlformats.org/officeDocument/2006/relationships/externalLink" Target="externalLinks/externalLink31.xml"/><Relationship Id="rId147" Type="http://schemas.openxmlformats.org/officeDocument/2006/relationships/externalLink" Target="externalLinks/externalLink52.xml"/><Relationship Id="rId168" Type="http://schemas.openxmlformats.org/officeDocument/2006/relationships/externalLink" Target="externalLinks/externalLink7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3.xml"/><Relationship Id="rId121" Type="http://schemas.openxmlformats.org/officeDocument/2006/relationships/externalLink" Target="externalLinks/externalLink26.xml"/><Relationship Id="rId142" Type="http://schemas.openxmlformats.org/officeDocument/2006/relationships/externalLink" Target="externalLinks/externalLink47.xml"/><Relationship Id="rId163" Type="http://schemas.openxmlformats.org/officeDocument/2006/relationships/externalLink" Target="externalLinks/externalLink68.xml"/><Relationship Id="rId184" Type="http://schemas.openxmlformats.org/officeDocument/2006/relationships/externalLink" Target="externalLinks/externalLink89.xml"/><Relationship Id="rId189" Type="http://schemas.openxmlformats.org/officeDocument/2006/relationships/externalLink" Target="externalLinks/externalLink9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1.xml"/><Relationship Id="rId137" Type="http://schemas.openxmlformats.org/officeDocument/2006/relationships/externalLink" Target="externalLinks/externalLink42.xml"/><Relationship Id="rId158" Type="http://schemas.openxmlformats.org/officeDocument/2006/relationships/externalLink" Target="externalLinks/externalLink6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6.xml"/><Relationship Id="rId132" Type="http://schemas.openxmlformats.org/officeDocument/2006/relationships/externalLink" Target="externalLinks/externalLink37.xml"/><Relationship Id="rId153" Type="http://schemas.openxmlformats.org/officeDocument/2006/relationships/externalLink" Target="externalLinks/externalLink58.xml"/><Relationship Id="rId174" Type="http://schemas.openxmlformats.org/officeDocument/2006/relationships/externalLink" Target="externalLinks/externalLink79.xml"/><Relationship Id="rId179" Type="http://schemas.openxmlformats.org/officeDocument/2006/relationships/externalLink" Target="externalLinks/externalLink84.xml"/><Relationship Id="rId19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1.xml"/><Relationship Id="rId127" Type="http://schemas.openxmlformats.org/officeDocument/2006/relationships/externalLink" Target="externalLinks/externalLink3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externalLink" Target="externalLinks/externalLink6.xml"/><Relationship Id="rId122" Type="http://schemas.openxmlformats.org/officeDocument/2006/relationships/externalLink" Target="externalLinks/externalLink27.xml"/><Relationship Id="rId143" Type="http://schemas.openxmlformats.org/officeDocument/2006/relationships/externalLink" Target="externalLinks/externalLink48.xml"/><Relationship Id="rId148" Type="http://schemas.openxmlformats.org/officeDocument/2006/relationships/externalLink" Target="externalLinks/externalLink53.xml"/><Relationship Id="rId164" Type="http://schemas.openxmlformats.org/officeDocument/2006/relationships/externalLink" Target="externalLinks/externalLink69.xml"/><Relationship Id="rId169" Type="http://schemas.openxmlformats.org/officeDocument/2006/relationships/externalLink" Target="externalLinks/externalLink74.xml"/><Relationship Id="rId185" Type="http://schemas.openxmlformats.org/officeDocument/2006/relationships/externalLink" Target="externalLinks/externalLink9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8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7.xml"/><Relationship Id="rId133" Type="http://schemas.openxmlformats.org/officeDocument/2006/relationships/externalLink" Target="externalLinks/externalLink38.xml"/><Relationship Id="rId154" Type="http://schemas.openxmlformats.org/officeDocument/2006/relationships/externalLink" Target="externalLinks/externalLink59.xml"/><Relationship Id="rId175" Type="http://schemas.openxmlformats.org/officeDocument/2006/relationships/externalLink" Target="externalLinks/externalLink8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7.xml"/><Relationship Id="rId123" Type="http://schemas.openxmlformats.org/officeDocument/2006/relationships/externalLink" Target="externalLinks/externalLink28.xml"/><Relationship Id="rId144" Type="http://schemas.openxmlformats.org/officeDocument/2006/relationships/externalLink" Target="externalLinks/externalLink49.xml"/><Relationship Id="rId90" Type="http://schemas.openxmlformats.org/officeDocument/2006/relationships/worksheet" Target="worksheets/sheet90.xml"/><Relationship Id="rId165" Type="http://schemas.openxmlformats.org/officeDocument/2006/relationships/externalLink" Target="externalLinks/externalLink70.xml"/><Relationship Id="rId186" Type="http://schemas.openxmlformats.org/officeDocument/2006/relationships/externalLink" Target="externalLinks/externalLink9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18.xml"/><Relationship Id="rId134" Type="http://schemas.openxmlformats.org/officeDocument/2006/relationships/externalLink" Target="externalLinks/externalLink39.xml"/><Relationship Id="rId80" Type="http://schemas.openxmlformats.org/officeDocument/2006/relationships/worksheet" Target="worksheets/sheet80.xml"/><Relationship Id="rId155" Type="http://schemas.openxmlformats.org/officeDocument/2006/relationships/externalLink" Target="externalLinks/externalLink60.xml"/><Relationship Id="rId176" Type="http://schemas.openxmlformats.org/officeDocument/2006/relationships/externalLink" Target="externalLinks/externalLink8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8.xml"/><Relationship Id="rId124" Type="http://schemas.openxmlformats.org/officeDocument/2006/relationships/externalLink" Target="externalLinks/externalLink29.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50.xml"/><Relationship Id="rId166" Type="http://schemas.openxmlformats.org/officeDocument/2006/relationships/externalLink" Target="externalLinks/externalLink71.xml"/><Relationship Id="rId187" Type="http://schemas.openxmlformats.org/officeDocument/2006/relationships/externalLink" Target="externalLinks/externalLink92.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9.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40.xml"/><Relationship Id="rId156" Type="http://schemas.openxmlformats.org/officeDocument/2006/relationships/externalLink" Target="externalLinks/externalLink61.xml"/><Relationship Id="rId177" Type="http://schemas.openxmlformats.org/officeDocument/2006/relationships/externalLink" Target="externalLinks/externalLink82.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xml"/><Relationship Id="rId1" Type="http://schemas.microsoft.com/office/2011/relationships/chartStyle" Target="style3.xml"/></Relationships>
</file>

<file path=xl/charts/_rels/chart5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4.xml"/><Relationship Id="rId1" Type="http://schemas.microsoft.com/office/2011/relationships/chartStyle" Target="style4.xml"/></Relationships>
</file>

<file path=xl/charts/_rels/chart6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6.xml"/><Relationship Id="rId1" Type="http://schemas.microsoft.com/office/2011/relationships/chartStyle" Target="style26.xml"/></Relationships>
</file>

<file path=xl/charts/_rels/chart7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7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5.xml"/><Relationship Id="rId1" Type="http://schemas.microsoft.com/office/2011/relationships/chartStyle" Target="style35.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6.xml"/><Relationship Id="rId1" Type="http://schemas.microsoft.com/office/2011/relationships/chartStyle" Target="style36.xml"/></Relationships>
</file>

<file path=xl/charts/_rels/chart83.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8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8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86.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87.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88.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89.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0.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91.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92.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93.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94.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L"/>
              <a:t>Porcentaje de Ruralidad Año 2023</a:t>
            </a:r>
          </a:p>
          <a:p>
            <a:pPr>
              <a:defRPr/>
            </a:pPr>
            <a:r>
              <a:rPr lang="es-CL"/>
              <a:t>Servicio de Salud Aconcagua</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FF99"/>
                    </a:solidFill>
                    <a:latin typeface="+mn-lt"/>
                    <a:ea typeface="+mn-ea"/>
                    <a:cs typeface="+mn-cs"/>
                  </a:defRPr>
                </a:pPr>
                <a:endParaRPr lang="es-C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('6'!$A$12:$A$15,'6'!$A$19:$A$24)</c:f>
              <c:strCache>
                <c:ptCount val="10"/>
                <c:pt idx="0">
                  <c:v>  LOS ANDES</c:v>
                </c:pt>
                <c:pt idx="1">
                  <c:v>  SAN ESTEBAN</c:v>
                </c:pt>
                <c:pt idx="2">
                  <c:v>  CALLE LARGA</c:v>
                </c:pt>
                <c:pt idx="3">
                  <c:v>  RINCONADA</c:v>
                </c:pt>
                <c:pt idx="4">
                  <c:v>  SAN FELIPE</c:v>
                </c:pt>
                <c:pt idx="5">
                  <c:v>  PUTAENDO</c:v>
                </c:pt>
                <c:pt idx="6">
                  <c:v>  STA.  MARIA</c:v>
                </c:pt>
                <c:pt idx="7">
                  <c:v>  PANQUEHUE</c:v>
                </c:pt>
                <c:pt idx="8">
                  <c:v>  LLAY - LLAY</c:v>
                </c:pt>
                <c:pt idx="9">
                  <c:v>  CATEMU</c:v>
                </c:pt>
              </c:strCache>
            </c:strRef>
          </c:cat>
          <c:val>
            <c:numRef>
              <c:f>('6'!$E$12:$E$15,'6'!$E$19:$E$24)</c:f>
              <c:numCache>
                <c:formatCode>0.0</c:formatCode>
                <c:ptCount val="10"/>
                <c:pt idx="0">
                  <c:v>8.2732453334883989</c:v>
                </c:pt>
                <c:pt idx="1">
                  <c:v>34.815986600288468</c:v>
                </c:pt>
                <c:pt idx="2">
                  <c:v>23.815274902231423</c:v>
                </c:pt>
                <c:pt idx="3">
                  <c:v>18.08052671562421</c:v>
                </c:pt>
                <c:pt idx="4">
                  <c:v>8.3974344077525505</c:v>
                </c:pt>
                <c:pt idx="5">
                  <c:v>55.837280579548619</c:v>
                </c:pt>
                <c:pt idx="6">
                  <c:v>32.406251857134365</c:v>
                </c:pt>
                <c:pt idx="7">
                  <c:v>46.792404413651525</c:v>
                </c:pt>
                <c:pt idx="8">
                  <c:v>24.469928832184078</c:v>
                </c:pt>
                <c:pt idx="9">
                  <c:v>39.647435897435898</c:v>
                </c:pt>
              </c:numCache>
            </c:numRef>
          </c:val>
          <c:extLst>
            <c:ext xmlns:c16="http://schemas.microsoft.com/office/drawing/2014/chart" uri="{C3380CC4-5D6E-409C-BE32-E72D297353CC}">
              <c16:uniqueId val="{00000000-F44C-451E-97A4-75120690B630}"/>
            </c:ext>
          </c:extLst>
        </c:ser>
        <c:dLbls>
          <c:dLblPos val="inEnd"/>
          <c:showLegendKey val="0"/>
          <c:showVal val="1"/>
          <c:showCatName val="0"/>
          <c:showSerName val="0"/>
          <c:showPercent val="0"/>
          <c:showBubbleSize val="0"/>
        </c:dLbls>
        <c:gapWidth val="100"/>
        <c:overlap val="-24"/>
        <c:axId val="-1444142960"/>
        <c:axId val="-1444136976"/>
      </c:barChart>
      <c:catAx>
        <c:axId val="-14441429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L"/>
          </a:p>
        </c:txPr>
        <c:crossAx val="-1444136976"/>
        <c:crosses val="autoZero"/>
        <c:auto val="1"/>
        <c:lblAlgn val="ctr"/>
        <c:lblOffset val="100"/>
        <c:noMultiLvlLbl val="0"/>
      </c:catAx>
      <c:valAx>
        <c:axId val="-144413697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4142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TASA DE  FECUNDIDAD   SEGÚN COMUNAS  AÑO 2023
SERVICIO DE SALUD ACONCAGUA</a:t>
            </a:r>
          </a:p>
        </c:rich>
      </c:tx>
      <c:layout>
        <c:manualLayout>
          <c:xMode val="edge"/>
          <c:yMode val="edge"/>
          <c:x val="0.18969072164948453"/>
          <c:y val="4.2372881355935817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31.26219668999569</c:v>
                </c:pt>
                <c:pt idx="1">
                  <c:v>27.3037110075587</c:v>
                </c:pt>
                <c:pt idx="2">
                  <c:v>30.277388619109683</c:v>
                </c:pt>
                <c:pt idx="3">
                  <c:v>19.798214696771012</c:v>
                </c:pt>
                <c:pt idx="4">
                  <c:v>36.087754335817259</c:v>
                </c:pt>
                <c:pt idx="5">
                  <c:v>32.721442536533438</c:v>
                </c:pt>
                <c:pt idx="6">
                  <c:v>33.574253633223492</c:v>
                </c:pt>
                <c:pt idx="7">
                  <c:v>24.460987808375648</c:v>
                </c:pt>
                <c:pt idx="8">
                  <c:v>35.373009765685254</c:v>
                </c:pt>
                <c:pt idx="9">
                  <c:v>27.785687958612137</c:v>
                </c:pt>
              </c:numCache>
            </c:numRef>
          </c:val>
          <c:extLst>
            <c:ext xmlns:c16="http://schemas.microsoft.com/office/drawing/2014/chart" uri="{C3380CC4-5D6E-409C-BE32-E72D297353CC}">
              <c16:uniqueId val="{00000000-942A-45CA-88C8-63CDE0B2C1A1}"/>
            </c:ext>
          </c:extLst>
        </c:ser>
        <c:dLbls>
          <c:showLegendKey val="0"/>
          <c:showVal val="0"/>
          <c:showCatName val="0"/>
          <c:showSerName val="0"/>
          <c:showPercent val="0"/>
          <c:showBubbleSize val="0"/>
        </c:dLbls>
        <c:gapWidth val="100"/>
        <c:overlap val="-24"/>
        <c:axId val="-1443009984"/>
        <c:axId val="-1443022496"/>
      </c:barChart>
      <c:catAx>
        <c:axId val="-144300998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3022496"/>
        <c:crosses val="autoZero"/>
        <c:auto val="0"/>
        <c:lblAlgn val="ctr"/>
        <c:lblOffset val="100"/>
        <c:tickLblSkip val="1"/>
        <c:tickMarkSkip val="1"/>
        <c:noMultiLvlLbl val="0"/>
      </c:catAx>
      <c:valAx>
        <c:axId val="-1443022496"/>
        <c:scaling>
          <c:orientation val="minMax"/>
          <c:max val="41"/>
          <c:min val="23"/>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3009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94816414687012E-2"/>
          <c:y val="0.25352170793378631"/>
          <c:w val="0.91792656587470856"/>
          <c:h val="0.56338157318619164"/>
        </c:manualLayout>
      </c:layout>
      <c:lineChart>
        <c:grouping val="standard"/>
        <c:varyColors val="0"/>
        <c:ser>
          <c:idx val="0"/>
          <c:order val="0"/>
          <c:tx>
            <c:strRef>
              <c:f>'18'!$B$8</c:f>
              <c:strCache>
                <c:ptCount val="1"/>
                <c:pt idx="0">
                  <c:v>PAIS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'18'!$A$11:$A$20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'18'!$C$11:$C$20</c:f>
              <c:numCache>
                <c:formatCode>0.0</c:formatCode>
                <c:ptCount val="10"/>
                <c:pt idx="0">
                  <c:v>13.709424933086876</c:v>
                </c:pt>
                <c:pt idx="1">
                  <c:v>13.614392138007101</c:v>
                </c:pt>
                <c:pt idx="2">
                  <c:v>12.707003471706372</c:v>
                </c:pt>
                <c:pt idx="3">
                  <c:v>11.907851332458014</c:v>
                </c:pt>
                <c:pt idx="4">
                  <c:v>11.824767264106343</c:v>
                </c:pt>
                <c:pt idx="5">
                  <c:v>10.923255381631735</c:v>
                </c:pt>
                <c:pt idx="6">
                  <c:v>10.255224257865368</c:v>
                </c:pt>
                <c:pt idx="7">
                  <c:v>9.1774224009184415</c:v>
                </c:pt>
                <c:pt idx="8">
                  <c:v>10.187304444466333</c:v>
                </c:pt>
                <c:pt idx="9">
                  <c:v>8.756573918125591</c:v>
                </c:pt>
              </c:numCache>
            </c:numRef>
          </c:val>
          <c:smooth val="0"/>
          <c:extLst>
            <c:ext xmlns:c16="http://schemas.microsoft.com/office/drawing/2014/chart" uri="{C3380CC4-5D6E-409C-BE32-E72D297353CC}">
              <c16:uniqueId val="{00000000-4BC8-4A5B-9497-8D1437B0C1C2}"/>
            </c:ext>
          </c:extLst>
        </c:ser>
        <c:ser>
          <c:idx val="1"/>
          <c:order val="1"/>
          <c:tx>
            <c:strRef>
              <c:f>'18'!$D$8</c:f>
              <c:strCache>
                <c:ptCount val="1"/>
                <c:pt idx="0">
                  <c:v>REGION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'18'!$A$11:$A$20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'18'!$E$11:$E$20</c:f>
              <c:numCache>
                <c:formatCode>0.0</c:formatCode>
                <c:ptCount val="10"/>
                <c:pt idx="0">
                  <c:v>13.28662974657532</c:v>
                </c:pt>
                <c:pt idx="1">
                  <c:v>12.792955038167982</c:v>
                </c:pt>
                <c:pt idx="2">
                  <c:v>9.6007304215534433</c:v>
                </c:pt>
                <c:pt idx="3">
                  <c:v>10.781315285469166</c:v>
                </c:pt>
                <c:pt idx="4">
                  <c:v>11.166859036267558</c:v>
                </c:pt>
                <c:pt idx="5">
                  <c:v>10.041049778992537</c:v>
                </c:pt>
                <c:pt idx="6">
                  <c:v>9.4027558834182745</c:v>
                </c:pt>
                <c:pt idx="7">
                  <c:v>6.9314879004614083</c:v>
                </c:pt>
                <c:pt idx="8">
                  <c:v>7.7016824535538788</c:v>
                </c:pt>
                <c:pt idx="9">
                  <c:v>8.4024210669224786</c:v>
                </c:pt>
              </c:numCache>
            </c:numRef>
          </c:val>
          <c:smooth val="0"/>
          <c:extLst>
            <c:ext xmlns:c16="http://schemas.microsoft.com/office/drawing/2014/chart" uri="{C3380CC4-5D6E-409C-BE32-E72D297353CC}">
              <c16:uniqueId val="{00000001-4BC8-4A5B-9497-8D1437B0C1C2}"/>
            </c:ext>
          </c:extLst>
        </c:ser>
        <c:ser>
          <c:idx val="2"/>
          <c:order val="2"/>
          <c:tx>
            <c:strRef>
              <c:f>'18'!$F$7</c:f>
              <c:strCache>
                <c:ptCount val="1"/>
                <c:pt idx="0">
                  <c:v>SERV. SALUD</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'18'!$A$11:$A$20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'18'!$G$11:$G$20</c:f>
              <c:numCache>
                <c:formatCode>0.0</c:formatCode>
                <c:ptCount val="10"/>
                <c:pt idx="0">
                  <c:v>14.24510075571531</c:v>
                </c:pt>
                <c:pt idx="1">
                  <c:v>14.488128669900433</c:v>
                </c:pt>
                <c:pt idx="2">
                  <c:v>12.223340600730205</c:v>
                </c:pt>
                <c:pt idx="3">
                  <c:v>10.933995955265679</c:v>
                </c:pt>
                <c:pt idx="4">
                  <c:v>11.273156701225123</c:v>
                </c:pt>
                <c:pt idx="5">
                  <c:v>11.09335506958819</c:v>
                </c:pt>
                <c:pt idx="6">
                  <c:v>9.2107027660340339</c:v>
                </c:pt>
                <c:pt idx="7">
                  <c:v>7.6905875035814866</c:v>
                </c:pt>
                <c:pt idx="8">
                  <c:v>8.323543986222143</c:v>
                </c:pt>
                <c:pt idx="9">
                  <c:v>7.7940473693800865</c:v>
                </c:pt>
              </c:numCache>
            </c:numRef>
          </c:val>
          <c:smooth val="0"/>
          <c:extLst>
            <c:ext xmlns:c16="http://schemas.microsoft.com/office/drawing/2014/chart" uri="{C3380CC4-5D6E-409C-BE32-E72D297353CC}">
              <c16:uniqueId val="{00000002-4BC8-4A5B-9497-8D1437B0C1C2}"/>
            </c:ext>
          </c:extLst>
        </c:ser>
        <c:dLbls>
          <c:showLegendKey val="0"/>
          <c:showVal val="0"/>
          <c:showCatName val="0"/>
          <c:showSerName val="0"/>
          <c:showPercent val="0"/>
          <c:showBubbleSize val="0"/>
        </c:dLbls>
        <c:marker val="1"/>
        <c:smooth val="0"/>
        <c:axId val="-1443010528"/>
        <c:axId val="-1443021952"/>
      </c:lineChart>
      <c:catAx>
        <c:axId val="-14430105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0/00</a:t>
                </a:r>
              </a:p>
            </c:rich>
          </c:tx>
          <c:layout>
            <c:manualLayout>
              <c:xMode val="edge"/>
              <c:yMode val="edge"/>
              <c:x val="5.3995680345572524E-3"/>
              <c:y val="0.11502372062647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3021952"/>
        <c:crosses val="autoZero"/>
        <c:auto val="1"/>
        <c:lblAlgn val="ctr"/>
        <c:lblOffset val="100"/>
        <c:tickLblSkip val="1"/>
        <c:tickMarkSkip val="1"/>
        <c:noMultiLvlLbl val="0"/>
      </c:catAx>
      <c:valAx>
        <c:axId val="-1443021952"/>
        <c:scaling>
          <c:orientation val="minMax"/>
          <c:max val="15"/>
          <c:min val="6.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3010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9" orientation="landscape" horizontalDpi="300" verticalDpi="300"/>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600" b="1" i="0" u="none" strike="noStrike" kern="1200" baseline="0">
                <a:solidFill>
                  <a:schemeClr val="tx1">
                    <a:lumMod val="65000"/>
                    <a:lumOff val="35000"/>
                  </a:schemeClr>
                </a:solidFill>
                <a:latin typeface="+mn-lt"/>
                <a:ea typeface="+mn-ea"/>
                <a:cs typeface="+mn-cs"/>
              </a:defRPr>
            </a:pPr>
            <a:r>
              <a:rPr lang="es-ES" sz="1200">
                <a:solidFill>
                  <a:schemeClr val="accent1">
                    <a:lumMod val="75000"/>
                  </a:schemeClr>
                </a:solidFill>
                <a:latin typeface="Arial" panose="020B0604020202020204" pitchFamily="34" charset="0"/>
                <a:cs typeface="Arial" panose="020B0604020202020204" pitchFamily="34" charset="0"/>
              </a:rPr>
              <a:t>TASA MORT. FETAL PAIS REGION SERV. SALUD
AÑOS  2014 - 2023 (tasa  x mil nac. vivos)</a:t>
            </a:r>
            <a:r>
              <a:rPr lang="es-ES"/>
              <a:t>
 </a:t>
            </a:r>
          </a:p>
        </c:rich>
      </c:tx>
      <c:layout>
        <c:manualLayout>
          <c:xMode val="edge"/>
          <c:yMode val="edge"/>
          <c:x val="0.16607248738457456"/>
          <c:y val="3.0588307609089854E-2"/>
        </c:manualLayout>
      </c:layout>
      <c:overlay val="0"/>
      <c:spPr>
        <a:noFill/>
        <a:ln>
          <a:noFill/>
        </a:ln>
        <a:effectLst/>
      </c:spPr>
      <c:txPr>
        <a:bodyPr rot="0" spcFirstLastPara="1" vertOverflow="ellipsis" vert="horz" wrap="square" anchor="ctr" anchorCtr="1"/>
        <a:lstStyle/>
        <a:p>
          <a:pPr algn="ctr">
            <a:defRPr sz="16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7.3612724738067112E-2"/>
          <c:y val="0.32000000000001261"/>
          <c:w val="0.92185781441212844"/>
          <c:h val="0.47764705882351505"/>
        </c:manualLayout>
      </c:layout>
      <c:lineChart>
        <c:grouping val="standard"/>
        <c:varyColors val="0"/>
        <c:ser>
          <c:idx val="0"/>
          <c:order val="0"/>
          <c:spPr>
            <a:ln w="34925" cap="rnd">
              <a:solidFill>
                <a:schemeClr val="accent1"/>
              </a:solidFill>
              <a:round/>
            </a:ln>
            <a:effectLst>
              <a:outerShdw blurRad="40000" dist="23000" dir="5400000" rotWithShape="0">
                <a:srgbClr val="000000">
                  <a:alpha val="35000"/>
                </a:srgbClr>
              </a:outerShdw>
            </a:effectLst>
          </c:spPr>
          <c:marker>
            <c:symbol val="none"/>
          </c:marker>
          <c:cat>
            <c:numRef>
              <c:f>'19'!$A$11:$A$20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'19'!$C$11:$C$20</c:f>
              <c:numCache>
                <c:formatCode>0.0</c:formatCode>
                <c:ptCount val="10"/>
                <c:pt idx="0">
                  <c:v>8.4639421302561324</c:v>
                </c:pt>
                <c:pt idx="1">
                  <c:v>8.2887154125965576</c:v>
                </c:pt>
                <c:pt idx="2">
                  <c:v>8.628979857050032</c:v>
                </c:pt>
                <c:pt idx="3">
                  <c:v>8.2340550669529886</c:v>
                </c:pt>
                <c:pt idx="4">
                  <c:v>9.0469983899409634</c:v>
                </c:pt>
                <c:pt idx="5">
                  <c:v>9.1513226296397452</c:v>
                </c:pt>
                <c:pt idx="6">
                  <c:v>8.2329716742926227</c:v>
                </c:pt>
                <c:pt idx="7">
                  <c:v>0</c:v>
                </c:pt>
                <c:pt idx="8">
                  <c:v>0</c:v>
                </c:pt>
                <c:pt idx="9">
                  <c:v>0</c:v>
                </c:pt>
              </c:numCache>
            </c:numRef>
          </c:val>
          <c:smooth val="0"/>
          <c:extLst>
            <c:ext xmlns:c16="http://schemas.microsoft.com/office/drawing/2014/chart" uri="{C3380CC4-5D6E-409C-BE32-E72D297353CC}">
              <c16:uniqueId val="{00000000-0887-42E7-B476-6177BABDAC04}"/>
            </c:ext>
          </c:extLst>
        </c:ser>
        <c:ser>
          <c:idx val="1"/>
          <c:order val="1"/>
          <c:spPr>
            <a:ln w="34925" cap="rnd">
              <a:solidFill>
                <a:schemeClr val="accent2"/>
              </a:solidFill>
              <a:round/>
            </a:ln>
            <a:effectLst>
              <a:outerShdw blurRad="40000" dist="23000" dir="5400000" rotWithShape="0">
                <a:srgbClr val="000000">
                  <a:alpha val="35000"/>
                </a:srgbClr>
              </a:outerShdw>
            </a:effectLst>
          </c:spPr>
          <c:marker>
            <c:symbol val="none"/>
          </c:marker>
          <c:cat>
            <c:numRef>
              <c:f>'19'!$A$11:$A$20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'19'!$E$11:$E$20</c:f>
              <c:numCache>
                <c:formatCode>0.0</c:formatCode>
                <c:ptCount val="10"/>
                <c:pt idx="0">
                  <c:v>6.2278313948692565</c:v>
                </c:pt>
                <c:pt idx="1">
                  <c:v>6.864988558352402</c:v>
                </c:pt>
                <c:pt idx="2">
                  <c:v>6.5932837905794264</c:v>
                </c:pt>
                <c:pt idx="3">
                  <c:v>8.3607927998819651</c:v>
                </c:pt>
                <c:pt idx="4">
                  <c:v>7.1719870622978483</c:v>
                </c:pt>
                <c:pt idx="5">
                  <c:v>7.1009570855202222</c:v>
                </c:pt>
                <c:pt idx="6">
                  <c:v>8.084205957354456</c:v>
                </c:pt>
                <c:pt idx="7">
                  <c:v>0</c:v>
                </c:pt>
                <c:pt idx="8">
                  <c:v>0</c:v>
                </c:pt>
                <c:pt idx="9">
                  <c:v>0</c:v>
                </c:pt>
              </c:numCache>
            </c:numRef>
          </c:val>
          <c:smooth val="0"/>
          <c:extLst>
            <c:ext xmlns:c16="http://schemas.microsoft.com/office/drawing/2014/chart" uri="{C3380CC4-5D6E-409C-BE32-E72D297353CC}">
              <c16:uniqueId val="{00000001-0887-42E7-B476-6177BABDAC04}"/>
            </c:ext>
          </c:extLst>
        </c:ser>
        <c:ser>
          <c:idx val="2"/>
          <c:order val="2"/>
          <c:spPr>
            <a:ln w="34925" cap="rnd">
              <a:solidFill>
                <a:schemeClr val="accent3"/>
              </a:solidFill>
              <a:round/>
            </a:ln>
            <a:effectLst>
              <a:outerShdw blurRad="40000" dist="23000" dir="5400000" rotWithShape="0">
                <a:srgbClr val="000000">
                  <a:alpha val="35000"/>
                </a:srgbClr>
              </a:outerShdw>
            </a:effectLst>
          </c:spPr>
          <c:marker>
            <c:symbol val="none"/>
          </c:marker>
          <c:cat>
            <c:numRef>
              <c:f>'19'!$A$11:$A$20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'19'!$G$11:$G$20</c:f>
              <c:numCache>
                <c:formatCode>0.0</c:formatCode>
                <c:ptCount val="10"/>
                <c:pt idx="0">
                  <c:v>5.4418243068152368</c:v>
                </c:pt>
                <c:pt idx="1">
                  <c:v>8.5080522637496205</c:v>
                </c:pt>
                <c:pt idx="2">
                  <c:v>5.3709298422289358</c:v>
                </c:pt>
                <c:pt idx="3">
                  <c:v>4.8200514138817478</c:v>
                </c:pt>
                <c:pt idx="4">
                  <c:v>6.7676442152755403</c:v>
                </c:pt>
                <c:pt idx="5">
                  <c:v>5.3639846743295019</c:v>
                </c:pt>
                <c:pt idx="6">
                  <c:v>6.2447960033305572</c:v>
                </c:pt>
                <c:pt idx="7">
                  <c:v>2.9142381348875936</c:v>
                </c:pt>
                <c:pt idx="8">
                  <c:v>3.7468776019983348</c:v>
                </c:pt>
                <c:pt idx="9">
                  <c:v>5.7344508160564622</c:v>
                </c:pt>
              </c:numCache>
            </c:numRef>
          </c:val>
          <c:smooth val="0"/>
          <c:extLst>
            <c:ext xmlns:c16="http://schemas.microsoft.com/office/drawing/2014/chart" uri="{C3380CC4-5D6E-409C-BE32-E72D297353CC}">
              <c16:uniqueId val="{00000002-0887-42E7-B476-6177BABDAC04}"/>
            </c:ext>
          </c:extLst>
        </c:ser>
        <c:dLbls>
          <c:showLegendKey val="0"/>
          <c:showVal val="0"/>
          <c:showCatName val="0"/>
          <c:showSerName val="0"/>
          <c:showPercent val="0"/>
          <c:showBubbleSize val="0"/>
        </c:dLbls>
        <c:smooth val="0"/>
        <c:axId val="-1443014336"/>
        <c:axId val="-1443015424"/>
      </c:lineChart>
      <c:catAx>
        <c:axId val="-1443014336"/>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ES"/>
                  <a:t>0/00</a:t>
                </a:r>
              </a:p>
            </c:rich>
          </c:tx>
          <c:layout>
            <c:manualLayout>
              <c:xMode val="edge"/>
              <c:yMode val="edge"/>
              <c:x val="5.6625141562853245E-3"/>
              <c:y val="0.185882352941176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3015424"/>
        <c:crosses val="autoZero"/>
        <c:auto val="1"/>
        <c:lblAlgn val="ctr"/>
        <c:lblOffset val="100"/>
        <c:tickLblSkip val="1"/>
        <c:tickMarkSkip val="1"/>
        <c:noMultiLvlLbl val="0"/>
      </c:catAx>
      <c:valAx>
        <c:axId val="-1443015424"/>
        <c:scaling>
          <c:orientation val="minMax"/>
          <c:max val="11"/>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301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304"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TASA MORT. PERINATAL PAIS REGION SERV. SALUD
AÑOS  2013 - 2022 (tasa x mil nac. vivos)
 </a:t>
            </a:r>
          </a:p>
        </c:rich>
      </c:tx>
      <c:layout>
        <c:manualLayout>
          <c:xMode val="edge"/>
          <c:yMode val="edge"/>
          <c:x val="0.16867576146005006"/>
          <c:y val="3.167418679406647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3.7542703825707291E-2"/>
          <c:y val="0.26470617477615815"/>
          <c:w val="0.94766885717620064"/>
          <c:h val="0.59502328176176245"/>
        </c:manualLayout>
      </c:layout>
      <c:lineChart>
        <c:grouping val="standard"/>
        <c:varyColors val="0"/>
        <c:ser>
          <c:idx val="0"/>
          <c:order val="0"/>
          <c:tx>
            <c:v>PAIS</c:v>
          </c:tx>
          <c:spPr>
            <a:ln w="34925" cap="rnd">
              <a:solidFill>
                <a:schemeClr val="accent1"/>
              </a:solidFill>
              <a:round/>
            </a:ln>
            <a:effectLst>
              <a:outerShdw blurRad="40000" dist="23000" dir="5400000" rotWithShape="0">
                <a:srgbClr val="000000">
                  <a:alpha val="35000"/>
                </a:srgbClr>
              </a:outerShdw>
            </a:effectLst>
          </c:spPr>
          <c:marker>
            <c:symbol val="none"/>
          </c:marker>
          <c:cat>
            <c:numRef>
              <c:f>'20'!$A$11:$A$19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'20'!$C$11:$C$19</c:f>
              <c:numCache>
                <c:formatCode>0.0</c:formatCode>
                <c:ptCount val="9"/>
                <c:pt idx="0">
                  <c:v>12.704114689696462</c:v>
                </c:pt>
                <c:pt idx="1">
                  <c:v>12.330894674459476</c:v>
                </c:pt>
                <c:pt idx="2">
                  <c:v>12.705219839722764</c:v>
                </c:pt>
                <c:pt idx="3">
                  <c:v>11.425549278950273</c:v>
                </c:pt>
                <c:pt idx="4">
                  <c:v>11.707880269335366</c:v>
                </c:pt>
                <c:pt idx="5">
                  <c:v>12.112326496193338</c:v>
                </c:pt>
                <c:pt idx="6">
                  <c:v>11.497594890864667</c:v>
                </c:pt>
                <c:pt idx="7">
                  <c:v>3.1758925499088977</c:v>
                </c:pt>
                <c:pt idx="8">
                  <c:v>2.9307644662433341</c:v>
                </c:pt>
              </c:numCache>
            </c:numRef>
          </c:val>
          <c:smooth val="0"/>
          <c:extLst>
            <c:ext xmlns:c16="http://schemas.microsoft.com/office/drawing/2014/chart" uri="{C3380CC4-5D6E-409C-BE32-E72D297353CC}">
              <c16:uniqueId val="{00000000-6FF4-459A-BF50-00233DBEBDBC}"/>
            </c:ext>
          </c:extLst>
        </c:ser>
        <c:ser>
          <c:idx val="1"/>
          <c:order val="1"/>
          <c:tx>
            <c:v>REGION</c:v>
          </c:tx>
          <c:spPr>
            <a:ln w="34925" cap="rnd">
              <a:solidFill>
                <a:schemeClr val="accent2"/>
              </a:solidFill>
              <a:round/>
            </a:ln>
            <a:effectLst>
              <a:outerShdw blurRad="40000" dist="23000" dir="5400000" rotWithShape="0">
                <a:srgbClr val="000000">
                  <a:alpha val="35000"/>
                </a:srgbClr>
              </a:outerShdw>
            </a:effectLst>
          </c:spPr>
          <c:marker>
            <c:symbol val="none"/>
          </c:marker>
          <c:cat>
            <c:numRef>
              <c:f>'20'!$A$11:$A$19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'20'!$E$11:$E$19</c:f>
              <c:numCache>
                <c:formatCode>0.0</c:formatCode>
                <c:ptCount val="9"/>
                <c:pt idx="0">
                  <c:v>8.908685968819599</c:v>
                </c:pt>
                <c:pt idx="1">
                  <c:v>9.5770828036274249</c:v>
                </c:pt>
                <c:pt idx="2">
                  <c:v>10.448678549477565</c:v>
                </c:pt>
                <c:pt idx="3">
                  <c:v>11.85265332218561</c:v>
                </c:pt>
                <c:pt idx="4">
                  <c:v>9.7970280785637271</c:v>
                </c:pt>
                <c:pt idx="5">
                  <c:v>10.497066995986415</c:v>
                </c:pt>
                <c:pt idx="6">
                  <c:v>10.797026748413</c:v>
                </c:pt>
                <c:pt idx="7">
                  <c:v>4.8833819241982512</c:v>
                </c:pt>
                <c:pt idx="8">
                  <c:v>3.9039625219597891</c:v>
                </c:pt>
              </c:numCache>
            </c:numRef>
          </c:val>
          <c:smooth val="0"/>
          <c:extLst>
            <c:ext xmlns:c16="http://schemas.microsoft.com/office/drawing/2014/chart" uri="{C3380CC4-5D6E-409C-BE32-E72D297353CC}">
              <c16:uniqueId val="{00000001-6FF4-459A-BF50-00233DBEBDBC}"/>
            </c:ext>
          </c:extLst>
        </c:ser>
        <c:ser>
          <c:idx val="2"/>
          <c:order val="2"/>
          <c:tx>
            <c:v>S. SALUD</c:v>
          </c:tx>
          <c:spPr>
            <a:ln w="34925" cap="rnd">
              <a:solidFill>
                <a:schemeClr val="accent3"/>
              </a:solidFill>
              <a:round/>
            </a:ln>
            <a:effectLst>
              <a:outerShdw blurRad="40000" dist="23000" dir="5400000" rotWithShape="0">
                <a:srgbClr val="000000">
                  <a:alpha val="35000"/>
                </a:srgbClr>
              </a:outerShdw>
            </a:effectLst>
          </c:spPr>
          <c:marker>
            <c:symbol val="none"/>
          </c:marker>
          <c:cat>
            <c:numRef>
              <c:f>'20'!$A$11:$A$19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'20'!$G$11:$G$19</c:f>
              <c:numCache>
                <c:formatCode>0.0</c:formatCode>
                <c:ptCount val="9"/>
                <c:pt idx="0">
                  <c:v>10.924593658406609</c:v>
                </c:pt>
                <c:pt idx="1">
                  <c:v>7.5149002332210424</c:v>
                </c:pt>
                <c:pt idx="2">
                  <c:v>6.9887572166514733</c:v>
                </c:pt>
                <c:pt idx="3">
                  <c:v>8.3920778784827128</c:v>
                </c:pt>
                <c:pt idx="4">
                  <c:v>7.7120822622107967</c:v>
                </c:pt>
                <c:pt idx="5">
                  <c:v>7.734450531743474</c:v>
                </c:pt>
                <c:pt idx="6">
                  <c:v>7.2796934865900385</c:v>
                </c:pt>
                <c:pt idx="7">
                  <c:v>7.2694229895502041</c:v>
                </c:pt>
                <c:pt idx="8">
                  <c:v>7.4937552039966695</c:v>
                </c:pt>
              </c:numCache>
            </c:numRef>
          </c:val>
          <c:smooth val="0"/>
          <c:extLst>
            <c:ext xmlns:c16="http://schemas.microsoft.com/office/drawing/2014/chart" uri="{C3380CC4-5D6E-409C-BE32-E72D297353CC}">
              <c16:uniqueId val="{00000002-6FF4-459A-BF50-00233DBEBDBC}"/>
            </c:ext>
          </c:extLst>
        </c:ser>
        <c:dLbls>
          <c:showLegendKey val="0"/>
          <c:showVal val="0"/>
          <c:showCatName val="0"/>
          <c:showSerName val="0"/>
          <c:showPercent val="0"/>
          <c:showBubbleSize val="0"/>
        </c:dLbls>
        <c:smooth val="0"/>
        <c:axId val="-1443020320"/>
        <c:axId val="-1443012160"/>
      </c:lineChart>
      <c:catAx>
        <c:axId val="-1443020320"/>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ES"/>
                  <a:t>0/00</a:t>
                </a:r>
              </a:p>
            </c:rich>
          </c:tx>
          <c:layout>
            <c:manualLayout>
              <c:xMode val="edge"/>
              <c:yMode val="edge"/>
              <c:x val="5.6882821387942133E-3"/>
              <c:y val="0.17873326920107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3012160"/>
        <c:crosses val="autoZero"/>
        <c:auto val="1"/>
        <c:lblAlgn val="ctr"/>
        <c:lblOffset val="100"/>
        <c:tickLblSkip val="1"/>
        <c:tickMarkSkip val="1"/>
        <c:noMultiLvlLbl val="0"/>
      </c:catAx>
      <c:valAx>
        <c:axId val="-1443012160"/>
        <c:scaling>
          <c:orientation val="minMax"/>
          <c:max val="13"/>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3020320"/>
        <c:crosses val="autoZero"/>
        <c:crossBetween val="between"/>
        <c:majorUnit val="3"/>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solidFill>
                  <a:schemeClr val="accent1">
                    <a:lumMod val="75000"/>
                  </a:schemeClr>
                </a:solidFill>
              </a:rPr>
              <a:t>TASA MORT. NEO-PRECOZ PAIS REGION SERV. SALUD
AÑOS  2013 - 2023 (tasa x mil nac. vivos)</a:t>
            </a:r>
            <a:r>
              <a:rPr lang="es-ES"/>
              <a:t>
 </a:t>
            </a:r>
          </a:p>
        </c:rich>
      </c:tx>
      <c:layout>
        <c:manualLayout>
          <c:xMode val="edge"/>
          <c:yMode val="edge"/>
          <c:x val="0.16577388792943629"/>
          <c:y val="2.5510467687602043E-3"/>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6.1050133845264143E-2"/>
          <c:y val="0.22959183673469391"/>
          <c:w val="0.93609468627742287"/>
          <c:h val="0.57653061224490065"/>
        </c:manualLayout>
      </c:layout>
      <c:lineChart>
        <c:grouping val="standard"/>
        <c:varyColors val="0"/>
        <c:ser>
          <c:idx val="0"/>
          <c:order val="0"/>
          <c:spPr>
            <a:ln w="34925" cap="rnd">
              <a:solidFill>
                <a:schemeClr val="accent1"/>
              </a:solidFill>
              <a:round/>
            </a:ln>
            <a:effectLst>
              <a:outerShdw blurRad="40000" dist="23000" dir="5400000" rotWithShape="0">
                <a:srgbClr val="000000">
                  <a:alpha val="35000"/>
                </a:srgbClr>
              </a:outerShdw>
            </a:effectLst>
          </c:spPr>
          <c:marker>
            <c:symbol val="none"/>
          </c:marker>
          <c:cat>
            <c:numRef>
              <c:f>'21'!$A$11:$A$20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'21'!$C$11:$C$20</c:f>
              <c:numCache>
                <c:formatCode>0.0</c:formatCode>
                <c:ptCount val="10"/>
                <c:pt idx="0">
                  <c:v>4.2401725594403308</c:v>
                </c:pt>
                <c:pt idx="1">
                  <c:v>4.042179261862918</c:v>
                </c:pt>
                <c:pt idx="2">
                  <c:v>4.0762399826727309</c:v>
                </c:pt>
                <c:pt idx="3">
                  <c:v>3.1914942119972824</c:v>
                </c:pt>
                <c:pt idx="4">
                  <c:v>2.6608818793944016</c:v>
                </c:pt>
                <c:pt idx="5">
                  <c:v>2.9610038665535927</c:v>
                </c:pt>
                <c:pt idx="6">
                  <c:v>3.2646232165720437</c:v>
                </c:pt>
                <c:pt idx="7">
                  <c:v>3.1758925499088977</c:v>
                </c:pt>
                <c:pt idx="8">
                  <c:v>2.9307644662433341</c:v>
                </c:pt>
                <c:pt idx="9">
                  <c:v>3.2210264948023046</c:v>
                </c:pt>
              </c:numCache>
            </c:numRef>
          </c:val>
          <c:smooth val="0"/>
          <c:extLst>
            <c:ext xmlns:c16="http://schemas.microsoft.com/office/drawing/2014/chart" uri="{C3380CC4-5D6E-409C-BE32-E72D297353CC}">
              <c16:uniqueId val="{00000000-A604-4B21-8A8A-8E3AEE787338}"/>
            </c:ext>
          </c:extLst>
        </c:ser>
        <c:ser>
          <c:idx val="1"/>
          <c:order val="1"/>
          <c:spPr>
            <a:ln w="34925" cap="rnd">
              <a:solidFill>
                <a:schemeClr val="accent2"/>
              </a:solidFill>
              <a:round/>
            </a:ln>
            <a:effectLst>
              <a:outerShdw blurRad="40000" dist="23000" dir="5400000" rotWithShape="0">
                <a:srgbClr val="000000">
                  <a:alpha val="35000"/>
                </a:srgbClr>
              </a:outerShdw>
            </a:effectLst>
          </c:spPr>
          <c:marker>
            <c:symbol val="none"/>
          </c:marker>
          <c:cat>
            <c:numRef>
              <c:f>'21'!$A$11:$A$20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'21'!$E$11:$E$20</c:f>
              <c:numCache>
                <c:formatCode>0.0</c:formatCode>
                <c:ptCount val="10"/>
                <c:pt idx="0">
                  <c:v>2.6808545739503424</c:v>
                </c:pt>
                <c:pt idx="1">
                  <c:v>2.7120942452750234</c:v>
                </c:pt>
                <c:pt idx="2">
                  <c:v>3.8553947588981394</c:v>
                </c:pt>
                <c:pt idx="3">
                  <c:v>3.4918605223036443</c:v>
                </c:pt>
                <c:pt idx="4">
                  <c:v>2.6250410162658793</c:v>
                </c:pt>
                <c:pt idx="5">
                  <c:v>3.3961099104661931</c:v>
                </c:pt>
                <c:pt idx="6">
                  <c:v>2.7128207910585429</c:v>
                </c:pt>
                <c:pt idx="7">
                  <c:v>4.8833819241982512</c:v>
                </c:pt>
                <c:pt idx="8">
                  <c:v>3.9039625219597891</c:v>
                </c:pt>
                <c:pt idx="9">
                  <c:v>3.4327651515151514</c:v>
                </c:pt>
              </c:numCache>
            </c:numRef>
          </c:val>
          <c:smooth val="0"/>
          <c:extLst>
            <c:ext xmlns:c16="http://schemas.microsoft.com/office/drawing/2014/chart" uri="{C3380CC4-5D6E-409C-BE32-E72D297353CC}">
              <c16:uniqueId val="{00000001-A604-4B21-8A8A-8E3AEE787338}"/>
            </c:ext>
          </c:extLst>
        </c:ser>
        <c:ser>
          <c:idx val="2"/>
          <c:order val="2"/>
          <c:spPr>
            <a:ln w="34925" cap="rnd">
              <a:solidFill>
                <a:schemeClr val="accent3"/>
              </a:solidFill>
              <a:round/>
            </a:ln>
            <a:effectLst>
              <a:outerShdw blurRad="40000" dist="23000" dir="5400000" rotWithShape="0">
                <a:srgbClr val="000000">
                  <a:alpha val="35000"/>
                </a:srgbClr>
              </a:outerShdw>
            </a:effectLst>
          </c:spPr>
          <c:marker>
            <c:symbol val="none"/>
          </c:marker>
          <c:cat>
            <c:numRef>
              <c:f>'21'!$A$11:$A$20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'21'!$G$11:$G$20</c:f>
              <c:numCache>
                <c:formatCode>0.0</c:formatCode>
                <c:ptCount val="10"/>
                <c:pt idx="0">
                  <c:v>3.4638955502264852</c:v>
                </c:pt>
                <c:pt idx="1">
                  <c:v>3.3687483804094325</c:v>
                </c:pt>
                <c:pt idx="2">
                  <c:v>2.4308720753570343</c:v>
                </c:pt>
                <c:pt idx="3">
                  <c:v>1.3427324605572339</c:v>
                </c:pt>
                <c:pt idx="4">
                  <c:v>3.2133676092544987</c:v>
                </c:pt>
                <c:pt idx="5">
                  <c:v>2.9004189494038028</c:v>
                </c:pt>
                <c:pt idx="6">
                  <c:v>4.5977011494252871</c:v>
                </c:pt>
                <c:pt idx="7">
                  <c:v>4.08905043162199</c:v>
                </c:pt>
                <c:pt idx="8">
                  <c:v>3.7468776019983348</c:v>
                </c:pt>
                <c:pt idx="9">
                  <c:v>2.6466696074106753</c:v>
                </c:pt>
              </c:numCache>
            </c:numRef>
          </c:val>
          <c:smooth val="0"/>
          <c:extLst>
            <c:ext xmlns:c16="http://schemas.microsoft.com/office/drawing/2014/chart" uri="{C3380CC4-5D6E-409C-BE32-E72D297353CC}">
              <c16:uniqueId val="{00000002-A604-4B21-8A8A-8E3AEE787338}"/>
            </c:ext>
          </c:extLst>
        </c:ser>
        <c:dLbls>
          <c:showLegendKey val="0"/>
          <c:showVal val="0"/>
          <c:showCatName val="0"/>
          <c:showSerName val="0"/>
          <c:showPercent val="0"/>
          <c:showBubbleSize val="0"/>
        </c:dLbls>
        <c:smooth val="0"/>
        <c:axId val="-1443015968"/>
        <c:axId val="-1443014880"/>
      </c:lineChart>
      <c:catAx>
        <c:axId val="-1443015968"/>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ES"/>
                  <a:t>0/00</a:t>
                </a:r>
              </a:p>
            </c:rich>
          </c:tx>
          <c:layout>
            <c:manualLayout>
              <c:xMode val="edge"/>
              <c:yMode val="edge"/>
              <c:x val="8.5470085470085496E-3"/>
              <c:y val="0.114795918367346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3014880"/>
        <c:crosses val="autoZero"/>
        <c:auto val="1"/>
        <c:lblAlgn val="ctr"/>
        <c:lblOffset val="100"/>
        <c:tickLblSkip val="1"/>
        <c:tickMarkSkip val="1"/>
        <c:noMultiLvlLbl val="0"/>
      </c:catAx>
      <c:valAx>
        <c:axId val="-1443014880"/>
        <c:scaling>
          <c:orientation val="minMax"/>
          <c:max val="6"/>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3015968"/>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sz="1200">
                <a:solidFill>
                  <a:schemeClr val="accent1">
                    <a:lumMod val="75000"/>
                  </a:schemeClr>
                </a:solidFill>
              </a:rPr>
              <a:t>TASA MORT.  NEONATAL  PAIS REGION SERV. SALUD
AÑOS  2014 - 2023 (tasa x mil nac. vivos)</a:t>
            </a:r>
            <a:r>
              <a:rPr lang="es-ES"/>
              <a:t>
 </a:t>
            </a:r>
          </a:p>
        </c:rich>
      </c:tx>
      <c:layout>
        <c:manualLayout>
          <c:xMode val="edge"/>
          <c:yMode val="edge"/>
          <c:x val="0.19070904645476774"/>
          <c:y val="3.3163265306122451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6.1124694376528114E-2"/>
          <c:y val="0.24744897959184958"/>
          <c:w val="0.92053789731051361"/>
          <c:h val="0.54846938775510157"/>
        </c:manualLayout>
      </c:layout>
      <c:lineChart>
        <c:grouping val="standard"/>
        <c:varyColors val="0"/>
        <c:ser>
          <c:idx val="0"/>
          <c:order val="0"/>
          <c:spPr>
            <a:ln w="34925" cap="rnd">
              <a:solidFill>
                <a:schemeClr val="accent1"/>
              </a:solidFill>
              <a:round/>
            </a:ln>
            <a:effectLst>
              <a:outerShdw blurRad="40000" dist="23000" dir="5400000" rotWithShape="0">
                <a:srgbClr val="000000">
                  <a:alpha val="35000"/>
                </a:srgbClr>
              </a:outerShdw>
            </a:effectLst>
          </c:spPr>
          <c:marker>
            <c:symbol val="none"/>
          </c:marker>
          <c:cat>
            <c:numRef>
              <c:f>'22'!$A$11:$A$20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'22'!$C$11:$C$20</c:f>
              <c:numCache>
                <c:formatCode>0.0</c:formatCode>
                <c:ptCount val="10"/>
                <c:pt idx="0">
                  <c:v>5.3596765330643246</c:v>
                </c:pt>
                <c:pt idx="1">
                  <c:v>5.1089222217680961</c:v>
                </c:pt>
                <c:pt idx="2">
                  <c:v>5.2371669915529564</c:v>
                </c:pt>
                <c:pt idx="3">
                  <c:v>4.3586692380991465</c:v>
                </c:pt>
                <c:pt idx="4">
                  <c:v>4.2438810991697142</c:v>
                </c:pt>
                <c:pt idx="5">
                  <c:v>4.1156995491416444</c:v>
                </c:pt>
                <c:pt idx="6">
                  <c:v>4.2746160241990196</c:v>
                </c:pt>
                <c:pt idx="7">
                  <c:v>4.501531536105329</c:v>
                </c:pt>
                <c:pt idx="8">
                  <c:v>4.3256472104862951</c:v>
                </c:pt>
                <c:pt idx="9">
                  <c:v>4.7771884958435598</c:v>
                </c:pt>
              </c:numCache>
            </c:numRef>
          </c:val>
          <c:smooth val="0"/>
          <c:extLst>
            <c:ext xmlns:c16="http://schemas.microsoft.com/office/drawing/2014/chart" uri="{C3380CC4-5D6E-409C-BE32-E72D297353CC}">
              <c16:uniqueId val="{00000000-34FE-4ABD-B51C-8AB4E71210BE}"/>
            </c:ext>
          </c:extLst>
        </c:ser>
        <c:ser>
          <c:idx val="1"/>
          <c:order val="1"/>
          <c:spPr>
            <a:ln w="34925" cap="rnd">
              <a:solidFill>
                <a:schemeClr val="accent2"/>
              </a:solidFill>
              <a:round/>
            </a:ln>
            <a:effectLst>
              <a:outerShdw blurRad="40000" dist="23000" dir="5400000" rotWithShape="0">
                <a:srgbClr val="000000">
                  <a:alpha val="35000"/>
                </a:srgbClr>
              </a:outerShdw>
            </a:effectLst>
          </c:spPr>
          <c:marker>
            <c:symbol val="none"/>
          </c:marker>
          <c:cat>
            <c:numRef>
              <c:f>'22'!$A$11:$A$20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'22'!$E$11:$E$20</c:f>
              <c:numCache>
                <c:formatCode>0.0</c:formatCode>
                <c:ptCount val="10"/>
                <c:pt idx="0">
                  <c:v>3.3407572383073498</c:v>
                </c:pt>
                <c:pt idx="1">
                  <c:v>4.7885414018137125</c:v>
                </c:pt>
                <c:pt idx="2">
                  <c:v>5.028775772475834</c:v>
                </c:pt>
                <c:pt idx="3">
                  <c:v>5.1640190822800376</c:v>
                </c:pt>
                <c:pt idx="4">
                  <c:v>3.84381005953218</c:v>
                </c:pt>
                <c:pt idx="5">
                  <c:v>4.4766903365236184</c:v>
                </c:pt>
                <c:pt idx="6">
                  <c:v>2.7128207910585429</c:v>
                </c:pt>
                <c:pt idx="7">
                  <c:v>3.1341107871720113</c:v>
                </c:pt>
                <c:pt idx="8">
                  <c:v>4.7498210683844109</c:v>
                </c:pt>
                <c:pt idx="9">
                  <c:v>5.1491477272727266</c:v>
                </c:pt>
              </c:numCache>
            </c:numRef>
          </c:val>
          <c:smooth val="0"/>
          <c:extLst>
            <c:ext xmlns:c16="http://schemas.microsoft.com/office/drawing/2014/chart" uri="{C3380CC4-5D6E-409C-BE32-E72D297353CC}">
              <c16:uniqueId val="{00000001-34FE-4ABD-B51C-8AB4E71210BE}"/>
            </c:ext>
          </c:extLst>
        </c:ser>
        <c:ser>
          <c:idx val="2"/>
          <c:order val="2"/>
          <c:spPr>
            <a:ln w="34925" cap="rnd">
              <a:solidFill>
                <a:schemeClr val="accent3"/>
              </a:solidFill>
              <a:round/>
            </a:ln>
            <a:effectLst>
              <a:outerShdw blurRad="40000" dist="23000" dir="5400000" rotWithShape="0">
                <a:srgbClr val="000000">
                  <a:alpha val="35000"/>
                </a:srgbClr>
              </a:outerShdw>
            </a:effectLst>
          </c:spPr>
          <c:marker>
            <c:symbol val="none"/>
          </c:marker>
          <c:cat>
            <c:numRef>
              <c:f>'22'!$A$11:$A$20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'22'!$G$11:$G$20</c:f>
              <c:numCache>
                <c:formatCode>0.0</c:formatCode>
                <c:ptCount val="10"/>
                <c:pt idx="0">
                  <c:v>5.329070077271516</c:v>
                </c:pt>
                <c:pt idx="1">
                  <c:v>5.9600932884166884</c:v>
                </c:pt>
                <c:pt idx="2">
                  <c:v>3.0385900941962931</c:v>
                </c:pt>
                <c:pt idx="3">
                  <c:v>4.0281973816717018</c:v>
                </c:pt>
                <c:pt idx="4">
                  <c:v>4.4987146529562985</c:v>
                </c:pt>
                <c:pt idx="5">
                  <c:v>5.1563003544956496</c:v>
                </c:pt>
                <c:pt idx="6">
                  <c:v>4.9808429118773949</c:v>
                </c:pt>
                <c:pt idx="7">
                  <c:v>4.543389368468878</c:v>
                </c:pt>
                <c:pt idx="8">
                  <c:v>0.41631973355537055</c:v>
                </c:pt>
                <c:pt idx="9">
                  <c:v>4.852227613586237</c:v>
                </c:pt>
              </c:numCache>
            </c:numRef>
          </c:val>
          <c:smooth val="0"/>
          <c:extLst>
            <c:ext xmlns:c16="http://schemas.microsoft.com/office/drawing/2014/chart" uri="{C3380CC4-5D6E-409C-BE32-E72D297353CC}">
              <c16:uniqueId val="{00000002-34FE-4ABD-B51C-8AB4E71210BE}"/>
            </c:ext>
          </c:extLst>
        </c:ser>
        <c:dLbls>
          <c:showLegendKey val="0"/>
          <c:showVal val="0"/>
          <c:showCatName val="0"/>
          <c:showSerName val="0"/>
          <c:showPercent val="0"/>
          <c:showBubbleSize val="0"/>
        </c:dLbls>
        <c:smooth val="0"/>
        <c:axId val="-1441540416"/>
        <c:axId val="-1441537152"/>
      </c:lineChart>
      <c:catAx>
        <c:axId val="-1441540416"/>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ES"/>
                  <a:t>0/00</a:t>
                </a:r>
              </a:p>
            </c:rich>
          </c:tx>
          <c:layout>
            <c:manualLayout>
              <c:xMode val="edge"/>
              <c:yMode val="edge"/>
              <c:x val="6.1124694376529023E-3"/>
              <c:y val="0.135204081632653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1537152"/>
        <c:crosses val="autoZero"/>
        <c:auto val="1"/>
        <c:lblAlgn val="ctr"/>
        <c:lblOffset val="100"/>
        <c:tickLblSkip val="1"/>
        <c:tickMarkSkip val="1"/>
        <c:noMultiLvlLbl val="0"/>
      </c:catAx>
      <c:valAx>
        <c:axId val="-1441537152"/>
        <c:scaling>
          <c:orientation val="minMax"/>
          <c:max val="8"/>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154041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TASA MORT. INFANTIL TARDIA  PAIS REGION SERV. SALUD
AÑOS  2013 - 2022 (tasa x mil nac. vivos)
 </a:t>
            </a:r>
          </a:p>
        </c:rich>
      </c:tx>
      <c:layout>
        <c:manualLayout>
          <c:xMode val="edge"/>
          <c:yMode val="edge"/>
          <c:x val="0.15892420537897844"/>
          <c:y val="3.3163265306122451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6.1124694376528114E-2"/>
          <c:y val="0.22959183673469391"/>
          <c:w val="0.92176039119804398"/>
          <c:h val="0.57653061224490065"/>
        </c:manualLayout>
      </c:layout>
      <c:lineChart>
        <c:grouping val="standard"/>
        <c:varyColors val="0"/>
        <c:ser>
          <c:idx val="0"/>
          <c:order val="0"/>
          <c:tx>
            <c:v>PAIS</c:v>
          </c:tx>
          <c:spPr>
            <a:ln w="34925" cap="rnd">
              <a:solidFill>
                <a:schemeClr val="accent1"/>
              </a:solidFill>
              <a:round/>
            </a:ln>
            <a:effectLst>
              <a:outerShdw blurRad="40000" dist="23000" dir="5400000" rotWithShape="0">
                <a:srgbClr val="000000">
                  <a:alpha val="35000"/>
                </a:srgbClr>
              </a:outerShdw>
            </a:effectLst>
          </c:spPr>
          <c:marker>
            <c:symbol val="none"/>
          </c:marker>
          <c:cat>
            <c:numRef>
              <c:f>'23'!$A$11:$A$19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'23'!$C$11:$C$19</c:f>
              <c:numCache>
                <c:formatCode>0.0</c:formatCode>
                <c:ptCount val="9"/>
                <c:pt idx="0">
                  <c:v>2.0708773138465828</c:v>
                </c:pt>
                <c:pt idx="1">
                  <c:v>1.7697306576204686</c:v>
                </c:pt>
                <c:pt idx="2">
                  <c:v>1.6764132553606237</c:v>
                </c:pt>
                <c:pt idx="3">
                  <c:v>1.5729507187700893</c:v>
                </c:pt>
                <c:pt idx="4">
                  <c:v>1.5920191583495318</c:v>
                </c:pt>
                <c:pt idx="5">
                  <c:v>1.6673614005835766</c:v>
                </c:pt>
                <c:pt idx="6">
                  <c:v>1.265041496421667</c:v>
                </c:pt>
                <c:pt idx="7">
                  <c:v>1.2748698335335895</c:v>
                </c:pt>
                <c:pt idx="8">
                  <c:v>1.3797757109118101</c:v>
                </c:pt>
              </c:numCache>
            </c:numRef>
          </c:val>
          <c:smooth val="0"/>
          <c:extLst>
            <c:ext xmlns:c16="http://schemas.microsoft.com/office/drawing/2014/chart" uri="{C3380CC4-5D6E-409C-BE32-E72D297353CC}">
              <c16:uniqueId val="{00000000-4A68-4549-B29A-4E2D749EA356}"/>
            </c:ext>
          </c:extLst>
        </c:ser>
        <c:ser>
          <c:idx val="1"/>
          <c:order val="1"/>
          <c:tx>
            <c:v>REGION</c:v>
          </c:tx>
          <c:spPr>
            <a:ln w="34925" cap="rnd">
              <a:solidFill>
                <a:schemeClr val="accent2"/>
              </a:solidFill>
              <a:round/>
            </a:ln>
            <a:effectLst>
              <a:outerShdw blurRad="40000" dist="23000" dir="5400000" rotWithShape="0">
                <a:srgbClr val="000000">
                  <a:alpha val="35000"/>
                </a:srgbClr>
              </a:outerShdw>
            </a:effectLst>
          </c:spPr>
          <c:marker>
            <c:symbol val="none"/>
          </c:marker>
          <c:cat>
            <c:numRef>
              <c:f>'23'!$A$11:$A$19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'23'!$E$11:$E$19</c:f>
              <c:numCache>
                <c:formatCode>0.0</c:formatCode>
                <c:ptCount val="9"/>
                <c:pt idx="0">
                  <c:v>1.6497566608925183</c:v>
                </c:pt>
                <c:pt idx="1">
                  <c:v>1.8221883210441563</c:v>
                </c:pt>
                <c:pt idx="2">
                  <c:v>2.626138458959602</c:v>
                </c:pt>
                <c:pt idx="3">
                  <c:v>1.868883096444204</c:v>
                </c:pt>
                <c:pt idx="4">
                  <c:v>1.7812778324661322</c:v>
                </c:pt>
                <c:pt idx="5">
                  <c:v>1.5951425337038181</c:v>
                </c:pt>
                <c:pt idx="6">
                  <c:v>1.3021539797081005</c:v>
                </c:pt>
                <c:pt idx="7">
                  <c:v>0.6559766763848397</c:v>
                </c:pt>
                <c:pt idx="8">
                  <c:v>1.4965189667512524</c:v>
                </c:pt>
              </c:numCache>
            </c:numRef>
          </c:val>
          <c:smooth val="0"/>
          <c:extLst>
            <c:ext xmlns:c16="http://schemas.microsoft.com/office/drawing/2014/chart" uri="{C3380CC4-5D6E-409C-BE32-E72D297353CC}">
              <c16:uniqueId val="{00000001-4A68-4549-B29A-4E2D749EA356}"/>
            </c:ext>
          </c:extLst>
        </c:ser>
        <c:ser>
          <c:idx val="2"/>
          <c:order val="2"/>
          <c:tx>
            <c:v>S. SALUD</c:v>
          </c:tx>
          <c:spPr>
            <a:ln w="34925" cap="rnd">
              <a:solidFill>
                <a:schemeClr val="accent3"/>
              </a:solidFill>
              <a:round/>
            </a:ln>
            <a:effectLst>
              <a:outerShdw blurRad="40000" dist="23000" dir="5400000" rotWithShape="0">
                <a:srgbClr val="000000">
                  <a:alpha val="35000"/>
                </a:srgbClr>
              </a:outerShdw>
            </a:effectLst>
          </c:spPr>
          <c:marker>
            <c:symbol val="none"/>
          </c:marker>
          <c:cat>
            <c:numRef>
              <c:f>'23'!$A$11:$A$19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'23'!$G$11:$G$19</c:f>
              <c:numCache>
                <c:formatCode>0.0</c:formatCode>
                <c:ptCount val="9"/>
                <c:pt idx="0">
                  <c:v>2.1316280309086064</c:v>
                </c:pt>
                <c:pt idx="1">
                  <c:v>1.8139414356050791</c:v>
                </c:pt>
                <c:pt idx="2">
                  <c:v>1.8231540565177757</c:v>
                </c:pt>
                <c:pt idx="3">
                  <c:v>2.3497818059751596</c:v>
                </c:pt>
                <c:pt idx="4">
                  <c:v>1.6066838046272494</c:v>
                </c:pt>
                <c:pt idx="5">
                  <c:v>0.96680631646793425</c:v>
                </c:pt>
                <c:pt idx="6">
                  <c:v>1.1494252873563218</c:v>
                </c:pt>
                <c:pt idx="7">
                  <c:v>0.90867787369377551</c:v>
                </c:pt>
                <c:pt idx="8">
                  <c:v>2.0815986677768525</c:v>
                </c:pt>
              </c:numCache>
            </c:numRef>
          </c:val>
          <c:smooth val="0"/>
          <c:extLst>
            <c:ext xmlns:c16="http://schemas.microsoft.com/office/drawing/2014/chart" uri="{C3380CC4-5D6E-409C-BE32-E72D297353CC}">
              <c16:uniqueId val="{00000002-4A68-4549-B29A-4E2D749EA356}"/>
            </c:ext>
          </c:extLst>
        </c:ser>
        <c:dLbls>
          <c:showLegendKey val="0"/>
          <c:showVal val="0"/>
          <c:showCatName val="0"/>
          <c:showSerName val="0"/>
          <c:showPercent val="0"/>
          <c:showBubbleSize val="0"/>
        </c:dLbls>
        <c:smooth val="0"/>
        <c:axId val="-1441538784"/>
        <c:axId val="-1441549120"/>
      </c:lineChart>
      <c:catAx>
        <c:axId val="-1441538784"/>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ES"/>
                  <a:t>0/00</a:t>
                </a:r>
              </a:p>
            </c:rich>
          </c:tx>
          <c:layout>
            <c:manualLayout>
              <c:xMode val="edge"/>
              <c:yMode val="edge"/>
              <c:x val="1.7114914425427872E-2"/>
              <c:y val="0.132653061224489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1549120"/>
        <c:crosses val="autoZero"/>
        <c:auto val="1"/>
        <c:lblAlgn val="ctr"/>
        <c:lblOffset val="100"/>
        <c:tickLblSkip val="1"/>
        <c:tickMarkSkip val="1"/>
        <c:noMultiLvlLbl val="0"/>
      </c:catAx>
      <c:valAx>
        <c:axId val="-1441549120"/>
        <c:scaling>
          <c:orientation val="minMax"/>
          <c:max val="3"/>
          <c:min val="0.60000000000000064"/>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153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sz="1200">
                <a:solidFill>
                  <a:schemeClr val="accent1">
                    <a:lumMod val="75000"/>
                  </a:schemeClr>
                </a:solidFill>
              </a:rPr>
              <a:t>TASA MORT. INFANTIL  PAIS REGION SERV. SALUD
AÑOS  2013 - 2022 (tasa x mil nac. vivos)</a:t>
            </a:r>
            <a:r>
              <a:rPr lang="es-ES"/>
              <a:t>
 </a:t>
            </a:r>
          </a:p>
        </c:rich>
      </c:tx>
      <c:layout>
        <c:manualLayout>
          <c:xMode val="edge"/>
          <c:yMode val="edge"/>
          <c:x val="0.20271939112747189"/>
          <c:y val="3.307888040712501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5.4388133498145932E-2"/>
          <c:y val="0.23409727381837558"/>
          <c:w val="0.94066749072929545"/>
          <c:h val="0.58778772013089997"/>
        </c:manualLayout>
      </c:layout>
      <c:lineChart>
        <c:grouping val="standard"/>
        <c:varyColors val="0"/>
        <c:ser>
          <c:idx val="0"/>
          <c:order val="0"/>
          <c:spPr>
            <a:ln w="34925" cap="rnd">
              <a:solidFill>
                <a:schemeClr val="accent1"/>
              </a:solidFill>
              <a:round/>
            </a:ln>
            <a:effectLst>
              <a:outerShdw blurRad="40000" dist="23000" dir="5400000" rotWithShape="0">
                <a:srgbClr val="000000">
                  <a:alpha val="35000"/>
                </a:srgbClr>
              </a:outerShdw>
            </a:effectLst>
          </c:spPr>
          <c:marker>
            <c:symbol val="none"/>
          </c:marker>
          <c:cat>
            <c:numRef>
              <c:f>'24'!$A$11:$A$20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'24'!$C$11:$C$20</c:f>
              <c:numCache>
                <c:formatCode>0.0</c:formatCode>
                <c:ptCount val="10"/>
                <c:pt idx="0">
                  <c:v>7.4305538469109074</c:v>
                </c:pt>
                <c:pt idx="1">
                  <c:v>6.8786528793885644</c:v>
                </c:pt>
                <c:pt idx="2">
                  <c:v>6.9135802469135808</c:v>
                </c:pt>
                <c:pt idx="3">
                  <c:v>5.9316199568692358</c:v>
                </c:pt>
                <c:pt idx="4">
                  <c:v>5.8359002575192465</c:v>
                </c:pt>
                <c:pt idx="5">
                  <c:v>5.783060949725221</c:v>
                </c:pt>
                <c:pt idx="6">
                  <c:v>5.5396575206206862</c:v>
                </c:pt>
                <c:pt idx="7">
                  <c:v>5.7764013696389185</c:v>
                </c:pt>
                <c:pt idx="8">
                  <c:v>5.7054229213981049</c:v>
                </c:pt>
                <c:pt idx="9">
                  <c:v>6.4821012763961123</c:v>
                </c:pt>
              </c:numCache>
            </c:numRef>
          </c:val>
          <c:smooth val="0"/>
          <c:extLst>
            <c:ext xmlns:c16="http://schemas.microsoft.com/office/drawing/2014/chart" uri="{C3380CC4-5D6E-409C-BE32-E72D297353CC}">
              <c16:uniqueId val="{00000000-3670-4535-B5B5-13F0CEADB32B}"/>
            </c:ext>
          </c:extLst>
        </c:ser>
        <c:ser>
          <c:idx val="1"/>
          <c:order val="1"/>
          <c:spPr>
            <a:ln w="34925" cap="rnd">
              <a:solidFill>
                <a:schemeClr val="accent2"/>
              </a:solidFill>
              <a:round/>
            </a:ln>
            <a:effectLst>
              <a:outerShdw blurRad="40000" dist="23000" dir="5400000" rotWithShape="0">
                <a:srgbClr val="000000">
                  <a:alpha val="35000"/>
                </a:srgbClr>
              </a:outerShdw>
            </a:effectLst>
          </c:spPr>
          <c:marker>
            <c:symbol val="none"/>
          </c:marker>
          <c:cat>
            <c:numRef>
              <c:f>'24'!$A$11:$A$20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'24'!$E$11:$E$20</c:f>
              <c:numCache>
                <c:formatCode>0.0</c:formatCode>
                <c:ptCount val="10"/>
                <c:pt idx="0">
                  <c:v>4.9905138991998683</c:v>
                </c:pt>
                <c:pt idx="1">
                  <c:v>6.6107297228578688</c:v>
                </c:pt>
                <c:pt idx="2">
                  <c:v>7.6549142314354368</c:v>
                </c:pt>
                <c:pt idx="3">
                  <c:v>7.0329021787242416</c:v>
                </c:pt>
                <c:pt idx="4">
                  <c:v>5.6250878919983132</c:v>
                </c:pt>
                <c:pt idx="5">
                  <c:v>6.0718328702274365</c:v>
                </c:pt>
                <c:pt idx="6">
                  <c:v>4.014974770766643</c:v>
                </c:pt>
                <c:pt idx="7">
                  <c:v>3.7900874635568513</c:v>
                </c:pt>
                <c:pt idx="8">
                  <c:v>6.2463400351356633</c:v>
                </c:pt>
                <c:pt idx="9">
                  <c:v>7.279829545454545</c:v>
                </c:pt>
              </c:numCache>
            </c:numRef>
          </c:val>
          <c:smooth val="0"/>
          <c:extLst>
            <c:ext xmlns:c16="http://schemas.microsoft.com/office/drawing/2014/chart" uri="{C3380CC4-5D6E-409C-BE32-E72D297353CC}">
              <c16:uniqueId val="{00000001-3670-4535-B5B5-13F0CEADB32B}"/>
            </c:ext>
          </c:extLst>
        </c:ser>
        <c:ser>
          <c:idx val="2"/>
          <c:order val="2"/>
          <c:spPr>
            <a:ln w="34925" cap="rnd">
              <a:solidFill>
                <a:schemeClr val="accent3"/>
              </a:solidFill>
              <a:round/>
            </a:ln>
            <a:effectLst>
              <a:outerShdw blurRad="40000" dist="23000" dir="5400000" rotWithShape="0">
                <a:srgbClr val="000000">
                  <a:alpha val="35000"/>
                </a:srgbClr>
              </a:outerShdw>
            </a:effectLst>
          </c:spPr>
          <c:marker>
            <c:symbol val="none"/>
          </c:marker>
          <c:cat>
            <c:numRef>
              <c:f>'24'!$A$11:$A$20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'24'!$G$11:$G$20</c:f>
              <c:numCache>
                <c:formatCode>0.0</c:formatCode>
                <c:ptCount val="10"/>
                <c:pt idx="0">
                  <c:v>7.4606981081801225</c:v>
                </c:pt>
                <c:pt idx="1">
                  <c:v>7.7740347240217673</c:v>
                </c:pt>
                <c:pt idx="2">
                  <c:v>4.8617441507140686</c:v>
                </c:pt>
                <c:pt idx="3">
                  <c:v>6.3779791876468614</c:v>
                </c:pt>
                <c:pt idx="4">
                  <c:v>6.1053984575835472</c:v>
                </c:pt>
                <c:pt idx="5">
                  <c:v>6.1231066709635842</c:v>
                </c:pt>
                <c:pt idx="6">
                  <c:v>6.1302681992337167</c:v>
                </c:pt>
                <c:pt idx="7">
                  <c:v>5.452067242162653</c:v>
                </c:pt>
                <c:pt idx="8">
                  <c:v>2.4979184013322233</c:v>
                </c:pt>
                <c:pt idx="9">
                  <c:v>5.7344508160564622</c:v>
                </c:pt>
              </c:numCache>
            </c:numRef>
          </c:val>
          <c:smooth val="0"/>
          <c:extLst>
            <c:ext xmlns:c16="http://schemas.microsoft.com/office/drawing/2014/chart" uri="{C3380CC4-5D6E-409C-BE32-E72D297353CC}">
              <c16:uniqueId val="{00000002-3670-4535-B5B5-13F0CEADB32B}"/>
            </c:ext>
          </c:extLst>
        </c:ser>
        <c:dLbls>
          <c:showLegendKey val="0"/>
          <c:showVal val="0"/>
          <c:showCatName val="0"/>
          <c:showSerName val="0"/>
          <c:showPercent val="0"/>
          <c:showBubbleSize val="0"/>
        </c:dLbls>
        <c:smooth val="0"/>
        <c:axId val="-1441545312"/>
        <c:axId val="-1441546944"/>
      </c:lineChart>
      <c:catAx>
        <c:axId val="-1441545312"/>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ES"/>
                  <a:t>0/00</a:t>
                </a:r>
              </a:p>
            </c:rich>
          </c:tx>
          <c:layout>
            <c:manualLayout>
              <c:xMode val="edge"/>
              <c:yMode val="edge"/>
              <c:x val="6.1804927195839134E-3"/>
              <c:y val="0.139949376556950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1546944"/>
        <c:crosses val="autoZero"/>
        <c:auto val="1"/>
        <c:lblAlgn val="ctr"/>
        <c:lblOffset val="100"/>
        <c:tickLblSkip val="1"/>
        <c:tickMarkSkip val="1"/>
        <c:noMultiLvlLbl val="0"/>
      </c:catAx>
      <c:valAx>
        <c:axId val="-1441546944"/>
        <c:scaling>
          <c:orientation val="minMax"/>
          <c:max val="8"/>
          <c:min val="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1545312"/>
        <c:crosses val="autoZero"/>
        <c:crossBetween val="between"/>
        <c:majorUnit val="0.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sz="1200">
                <a:solidFill>
                  <a:schemeClr val="accent1">
                    <a:lumMod val="75000"/>
                  </a:schemeClr>
                </a:solidFill>
              </a:rPr>
              <a:t>TASA MORT. MATERNA PAIS REGION SERV. SALUD
AÑOS  2013 - 2022 (tasa x 10mil nac. vivos)</a:t>
            </a:r>
            <a:r>
              <a:rPr lang="es-ES"/>
              <a:t>
 </a:t>
            </a:r>
          </a:p>
        </c:rich>
      </c:tx>
      <c:layout>
        <c:manualLayout>
          <c:xMode val="edge"/>
          <c:yMode val="edge"/>
          <c:x val="0.1926492252984506"/>
          <c:y val="3.316329733592461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5.7034291124909049E-2"/>
          <c:y val="0.24489795918367346"/>
          <c:w val="0.92268808753179465"/>
          <c:h val="0.55102040816326525"/>
        </c:manualLayout>
      </c:layout>
      <c:lineChart>
        <c:grouping val="standard"/>
        <c:varyColors val="0"/>
        <c:ser>
          <c:idx val="0"/>
          <c:order val="0"/>
          <c:tx>
            <c:v>PAIS</c:v>
          </c:tx>
          <c:spPr>
            <a:ln w="34925" cap="rnd">
              <a:solidFill>
                <a:schemeClr val="accent1"/>
              </a:solidFill>
              <a:round/>
            </a:ln>
            <a:effectLst>
              <a:outerShdw blurRad="40000" dist="23000" dir="5400000" rotWithShape="0">
                <a:srgbClr val="000000">
                  <a:alpha val="35000"/>
                </a:srgbClr>
              </a:outerShdw>
            </a:effectLst>
          </c:spPr>
          <c:marker>
            <c:symbol val="none"/>
          </c:marker>
          <c:cat>
            <c:numRef>
              <c:f>'25'!$A$11:$A$19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'25'!$C$11:$C$19</c:f>
              <c:numCache>
                <c:formatCode>0.0</c:formatCode>
                <c:ptCount val="9"/>
                <c:pt idx="0">
                  <c:v>1.5582839193301019</c:v>
                </c:pt>
                <c:pt idx="1">
                  <c:v>1.553112355417501</c:v>
                </c:pt>
                <c:pt idx="2">
                  <c:v>1.4728178470868529</c:v>
                </c:pt>
                <c:pt idx="3">
                  <c:v>1.5045615570844333</c:v>
                </c:pt>
                <c:pt idx="4">
                  <c:v>1.5333895576171128</c:v>
                </c:pt>
                <c:pt idx="5">
                  <c:v>1.5811185695189087</c:v>
                </c:pt>
                <c:pt idx="6">
                  <c:v>1.7343310838038981</c:v>
                </c:pt>
                <c:pt idx="7">
                  <c:v>2.4256372938913429</c:v>
                </c:pt>
                <c:pt idx="8">
                  <c:v>1.3596329998036085</c:v>
                </c:pt>
              </c:numCache>
            </c:numRef>
          </c:val>
          <c:smooth val="0"/>
          <c:extLst>
            <c:ext xmlns:c16="http://schemas.microsoft.com/office/drawing/2014/chart" uri="{C3380CC4-5D6E-409C-BE32-E72D297353CC}">
              <c16:uniqueId val="{00000000-142C-4D8D-9B51-04DCF7F4B523}"/>
            </c:ext>
          </c:extLst>
        </c:ser>
        <c:ser>
          <c:idx val="1"/>
          <c:order val="1"/>
          <c:tx>
            <c:v>REGION</c:v>
          </c:tx>
          <c:spPr>
            <a:ln w="34925" cap="rnd">
              <a:solidFill>
                <a:schemeClr val="accent2"/>
              </a:solidFill>
              <a:round/>
            </a:ln>
            <a:effectLst>
              <a:outerShdw blurRad="40000" dist="23000" dir="5400000" rotWithShape="0">
                <a:srgbClr val="000000">
                  <a:alpha val="35000"/>
                </a:srgbClr>
              </a:outerShdw>
            </a:effectLst>
          </c:spPr>
          <c:marker>
            <c:symbol val="none"/>
          </c:marker>
          <c:cat>
            <c:numRef>
              <c:f>'25'!$A$11:$A$19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'25'!$E$11:$E$19</c:f>
              <c:numCache>
                <c:formatCode>0.0</c:formatCode>
                <c:ptCount val="9"/>
                <c:pt idx="0">
                  <c:v>0.82487833044625913</c:v>
                </c:pt>
                <c:pt idx="1">
                  <c:v>0.42376472582422242</c:v>
                </c:pt>
                <c:pt idx="2">
                  <c:v>0.55875286360842602</c:v>
                </c:pt>
                <c:pt idx="3">
                  <c:v>1.4754340235085821</c:v>
                </c:pt>
                <c:pt idx="4">
                  <c:v>0</c:v>
                </c:pt>
                <c:pt idx="5">
                  <c:v>2.0582484305855715</c:v>
                </c:pt>
                <c:pt idx="6">
                  <c:v>4.3405132656936685</c:v>
                </c:pt>
                <c:pt idx="7">
                  <c:v>0</c:v>
                </c:pt>
                <c:pt idx="8">
                  <c:v>0.65066042032663152</c:v>
                </c:pt>
              </c:numCache>
            </c:numRef>
          </c:val>
          <c:smooth val="0"/>
          <c:extLst>
            <c:ext xmlns:c16="http://schemas.microsoft.com/office/drawing/2014/chart" uri="{C3380CC4-5D6E-409C-BE32-E72D297353CC}">
              <c16:uniqueId val="{00000001-142C-4D8D-9B51-04DCF7F4B523}"/>
            </c:ext>
          </c:extLst>
        </c:ser>
        <c:ser>
          <c:idx val="2"/>
          <c:order val="2"/>
          <c:tx>
            <c:v>S. SALUD</c:v>
          </c:tx>
          <c:spPr>
            <a:ln w="34925" cap="rnd">
              <a:solidFill>
                <a:schemeClr val="accent3"/>
              </a:solidFill>
              <a:round/>
            </a:ln>
            <a:effectLst>
              <a:outerShdw blurRad="40000" dist="23000" dir="5400000" rotWithShape="0">
                <a:srgbClr val="000000">
                  <a:alpha val="35000"/>
                </a:srgbClr>
              </a:outerShdw>
            </a:effectLst>
          </c:spPr>
          <c:marker>
            <c:symbol val="none"/>
          </c:marker>
          <c:cat>
            <c:numRef>
              <c:f>'25'!$A$11:$A$19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'25'!$G$11:$G$19</c:f>
              <c:numCache>
                <c:formatCode>0.0</c:formatCode>
                <c:ptCount val="9"/>
                <c:pt idx="0">
                  <c:v>5.329070077271516</c:v>
                </c:pt>
                <c:pt idx="1">
                  <c:v>2.5913449080072559</c:v>
                </c:pt>
                <c:pt idx="2">
                  <c:v>3.0385900941962927</c:v>
                </c:pt>
                <c:pt idx="3">
                  <c:v>3.3568311513930849</c:v>
                </c:pt>
                <c:pt idx="4">
                  <c:v>0</c:v>
                </c:pt>
                <c:pt idx="5">
                  <c:v>3.2226877215597813</c:v>
                </c:pt>
                <c:pt idx="6">
                  <c:v>0</c:v>
                </c:pt>
                <c:pt idx="7">
                  <c:v>0</c:v>
                </c:pt>
                <c:pt idx="8">
                  <c:v>4.1631973355537051</c:v>
                </c:pt>
              </c:numCache>
            </c:numRef>
          </c:val>
          <c:smooth val="0"/>
          <c:extLst>
            <c:ext xmlns:c16="http://schemas.microsoft.com/office/drawing/2014/chart" uri="{C3380CC4-5D6E-409C-BE32-E72D297353CC}">
              <c16:uniqueId val="{00000002-142C-4D8D-9B51-04DCF7F4B523}"/>
            </c:ext>
          </c:extLst>
        </c:ser>
        <c:dLbls>
          <c:showLegendKey val="0"/>
          <c:showVal val="0"/>
          <c:showCatName val="0"/>
          <c:showSerName val="0"/>
          <c:showPercent val="0"/>
          <c:showBubbleSize val="0"/>
        </c:dLbls>
        <c:smooth val="0"/>
        <c:axId val="-1441550208"/>
        <c:axId val="-1441544768"/>
      </c:lineChart>
      <c:catAx>
        <c:axId val="-1441550208"/>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ES"/>
                  <a:t>0/000</a:t>
                </a:r>
              </a:p>
            </c:rich>
          </c:tx>
          <c:layout>
            <c:manualLayout>
              <c:xMode val="edge"/>
              <c:yMode val="edge"/>
              <c:x val="6.3371356147021813E-3"/>
              <c:y val="0.153061224489801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1544768"/>
        <c:crosses val="autoZero"/>
        <c:auto val="1"/>
        <c:lblAlgn val="ctr"/>
        <c:lblOffset val="100"/>
        <c:tickLblSkip val="1"/>
        <c:tickMarkSkip val="1"/>
        <c:noMultiLvlLbl val="0"/>
      </c:catAx>
      <c:valAx>
        <c:axId val="-1441544768"/>
        <c:scaling>
          <c:orientation val="minMax"/>
          <c:max val="6"/>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1550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99546979915906E-2"/>
          <c:y val="0.21794926369508302"/>
          <c:w val="0.92166517751753363"/>
          <c:h val="0.58461684849972051"/>
        </c:manualLayout>
      </c:layout>
      <c:lineChart>
        <c:grouping val="standard"/>
        <c:varyColors val="0"/>
        <c:ser>
          <c:idx val="0"/>
          <c:order val="0"/>
          <c:tx>
            <c:v>PAIS</c:v>
          </c:tx>
          <c:spPr>
            <a:ln w="34925" cap="rnd">
              <a:solidFill>
                <a:schemeClr val="accent1"/>
              </a:solidFill>
              <a:round/>
            </a:ln>
            <a:effectLst>
              <a:outerShdw blurRad="40000" dist="23000" dir="5400000" rotWithShape="0">
                <a:srgbClr val="000000">
                  <a:alpha val="35000"/>
                </a:srgbClr>
              </a:outerShdw>
            </a:effectLst>
          </c:spPr>
          <c:marker>
            <c:symbol val="none"/>
          </c:marker>
          <c:cat>
            <c:numRef>
              <c:f>'26'!$A$11:$A$19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'26'!$C$11:$C$19</c:f>
              <c:numCache>
                <c:formatCode>0.0</c:formatCode>
                <c:ptCount val="9"/>
                <c:pt idx="0">
                  <c:v>5.732077545856761</c:v>
                </c:pt>
                <c:pt idx="1">
                  <c:v>5.7495168857802739</c:v>
                </c:pt>
                <c:pt idx="2">
                  <c:v>5.7238486593409519</c:v>
                </c:pt>
                <c:pt idx="3">
                  <c:v>5.7737603256429484</c:v>
                </c:pt>
                <c:pt idx="4">
                  <c:v>5.6516831672080041</c:v>
                </c:pt>
                <c:pt idx="5">
                  <c:v>5.6728829568891666</c:v>
                </c:pt>
                <c:pt idx="6">
                  <c:v>6.582529338454572</c:v>
                </c:pt>
                <c:pt idx="7">
                  <c:v>6.5143738356928029</c:v>
                </c:pt>
                <c:pt idx="8">
                  <c:v>7.0500027086390809</c:v>
                </c:pt>
              </c:numCache>
            </c:numRef>
          </c:val>
          <c:smooth val="0"/>
          <c:extLst>
            <c:ext xmlns:c16="http://schemas.microsoft.com/office/drawing/2014/chart" uri="{C3380CC4-5D6E-409C-BE32-E72D297353CC}">
              <c16:uniqueId val="{00000000-158F-4A64-9E20-5A9E2BB78D3E}"/>
            </c:ext>
          </c:extLst>
        </c:ser>
        <c:ser>
          <c:idx val="1"/>
          <c:order val="1"/>
          <c:tx>
            <c:v>REGION</c:v>
          </c:tx>
          <c:spPr>
            <a:ln w="34925" cap="rnd">
              <a:solidFill>
                <a:schemeClr val="accent2"/>
              </a:solidFill>
              <a:round/>
            </a:ln>
            <a:effectLst>
              <a:outerShdw blurRad="40000" dist="23000" dir="5400000" rotWithShape="0">
                <a:srgbClr val="000000">
                  <a:alpha val="35000"/>
                </a:srgbClr>
              </a:outerShdw>
            </a:effectLst>
          </c:spPr>
          <c:marker>
            <c:symbol val="none"/>
          </c:marker>
          <c:cat>
            <c:numRef>
              <c:f>'26'!$A$11:$A$19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'26'!$E$11:$E$19</c:f>
              <c:numCache>
                <c:formatCode>0.0</c:formatCode>
                <c:ptCount val="9"/>
                <c:pt idx="0">
                  <c:v>6.6339989982694387</c:v>
                </c:pt>
                <c:pt idx="1">
                  <c:v>6.6534425452765333</c:v>
                </c:pt>
                <c:pt idx="2">
                  <c:v>6.5333461364530034</c:v>
                </c:pt>
                <c:pt idx="3">
                  <c:v>6.6672039738105182</c:v>
                </c:pt>
                <c:pt idx="4">
                  <c:v>6.7342446679595991</c:v>
                </c:pt>
                <c:pt idx="5">
                  <c:v>6.7844512013970881</c:v>
                </c:pt>
                <c:pt idx="6">
                  <c:v>7.3876245427692497</c:v>
                </c:pt>
                <c:pt idx="7">
                  <c:v>7.3159530821123653</c:v>
                </c:pt>
                <c:pt idx="8">
                  <c:v>8.0980667870018017</c:v>
                </c:pt>
              </c:numCache>
            </c:numRef>
          </c:val>
          <c:smooth val="0"/>
          <c:extLst>
            <c:ext xmlns:c16="http://schemas.microsoft.com/office/drawing/2014/chart" uri="{C3380CC4-5D6E-409C-BE32-E72D297353CC}">
              <c16:uniqueId val="{00000001-158F-4A64-9E20-5A9E2BB78D3E}"/>
            </c:ext>
          </c:extLst>
        </c:ser>
        <c:ser>
          <c:idx val="2"/>
          <c:order val="2"/>
          <c:tx>
            <c:v>S. SALUD</c:v>
          </c:tx>
          <c:spPr>
            <a:ln w="34925" cap="rnd">
              <a:solidFill>
                <a:schemeClr val="accent3"/>
              </a:solidFill>
              <a:round/>
            </a:ln>
            <a:effectLst>
              <a:outerShdw blurRad="40000" dist="23000" dir="5400000" rotWithShape="0">
                <a:srgbClr val="000000">
                  <a:alpha val="35000"/>
                </a:srgbClr>
              </a:outerShdw>
            </a:effectLst>
          </c:spPr>
          <c:marker>
            <c:symbol val="none"/>
          </c:marker>
          <c:cat>
            <c:numRef>
              <c:f>'26'!$A$11:$A$19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'26'!$G$11:$G$19</c:f>
              <c:numCache>
                <c:formatCode>0.0</c:formatCode>
                <c:ptCount val="9"/>
                <c:pt idx="0">
                  <c:v>6.4753908577805275</c:v>
                </c:pt>
                <c:pt idx="1">
                  <c:v>6.0520506389944284</c:v>
                </c:pt>
                <c:pt idx="2">
                  <c:v>5.9166762616114301</c:v>
                </c:pt>
                <c:pt idx="3">
                  <c:v>6.1845529320653467</c:v>
                </c:pt>
                <c:pt idx="4">
                  <c:v>5.8321922522405032</c:v>
                </c:pt>
                <c:pt idx="5">
                  <c:v>6.1097466367793158</c:v>
                </c:pt>
                <c:pt idx="6">
                  <c:v>6.913320581862326</c:v>
                </c:pt>
                <c:pt idx="7">
                  <c:v>6.8450072328560347</c:v>
                </c:pt>
                <c:pt idx="8">
                  <c:v>7.5923750515456776</c:v>
                </c:pt>
              </c:numCache>
            </c:numRef>
          </c:val>
          <c:smooth val="0"/>
          <c:extLst>
            <c:ext xmlns:c16="http://schemas.microsoft.com/office/drawing/2014/chart" uri="{C3380CC4-5D6E-409C-BE32-E72D297353CC}">
              <c16:uniqueId val="{00000002-158F-4A64-9E20-5A9E2BB78D3E}"/>
            </c:ext>
          </c:extLst>
        </c:ser>
        <c:dLbls>
          <c:showLegendKey val="0"/>
          <c:showVal val="0"/>
          <c:showCatName val="0"/>
          <c:showSerName val="0"/>
          <c:showPercent val="0"/>
          <c:showBubbleSize val="0"/>
        </c:dLbls>
        <c:smooth val="0"/>
        <c:axId val="-1441538240"/>
        <c:axId val="-1441548576"/>
      </c:lineChart>
      <c:catAx>
        <c:axId val="-1441538240"/>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ES"/>
                  <a:t>0/00</a:t>
                </a:r>
              </a:p>
            </c:rich>
          </c:tx>
          <c:layout>
            <c:manualLayout>
              <c:xMode val="edge"/>
              <c:yMode val="edge"/>
              <c:x val="9.7919216646266682E-3"/>
              <c:y val="0.10256437176122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1548576"/>
        <c:crosses val="autoZero"/>
        <c:auto val="1"/>
        <c:lblAlgn val="ctr"/>
        <c:lblOffset val="100"/>
        <c:tickLblSkip val="1"/>
        <c:tickMarkSkip val="1"/>
        <c:noMultiLvlLbl val="0"/>
      </c:catAx>
      <c:valAx>
        <c:axId val="-1441548576"/>
        <c:scaling>
          <c:orientation val="minMax"/>
          <c:max val="8.5"/>
          <c:min val="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1538240"/>
        <c:crosses val="autoZero"/>
        <c:crossBetween val="between"/>
        <c:majorUnit val="0.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9" orientation="landscape" horizontalDpi="300" verticalDpi="300"/>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1990 - 2013</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rgbClr val="0080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-9003</c:v>
                </c:pt>
                <c:pt idx="22">
                  <c:v>-9919</c:v>
                </c:pt>
                <c:pt idx="23">
                  <c:v>-10101</c:v>
                </c:pt>
                <c:pt idx="24">
                  <c:v>-8927</c:v>
                </c:pt>
                <c:pt idx="25">
                  <c:v>-8828</c:v>
                </c:pt>
                <c:pt idx="26">
                  <c:v>-10596</c:v>
                </c:pt>
                <c:pt idx="27">
                  <c:v>-11355</c:v>
                </c:pt>
                <c:pt idx="28">
                  <c:v>-10731</c:v>
                </c:pt>
                <c:pt idx="29">
                  <c:v>-10152</c:v>
                </c:pt>
                <c:pt idx="30">
                  <c:v>-9277</c:v>
                </c:pt>
                <c:pt idx="31">
                  <c:v>-8642</c:v>
                </c:pt>
                <c:pt idx="32">
                  <c:v>-8474</c:v>
                </c:pt>
                <c:pt idx="33">
                  <c:v>-7822</c:v>
                </c:pt>
                <c:pt idx="34">
                  <c:v>-6832</c:v>
                </c:pt>
                <c:pt idx="35">
                  <c:v>-5105</c:v>
                </c:pt>
                <c:pt idx="36">
                  <c:v>-3364</c:v>
                </c:pt>
                <c:pt idx="37">
                  <c:v>-3896</c:v>
                </c:pt>
              </c:numCache>
            </c:numRef>
          </c:val>
          <c:extLst>
            <c:ext xmlns:c16="http://schemas.microsoft.com/office/drawing/2014/chart" uri="{C3380CC4-5D6E-409C-BE32-E72D297353CC}">
              <c16:uniqueId val="{00000000-B6BF-48F1-8D74-FB0370D0A0FD}"/>
            </c:ext>
          </c:extLst>
        </c:ser>
        <c:ser>
          <c:idx val="1"/>
          <c:order val="1"/>
          <c:tx>
            <c:v>MUJERES</c:v>
          </c:tx>
          <c:spPr>
            <a:solidFill>
              <a:srgbClr val="FFFF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8726</c:v>
                </c:pt>
                <c:pt idx="22">
                  <c:v>9618</c:v>
                </c:pt>
                <c:pt idx="23">
                  <c:v>10062</c:v>
                </c:pt>
                <c:pt idx="24">
                  <c:v>8730</c:v>
                </c:pt>
                <c:pt idx="25">
                  <c:v>8791</c:v>
                </c:pt>
                <c:pt idx="26">
                  <c:v>10591</c:v>
                </c:pt>
                <c:pt idx="27">
                  <c:v>11515</c:v>
                </c:pt>
                <c:pt idx="28">
                  <c:v>10687</c:v>
                </c:pt>
                <c:pt idx="29">
                  <c:v>10311</c:v>
                </c:pt>
                <c:pt idx="30">
                  <c:v>9753</c:v>
                </c:pt>
                <c:pt idx="31">
                  <c:v>8981</c:v>
                </c:pt>
                <c:pt idx="32">
                  <c:v>8909</c:v>
                </c:pt>
                <c:pt idx="33">
                  <c:v>8422</c:v>
                </c:pt>
                <c:pt idx="34">
                  <c:v>7123</c:v>
                </c:pt>
                <c:pt idx="35">
                  <c:v>5544</c:v>
                </c:pt>
                <c:pt idx="36">
                  <c:v>4081</c:v>
                </c:pt>
                <c:pt idx="37">
                  <c:v>5995</c:v>
                </c:pt>
              </c:numCache>
            </c:numRef>
          </c:val>
          <c:extLst>
            <c:ext xmlns:c16="http://schemas.microsoft.com/office/drawing/2014/chart" uri="{C3380CC4-5D6E-409C-BE32-E72D297353CC}">
              <c16:uniqueId val="{00000001-B6BF-48F1-8D74-FB0370D0A0FD}"/>
            </c:ext>
          </c:extLst>
        </c:ser>
        <c:dLbls>
          <c:showLegendKey val="0"/>
          <c:showVal val="0"/>
          <c:showCatName val="0"/>
          <c:showSerName val="0"/>
          <c:showPercent val="0"/>
          <c:showBubbleSize val="0"/>
        </c:dLbls>
        <c:gapWidth val="70"/>
        <c:overlap val="100"/>
        <c:axId val="-1444136432"/>
        <c:axId val="-1444141872"/>
      </c:barChart>
      <c:catAx>
        <c:axId val="-14441364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1444141872"/>
        <c:crosses val="autoZero"/>
        <c:auto val="1"/>
        <c:lblAlgn val="ctr"/>
        <c:lblOffset val="100"/>
        <c:tickLblSkip val="1"/>
        <c:tickMarkSkip val="1"/>
        <c:noMultiLvlLbl val="0"/>
      </c:catAx>
      <c:valAx>
        <c:axId val="-1444141872"/>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1444136432"/>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solidFill>
                  <a:schemeClr val="accent1">
                    <a:lumMod val="75000"/>
                  </a:schemeClr>
                </a:solidFill>
              </a:rPr>
              <a:t>PRINCIPALES  CAUSAS  DE  MUERTE </a:t>
            </a:r>
          </a:p>
          <a:p>
            <a:pPr>
              <a:defRPr/>
            </a:pPr>
            <a:r>
              <a:rPr lang="es-ES">
                <a:solidFill>
                  <a:schemeClr val="accent1">
                    <a:lumMod val="75000"/>
                  </a:schemeClr>
                </a:solidFill>
              </a:rPr>
              <a:t>SERVICIO DE  SALUD  ACONCAGUA 1992 - 2023</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6.4845841638216273E-2"/>
          <c:y val="0.12794660433070867"/>
          <c:w val="0.84695125217260669"/>
          <c:h val="0.73933160952283561"/>
        </c:manualLayout>
      </c:layout>
      <c:barChart>
        <c:barDir val="col"/>
        <c:grouping val="clustered"/>
        <c:varyColors val="0"/>
        <c:ser>
          <c:idx val="0"/>
          <c:order val="0"/>
          <c:tx>
            <c:strRef>
              <c:f>'27'!$K$67</c:f>
              <c:strCache>
                <c:ptCount val="1"/>
                <c:pt idx="0">
                  <c:v>2022</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'27'!$B$8:$B$21</c:f>
              <c:strCache>
                <c:ptCount val="14"/>
                <c:pt idx="0">
                  <c:v> ENF. APARATO CIRCULATORIO</c:v>
                </c:pt>
                <c:pt idx="1">
                  <c:v> TUMORES</c:v>
                </c:pt>
                <c:pt idx="2">
                  <c:v> ENF. APARATO RESPIRATORIO</c:v>
                </c:pt>
                <c:pt idx="3">
                  <c:v> TRAUMAT. Y  ENVENENAMIENTO</c:v>
                </c:pt>
                <c:pt idx="4">
                  <c:v> ENF. APARATO DIGESTIVO</c:v>
                </c:pt>
                <c:pt idx="5">
                  <c:v> ENF. APARATO GENITOURINARIO</c:v>
                </c:pt>
                <c:pt idx="6">
                  <c:v> INFECC.  Y PARASITARIAS</c:v>
                </c:pt>
                <c:pt idx="7">
                  <c:v>SIGNOS, ENF. MAL DEFINIDAS</c:v>
                </c:pt>
                <c:pt idx="8">
                  <c:v> SIST. NERVIOSO Y ORG. SENTIDO</c:v>
                </c:pt>
                <c:pt idx="9">
                  <c:v> ENF. GLANDULAS ENDOCRINAS</c:v>
                </c:pt>
                <c:pt idx="10">
                  <c:v> AFEC. PERIODO PERINATAL</c:v>
                </c:pt>
                <c:pt idx="11">
                  <c:v> ANOMALIAS  CONGENITAS</c:v>
                </c:pt>
                <c:pt idx="12">
                  <c:v> COVID 19 POSITIVO</c:v>
                </c:pt>
                <c:pt idx="13">
                  <c:v> COVID 19 SOSPECHOSO</c:v>
                </c:pt>
              </c:strCache>
            </c:strRef>
          </c:cat>
          <c:val>
            <c:numRef>
              <c:f>'27'!$K$68:$K$79</c:f>
              <c:numCache>
                <c:formatCode>General</c:formatCode>
                <c:ptCount val="12"/>
                <c:pt idx="0">
                  <c:v>523</c:v>
                </c:pt>
                <c:pt idx="1">
                  <c:v>414</c:v>
                </c:pt>
                <c:pt idx="2">
                  <c:v>211</c:v>
                </c:pt>
                <c:pt idx="3">
                  <c:v>113</c:v>
                </c:pt>
                <c:pt idx="4">
                  <c:v>142</c:v>
                </c:pt>
                <c:pt idx="5">
                  <c:v>26</c:v>
                </c:pt>
                <c:pt idx="6">
                  <c:v>90</c:v>
                </c:pt>
                <c:pt idx="7">
                  <c:v>53</c:v>
                </c:pt>
                <c:pt idx="8">
                  <c:v>85</c:v>
                </c:pt>
                <c:pt idx="9">
                  <c:v>5</c:v>
                </c:pt>
                <c:pt idx="10">
                  <c:v>10</c:v>
                </c:pt>
                <c:pt idx="11">
                  <c:v>84</c:v>
                </c:pt>
              </c:numCache>
            </c:numRef>
          </c:val>
          <c:extLst>
            <c:ext xmlns:c16="http://schemas.microsoft.com/office/drawing/2014/chart" uri="{C3380CC4-5D6E-409C-BE32-E72D297353CC}">
              <c16:uniqueId val="{00000000-B332-479F-8679-B05C70C6B791}"/>
            </c:ext>
          </c:extLst>
        </c:ser>
        <c:ser>
          <c:idx val="1"/>
          <c:order val="1"/>
          <c:tx>
            <c:v>1992</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'27'!$B$8:$B$21</c:f>
              <c:strCache>
                <c:ptCount val="14"/>
                <c:pt idx="0">
                  <c:v> ENF. APARATO CIRCULATORIO</c:v>
                </c:pt>
                <c:pt idx="1">
                  <c:v> TUMORES</c:v>
                </c:pt>
                <c:pt idx="2">
                  <c:v> ENF. APARATO RESPIRATORIO</c:v>
                </c:pt>
                <c:pt idx="3">
                  <c:v> TRAUMAT. Y  ENVENENAMIENTO</c:v>
                </c:pt>
                <c:pt idx="4">
                  <c:v> ENF. APARATO DIGESTIVO</c:v>
                </c:pt>
                <c:pt idx="5">
                  <c:v> ENF. APARATO GENITOURINARIO</c:v>
                </c:pt>
                <c:pt idx="6">
                  <c:v> INFECC.  Y PARASITARIAS</c:v>
                </c:pt>
                <c:pt idx="7">
                  <c:v>SIGNOS, ENF. MAL DEFINIDAS</c:v>
                </c:pt>
                <c:pt idx="8">
                  <c:v> SIST. NERVIOSO Y ORG. SENTIDO</c:v>
                </c:pt>
                <c:pt idx="9">
                  <c:v> ENF. GLANDULAS ENDOCRINAS</c:v>
                </c:pt>
                <c:pt idx="10">
                  <c:v> AFEC. PERIODO PERINATAL</c:v>
                </c:pt>
                <c:pt idx="11">
                  <c:v> ANOMALIAS  CONGENITAS</c:v>
                </c:pt>
                <c:pt idx="12">
                  <c:v> COVID 19 POSITIVO</c:v>
                </c:pt>
                <c:pt idx="13">
                  <c:v> COVID 19 SOSPECHOSO</c:v>
                </c:pt>
              </c:strCache>
            </c:strRef>
          </c:cat>
          <c:val>
            <c:numRef>
              <c:f>'27'!$M$68:$M$79</c:f>
              <c:numCache>
                <c:formatCode>General</c:formatCode>
                <c:ptCount val="12"/>
                <c:pt idx="0">
                  <c:v>294</c:v>
                </c:pt>
                <c:pt idx="1">
                  <c:v>170</c:v>
                </c:pt>
                <c:pt idx="2">
                  <c:v>151</c:v>
                </c:pt>
                <c:pt idx="3">
                  <c:v>100</c:v>
                </c:pt>
                <c:pt idx="4">
                  <c:v>52</c:v>
                </c:pt>
                <c:pt idx="5">
                  <c:v>36</c:v>
                </c:pt>
                <c:pt idx="6">
                  <c:v>59</c:v>
                </c:pt>
                <c:pt idx="7">
                  <c:v>28</c:v>
                </c:pt>
                <c:pt idx="8">
                  <c:v>23</c:v>
                </c:pt>
                <c:pt idx="9">
                  <c:v>28</c:v>
                </c:pt>
                <c:pt idx="10">
                  <c:v>10</c:v>
                </c:pt>
                <c:pt idx="11">
                  <c:v>26</c:v>
                </c:pt>
              </c:numCache>
            </c:numRef>
          </c:val>
          <c:extLst>
            <c:ext xmlns:c16="http://schemas.microsoft.com/office/drawing/2014/chart" uri="{C3380CC4-5D6E-409C-BE32-E72D297353CC}">
              <c16:uniqueId val="{00000001-B332-479F-8679-B05C70C6B791}"/>
            </c:ext>
          </c:extLst>
        </c:ser>
        <c:dLbls>
          <c:showLegendKey val="0"/>
          <c:showVal val="0"/>
          <c:showCatName val="0"/>
          <c:showSerName val="0"/>
          <c:showPercent val="0"/>
          <c:showBubbleSize val="0"/>
        </c:dLbls>
        <c:gapWidth val="100"/>
        <c:overlap val="-24"/>
        <c:axId val="-1441537696"/>
        <c:axId val="-1441548032"/>
      </c:barChart>
      <c:catAx>
        <c:axId val="-14415376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1548032"/>
        <c:crosses val="autoZero"/>
        <c:auto val="1"/>
        <c:lblAlgn val="ctr"/>
        <c:lblOffset val="100"/>
        <c:noMultiLvlLbl val="0"/>
      </c:catAx>
      <c:valAx>
        <c:axId val="-1441548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1537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5" footer="0.5"/>
    <c:pageSetup paperSize="5" orientation="landscape" horizontalDpi="300" verticalDpi="300"/>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solidFill>
                  <a:schemeClr val="accent1">
                    <a:lumMod val="75000"/>
                  </a:schemeClr>
                </a:solidFill>
              </a:rPr>
              <a:t>PRINCIPALES  CAUSAS  DE  MUERTE </a:t>
            </a:r>
          </a:p>
          <a:p>
            <a:pPr>
              <a:defRPr/>
            </a:pPr>
            <a:r>
              <a:rPr lang="es-ES">
                <a:solidFill>
                  <a:schemeClr val="accent1">
                    <a:lumMod val="75000"/>
                  </a:schemeClr>
                </a:solidFill>
              </a:rPr>
              <a:t>PAIS   2003  SERVICIO DE  SALUD  2023</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7.7931585659189992E-2"/>
          <c:y val="0.10621701459212203"/>
          <c:w val="0.84508382697896556"/>
          <c:h val="0.75921921658526859"/>
        </c:manualLayout>
      </c:layout>
      <c:barChart>
        <c:barDir val="col"/>
        <c:grouping val="clustered"/>
        <c:varyColors val="0"/>
        <c:ser>
          <c:idx val="0"/>
          <c:order val="0"/>
          <c:tx>
            <c:strRef>
              <c:f>'27'!$Q$67</c:f>
              <c:strCache>
                <c:ptCount val="1"/>
                <c:pt idx="0">
                  <c:v>Paìs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'27'!$B$38:$B$51</c:f>
              <c:strCache>
                <c:ptCount val="14"/>
                <c:pt idx="0">
                  <c:v> ENF. APARATO CIRCULATORIO</c:v>
                </c:pt>
                <c:pt idx="1">
                  <c:v> TUMORES</c:v>
                </c:pt>
                <c:pt idx="2">
                  <c:v> ENF. APARATO RESPIRATORIO</c:v>
                </c:pt>
                <c:pt idx="3">
                  <c:v> TRAUMAT. Y  ENVENENAMIENTO</c:v>
                </c:pt>
                <c:pt idx="4">
                  <c:v> ENF. APARATO DIGESTIVO</c:v>
                </c:pt>
                <c:pt idx="5">
                  <c:v> ENF. APARATO GENITOURINARIO</c:v>
                </c:pt>
                <c:pt idx="6">
                  <c:v> INFECC.  Y PARASITARIAS</c:v>
                </c:pt>
                <c:pt idx="7">
                  <c:v> SIGNOS, ENF. MAL DEFINIDAS</c:v>
                </c:pt>
                <c:pt idx="8">
                  <c:v> SIST. NERVIOSO Y ORG. SENTIDO</c:v>
                </c:pt>
                <c:pt idx="9">
                  <c:v> ENF. GLANDULAS ENDOCRINAS</c:v>
                </c:pt>
                <c:pt idx="10">
                  <c:v> AFEC. PERIODO PERINATAL</c:v>
                </c:pt>
                <c:pt idx="11">
                  <c:v> ANOMALIAS  CONGENITAS</c:v>
                </c:pt>
                <c:pt idx="12">
                  <c:v> COVID 19 POSITIVO</c:v>
                </c:pt>
                <c:pt idx="13">
                  <c:v> COVID 19 SOSPECHOSO</c:v>
                </c:pt>
              </c:strCache>
            </c:strRef>
          </c:cat>
          <c:val>
            <c:numRef>
              <c:f>'27'!$Q$68:$Q$79</c:f>
              <c:numCache>
                <c:formatCode>0.00</c:formatCode>
                <c:ptCount val="12"/>
                <c:pt idx="0">
                  <c:v>28.409742805239507</c:v>
                </c:pt>
                <c:pt idx="1">
                  <c:v>23.544315900181662</c:v>
                </c:pt>
                <c:pt idx="2">
                  <c:v>8.8823023233578748</c:v>
                </c:pt>
                <c:pt idx="3">
                  <c:v>8.8524237498804847</c:v>
                </c:pt>
                <c:pt idx="4">
                  <c:v>7.8891385409694994</c:v>
                </c:pt>
                <c:pt idx="5">
                  <c:v>1.5273926761640693</c:v>
                </c:pt>
                <c:pt idx="6">
                  <c:v>2.845635337986423</c:v>
                </c:pt>
                <c:pt idx="7">
                  <c:v>2.7093890429295344</c:v>
                </c:pt>
                <c:pt idx="8">
                  <c:v>4.9574529113681995</c:v>
                </c:pt>
                <c:pt idx="9">
                  <c:v>0.88201548905249072</c:v>
                </c:pt>
                <c:pt idx="10">
                  <c:v>1.0947509322114923</c:v>
                </c:pt>
                <c:pt idx="11">
                  <c:v>8.4054402906587633</c:v>
                </c:pt>
              </c:numCache>
            </c:numRef>
          </c:val>
          <c:extLst>
            <c:ext xmlns:c16="http://schemas.microsoft.com/office/drawing/2014/chart" uri="{C3380CC4-5D6E-409C-BE32-E72D297353CC}">
              <c16:uniqueId val="{00000000-0D98-4C50-8E8D-9400A94C8FCF}"/>
            </c:ext>
          </c:extLst>
        </c:ser>
        <c:ser>
          <c:idx val="1"/>
          <c:order val="1"/>
          <c:tx>
            <c:strRef>
              <c:f>'27'!$S$67</c:f>
              <c:strCache>
                <c:ptCount val="1"/>
                <c:pt idx="0">
                  <c:v>SS</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'27'!$B$38:$B$51</c:f>
              <c:strCache>
                <c:ptCount val="14"/>
                <c:pt idx="0">
                  <c:v> ENF. APARATO CIRCULATORIO</c:v>
                </c:pt>
                <c:pt idx="1">
                  <c:v> TUMORES</c:v>
                </c:pt>
                <c:pt idx="2">
                  <c:v> ENF. APARATO RESPIRATORIO</c:v>
                </c:pt>
                <c:pt idx="3">
                  <c:v> TRAUMAT. Y  ENVENENAMIENTO</c:v>
                </c:pt>
                <c:pt idx="4">
                  <c:v> ENF. APARATO DIGESTIVO</c:v>
                </c:pt>
                <c:pt idx="5">
                  <c:v> ENF. APARATO GENITOURINARIO</c:v>
                </c:pt>
                <c:pt idx="6">
                  <c:v> INFECC.  Y PARASITARIAS</c:v>
                </c:pt>
                <c:pt idx="7">
                  <c:v> SIGNOS, ENF. MAL DEFINIDAS</c:v>
                </c:pt>
                <c:pt idx="8">
                  <c:v> SIST. NERVIOSO Y ORG. SENTIDO</c:v>
                </c:pt>
                <c:pt idx="9">
                  <c:v> ENF. GLANDULAS ENDOCRINAS</c:v>
                </c:pt>
                <c:pt idx="10">
                  <c:v> AFEC. PERIODO PERINATAL</c:v>
                </c:pt>
                <c:pt idx="11">
                  <c:v> ANOMALIAS  CONGENITAS</c:v>
                </c:pt>
                <c:pt idx="12">
                  <c:v> COVID 19 POSITIVO</c:v>
                </c:pt>
                <c:pt idx="13">
                  <c:v> COVID 19 SOSPECHOSO</c:v>
                </c:pt>
              </c:strCache>
            </c:strRef>
          </c:cat>
          <c:val>
            <c:numRef>
              <c:f>'27'!$S$68:$S$79</c:f>
              <c:numCache>
                <c:formatCode>0.00</c:formatCode>
                <c:ptCount val="12"/>
                <c:pt idx="0">
                  <c:v>29.783599088838269</c:v>
                </c:pt>
                <c:pt idx="1">
                  <c:v>23.57630979498861</c:v>
                </c:pt>
                <c:pt idx="2">
                  <c:v>12.015945330296129</c:v>
                </c:pt>
                <c:pt idx="3">
                  <c:v>6.4350797266514812</c:v>
                </c:pt>
                <c:pt idx="4">
                  <c:v>8.0865603644646935</c:v>
                </c:pt>
                <c:pt idx="5">
                  <c:v>1.4806378132118452</c:v>
                </c:pt>
                <c:pt idx="6">
                  <c:v>5.1252847380410023</c:v>
                </c:pt>
                <c:pt idx="7">
                  <c:v>3.0182232346241458</c:v>
                </c:pt>
                <c:pt idx="8">
                  <c:v>4.8405466970387243</c:v>
                </c:pt>
                <c:pt idx="9">
                  <c:v>0.2847380410022779</c:v>
                </c:pt>
                <c:pt idx="10">
                  <c:v>0.56947608200455579</c:v>
                </c:pt>
                <c:pt idx="11">
                  <c:v>4.7835990888382689</c:v>
                </c:pt>
              </c:numCache>
            </c:numRef>
          </c:val>
          <c:extLst>
            <c:ext xmlns:c16="http://schemas.microsoft.com/office/drawing/2014/chart" uri="{C3380CC4-5D6E-409C-BE32-E72D297353CC}">
              <c16:uniqueId val="{00000001-0D98-4C50-8E8D-9400A94C8FCF}"/>
            </c:ext>
          </c:extLst>
        </c:ser>
        <c:dLbls>
          <c:showLegendKey val="0"/>
          <c:showVal val="0"/>
          <c:showCatName val="0"/>
          <c:showSerName val="0"/>
          <c:showPercent val="0"/>
          <c:showBubbleSize val="0"/>
        </c:dLbls>
        <c:gapWidth val="115"/>
        <c:axId val="-1441543680"/>
        <c:axId val="-1441540960"/>
      </c:barChart>
      <c:catAx>
        <c:axId val="-144154368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1540960"/>
        <c:crosses val="autoZero"/>
        <c:auto val="1"/>
        <c:lblAlgn val="ctr"/>
        <c:lblOffset val="100"/>
        <c:noMultiLvlLbl val="0"/>
      </c:catAx>
      <c:valAx>
        <c:axId val="-14415409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1543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orientation="landscape" horizontalDpi="300" verticalDpi="300"/>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'28'!$B$31</c:f>
              <c:strCache>
                <c:ptCount val="1"/>
                <c:pt idx="0">
                  <c:v> ENF. APARATO CIRCULATORIO</c:v>
                </c:pt>
              </c:strCache>
            </c:strRef>
          </c:tx>
          <c:marker>
            <c:symbol val="none"/>
          </c:marker>
          <c:cat>
            <c:numRef>
              <c:f>'28'!$C$30:$L$30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'28'!$C$31:$L$31</c:f>
              <c:numCache>
                <c:formatCode>0.00</c:formatCode>
                <c:ptCount val="10"/>
                <c:pt idx="0">
                  <c:v>1.8598719345325079</c:v>
                </c:pt>
                <c:pt idx="1">
                  <c:v>1.5242757812851973</c:v>
                </c:pt>
                <c:pt idx="2">
                  <c:v>1.5822373430297989</c:v>
                </c:pt>
                <c:pt idx="3">
                  <c:v>1.4975059918591465</c:v>
                </c:pt>
                <c:pt idx="4">
                  <c:v>1.4127670673129171</c:v>
                </c:pt>
                <c:pt idx="5">
                  <c:v>1.6516693658233144</c:v>
                </c:pt>
                <c:pt idx="6">
                  <c:v>1.9797717439636371</c:v>
                </c:pt>
                <c:pt idx="7">
                  <c:v>1.9182792092077403</c:v>
                </c:pt>
                <c:pt idx="8">
                  <c:v>2.079009343312578</c:v>
                </c:pt>
                <c:pt idx="9">
                  <c:v>1.8274317421050057</c:v>
                </c:pt>
              </c:numCache>
            </c:numRef>
          </c:val>
          <c:smooth val="0"/>
          <c:extLst>
            <c:ext xmlns:c16="http://schemas.microsoft.com/office/drawing/2014/chart" uri="{C3380CC4-5D6E-409C-BE32-E72D297353CC}">
              <c16:uniqueId val="{00000000-70B8-4140-B2B7-A4C58C068EC9}"/>
            </c:ext>
          </c:extLst>
        </c:ser>
        <c:ser>
          <c:idx val="2"/>
          <c:order val="1"/>
          <c:tx>
            <c:strRef>
              <c:f>'28'!$B$32</c:f>
              <c:strCache>
                <c:ptCount val="1"/>
                <c:pt idx="0">
                  <c:v> TUMORES</c:v>
                </c:pt>
              </c:strCache>
            </c:strRef>
          </c:tx>
          <c:marker>
            <c:symbol val="none"/>
          </c:marker>
          <c:cat>
            <c:numRef>
              <c:f>'28'!$C$30:$L$30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'28'!$C$32:$L$32</c:f>
              <c:numCache>
                <c:formatCode>0.00</c:formatCode>
                <c:ptCount val="10"/>
                <c:pt idx="0">
                  <c:v>1.5334454317370063</c:v>
                </c:pt>
                <c:pt idx="1">
                  <c:v>1.4078901920737659</c:v>
                </c:pt>
                <c:pt idx="2">
                  <c:v>1.3853862181927581</c:v>
                </c:pt>
                <c:pt idx="3">
                  <c:v>1.4644727714504886</c:v>
                </c:pt>
                <c:pt idx="4">
                  <c:v>1.5069515384671115</c:v>
                </c:pt>
                <c:pt idx="5">
                  <c:v>1.4514670184507914</c:v>
                </c:pt>
                <c:pt idx="6">
                  <c:v>1.4539500151747209</c:v>
                </c:pt>
                <c:pt idx="7">
                  <c:v>1.4850066737946988</c:v>
                </c:pt>
                <c:pt idx="8">
                  <c:v>1.5164538739456452</c:v>
                </c:pt>
                <c:pt idx="9">
                  <c:v>1.4465712069435417</c:v>
                </c:pt>
              </c:numCache>
            </c:numRef>
          </c:val>
          <c:smooth val="0"/>
          <c:extLst>
            <c:ext xmlns:c16="http://schemas.microsoft.com/office/drawing/2014/chart" uri="{C3380CC4-5D6E-409C-BE32-E72D297353CC}">
              <c16:uniqueId val="{00000001-70B8-4140-B2B7-A4C58C068EC9}"/>
            </c:ext>
          </c:extLst>
        </c:ser>
        <c:ser>
          <c:idx val="3"/>
          <c:order val="2"/>
          <c:tx>
            <c:strRef>
              <c:f>'28'!$B$33</c:f>
              <c:strCache>
                <c:ptCount val="1"/>
                <c:pt idx="0">
                  <c:v> ENF. APARATO RESPIRATORIO</c:v>
                </c:pt>
              </c:strCache>
            </c:strRef>
          </c:tx>
          <c:marker>
            <c:symbol val="none"/>
          </c:marker>
          <c:cat>
            <c:numRef>
              <c:f>'28'!$C$30:$L$30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'28'!$C$33:$L$33</c:f>
              <c:numCache>
                <c:formatCode>0.00</c:formatCode>
                <c:ptCount val="10"/>
                <c:pt idx="0">
                  <c:v>0.63387472054475269</c:v>
                </c:pt>
                <c:pt idx="1">
                  <c:v>0.64575230143116735</c:v>
                </c:pt>
                <c:pt idx="2">
                  <c:v>0.63512344051196146</c:v>
                </c:pt>
                <c:pt idx="3">
                  <c:v>0.64231261905723191</c:v>
                </c:pt>
                <c:pt idx="4">
                  <c:v>0.60495410318271059</c:v>
                </c:pt>
                <c:pt idx="5">
                  <c:v>0.73645863497749509</c:v>
                </c:pt>
                <c:pt idx="6">
                  <c:v>0.54346675324492</c:v>
                </c:pt>
                <c:pt idx="7">
                  <c:v>0.40881360196230532</c:v>
                </c:pt>
                <c:pt idx="8">
                  <c:v>0.73027387017198131</c:v>
                </c:pt>
                <c:pt idx="9">
                  <c:v>0.73726213687219155</c:v>
                </c:pt>
              </c:numCache>
            </c:numRef>
          </c:val>
          <c:smooth val="0"/>
          <c:extLst>
            <c:ext xmlns:c16="http://schemas.microsoft.com/office/drawing/2014/chart" uri="{C3380CC4-5D6E-409C-BE32-E72D297353CC}">
              <c16:uniqueId val="{00000002-70B8-4140-B2B7-A4C58C068EC9}"/>
            </c:ext>
          </c:extLst>
        </c:ser>
        <c:ser>
          <c:idx val="4"/>
          <c:order val="3"/>
          <c:tx>
            <c:strRef>
              <c:f>'28'!$B$34</c:f>
              <c:strCache>
                <c:ptCount val="1"/>
                <c:pt idx="0">
                  <c:v> TRAUMAT. Y  ENVENENAMIENTO</c:v>
                </c:pt>
              </c:strCache>
            </c:strRef>
          </c:tx>
          <c:marker>
            <c:symbol val="none"/>
          </c:marker>
          <c:cat>
            <c:numRef>
              <c:f>'28'!$C$30:$L$30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'28'!$C$34:$L$34</c:f>
              <c:numCache>
                <c:formatCode>0.00</c:formatCode>
                <c:ptCount val="10"/>
                <c:pt idx="0">
                  <c:v>0.46686581213775197</c:v>
                </c:pt>
                <c:pt idx="1">
                  <c:v>0.34540239378876386</c:v>
                </c:pt>
                <c:pt idx="2">
                  <c:v>0.40113059400755458</c:v>
                </c:pt>
                <c:pt idx="3">
                  <c:v>0.40740971837344425</c:v>
                </c:pt>
                <c:pt idx="4">
                  <c:v>0.33689060835923401</c:v>
                </c:pt>
                <c:pt idx="5">
                  <c:v>0.40397973666241238</c:v>
                </c:pt>
                <c:pt idx="6">
                  <c:v>0.39171954292328648</c:v>
                </c:pt>
                <c:pt idx="7">
                  <c:v>0.40531946861220008</c:v>
                </c:pt>
                <c:pt idx="8">
                  <c:v>0.35640160171072771</c:v>
                </c:pt>
                <c:pt idx="9">
                  <c:v>0.39483706856188461</c:v>
                </c:pt>
              </c:numCache>
            </c:numRef>
          </c:val>
          <c:smooth val="0"/>
          <c:extLst>
            <c:ext xmlns:c16="http://schemas.microsoft.com/office/drawing/2014/chart" uri="{C3380CC4-5D6E-409C-BE32-E72D297353CC}">
              <c16:uniqueId val="{00000003-70B8-4140-B2B7-A4C58C068EC9}"/>
            </c:ext>
          </c:extLst>
        </c:ser>
        <c:dLbls>
          <c:showLegendKey val="0"/>
          <c:showVal val="0"/>
          <c:showCatName val="0"/>
          <c:showSerName val="0"/>
          <c:showPercent val="0"/>
          <c:showBubbleSize val="0"/>
        </c:dLbls>
        <c:smooth val="0"/>
        <c:axId val="-1438778624"/>
        <c:axId val="-1438782976"/>
      </c:lineChart>
      <c:catAx>
        <c:axId val="-1438778624"/>
        <c:scaling>
          <c:orientation val="minMax"/>
        </c:scaling>
        <c:delete val="0"/>
        <c:axPos val="b"/>
        <c:numFmt formatCode="General" sourceLinked="1"/>
        <c:majorTickMark val="out"/>
        <c:minorTickMark val="none"/>
        <c:tickLblPos val="nextTo"/>
        <c:crossAx val="-1438782976"/>
        <c:crosses val="autoZero"/>
        <c:auto val="1"/>
        <c:lblAlgn val="ctr"/>
        <c:lblOffset val="100"/>
        <c:noMultiLvlLbl val="0"/>
      </c:catAx>
      <c:valAx>
        <c:axId val="-1438782976"/>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1438778624"/>
        <c:crosses val="autoZero"/>
        <c:crossBetween val="between"/>
      </c:valAx>
      <c:spPr>
        <a:scene3d>
          <a:camera prst="orthographicFront"/>
          <a:lightRig rig="threePt" dir="t"/>
        </a:scene3d>
        <a:sp3d>
          <a:bevelB/>
        </a:sp3d>
      </c:spPr>
    </c:plotArea>
    <c:legend>
      <c:legendPos val="r"/>
      <c:layout>
        <c:manualLayout>
          <c:xMode val="edge"/>
          <c:yMode val="edge"/>
          <c:x val="0"/>
          <c:y val="0.86977343154686693"/>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22" l="0.70000000000000062" r="0.70000000000000062" t="0.75000000000000322"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'28'!$B$35</c:f>
              <c:strCache>
                <c:ptCount val="1"/>
                <c:pt idx="0">
                  <c:v> ENF. APARATO DIGESTIVO</c:v>
                </c:pt>
              </c:strCache>
            </c:strRef>
          </c:tx>
          <c:marker>
            <c:symbol val="none"/>
          </c:marker>
          <c:cat>
            <c:numRef>
              <c:f>'28'!$C$30:$L$30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'28'!$C$35:$L$35</c:f>
              <c:numCache>
                <c:formatCode>0.00</c:formatCode>
                <c:ptCount val="10"/>
                <c:pt idx="0">
                  <c:v>0.41372661400825173</c:v>
                </c:pt>
                <c:pt idx="1">
                  <c:v>0.39796362762618454</c:v>
                </c:pt>
                <c:pt idx="2">
                  <c:v>0.43827231567492081</c:v>
                </c:pt>
                <c:pt idx="3">
                  <c:v>0.37804685578797076</c:v>
                </c:pt>
                <c:pt idx="4">
                  <c:v>0.3042882914212437</c:v>
                </c:pt>
                <c:pt idx="5">
                  <c:v>0.38967956899294642</c:v>
                </c:pt>
                <c:pt idx="6">
                  <c:v>0.35290048912007788</c:v>
                </c:pt>
                <c:pt idx="7">
                  <c:v>0.34591920166041212</c:v>
                </c:pt>
                <c:pt idx="8">
                  <c:v>0.38784880186167425</c:v>
                </c:pt>
                <c:pt idx="9">
                  <c:v>0.49616693571493459</c:v>
                </c:pt>
              </c:numCache>
            </c:numRef>
          </c:val>
          <c:smooth val="0"/>
          <c:extLst>
            <c:ext xmlns:c16="http://schemas.microsoft.com/office/drawing/2014/chart" uri="{C3380CC4-5D6E-409C-BE32-E72D297353CC}">
              <c16:uniqueId val="{00000000-454C-4AA3-96D7-3103E10EC979}"/>
            </c:ext>
          </c:extLst>
        </c:ser>
        <c:ser>
          <c:idx val="2"/>
          <c:order val="1"/>
          <c:tx>
            <c:strRef>
              <c:f>'28'!$B$36</c:f>
              <c:strCache>
                <c:ptCount val="1"/>
                <c:pt idx="0">
                  <c:v> ENF. APARATO GENITOURINARIO</c:v>
                </c:pt>
              </c:strCache>
            </c:strRef>
          </c:tx>
          <c:marker>
            <c:symbol val="none"/>
          </c:marker>
          <c:cat>
            <c:numRef>
              <c:f>'28'!$C$30:$L$30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'28'!$C$36:$L$36</c:f>
              <c:numCache>
                <c:formatCode>0.00</c:formatCode>
                <c:ptCount val="10"/>
                <c:pt idx="0">
                  <c:v>0.2808786186845012</c:v>
                </c:pt>
                <c:pt idx="1">
                  <c:v>0.21775368304074247</c:v>
                </c:pt>
                <c:pt idx="2">
                  <c:v>0.19313695267030409</c:v>
                </c:pt>
                <c:pt idx="3">
                  <c:v>0.2642657632692611</c:v>
                </c:pt>
                <c:pt idx="4">
                  <c:v>0.25357357618436976</c:v>
                </c:pt>
                <c:pt idx="5">
                  <c:v>0.23595276654618777</c:v>
                </c:pt>
                <c:pt idx="6">
                  <c:v>0.22585631303684986</c:v>
                </c:pt>
                <c:pt idx="7">
                  <c:v>0.25856586790778285</c:v>
                </c:pt>
                <c:pt idx="8">
                  <c:v>0.2096480010063104</c:v>
                </c:pt>
                <c:pt idx="9">
                  <c:v>0.18518906755557418</c:v>
                </c:pt>
              </c:numCache>
            </c:numRef>
          </c:val>
          <c:smooth val="0"/>
          <c:extLst>
            <c:ext xmlns:c16="http://schemas.microsoft.com/office/drawing/2014/chart" uri="{C3380CC4-5D6E-409C-BE32-E72D297353CC}">
              <c16:uniqueId val="{00000001-454C-4AA3-96D7-3103E10EC979}"/>
            </c:ext>
          </c:extLst>
        </c:ser>
        <c:ser>
          <c:idx val="3"/>
          <c:order val="2"/>
          <c:tx>
            <c:strRef>
              <c:f>'28'!$B$37</c:f>
              <c:strCache>
                <c:ptCount val="1"/>
                <c:pt idx="0">
                  <c:v> INFECC.  Y PARASITARIAS</c:v>
                </c:pt>
              </c:strCache>
            </c:strRef>
          </c:tx>
          <c:marker>
            <c:symbol val="none"/>
          </c:marker>
          <c:cat>
            <c:numRef>
              <c:f>'28'!$C$30:$L$30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'28'!$C$37:$L$37</c:f>
              <c:numCache>
                <c:formatCode>0.00</c:formatCode>
                <c:ptCount val="10"/>
                <c:pt idx="0">
                  <c:v>0.13284799532375058</c:v>
                </c:pt>
                <c:pt idx="1">
                  <c:v>0.17270119689438193</c:v>
                </c:pt>
                <c:pt idx="2">
                  <c:v>0.14113854233599146</c:v>
                </c:pt>
                <c:pt idx="3">
                  <c:v>0.17250681768965659</c:v>
                </c:pt>
                <c:pt idx="4">
                  <c:v>0.13040926775196157</c:v>
                </c:pt>
                <c:pt idx="5">
                  <c:v>0.17160201203359107</c:v>
                </c:pt>
                <c:pt idx="6">
                  <c:v>0.11998616630082649</c:v>
                </c:pt>
                <c:pt idx="7">
                  <c:v>0.10831813385326038</c:v>
                </c:pt>
                <c:pt idx="8">
                  <c:v>0.10831813385326038</c:v>
                </c:pt>
                <c:pt idx="9">
                  <c:v>9.0847467102734503E-2</c:v>
                </c:pt>
              </c:numCache>
            </c:numRef>
          </c:val>
          <c:smooth val="0"/>
          <c:extLst>
            <c:ext xmlns:c16="http://schemas.microsoft.com/office/drawing/2014/chart" uri="{C3380CC4-5D6E-409C-BE32-E72D297353CC}">
              <c16:uniqueId val="{00000002-454C-4AA3-96D7-3103E10EC979}"/>
            </c:ext>
          </c:extLst>
        </c:ser>
        <c:ser>
          <c:idx val="4"/>
          <c:order val="3"/>
          <c:tx>
            <c:strRef>
              <c:f>'28'!$B$38</c:f>
              <c:strCache>
                <c:ptCount val="1"/>
                <c:pt idx="0">
                  <c:v>SIGNOS, ENF. MAL DEFINIDAS</c:v>
                </c:pt>
              </c:strCache>
            </c:strRef>
          </c:tx>
          <c:marker>
            <c:symbol val="none"/>
          </c:marker>
          <c:cat>
            <c:numRef>
              <c:f>'28'!$C$30:$L$30</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'28'!$C$38:$L$38</c:f>
              <c:numCache>
                <c:formatCode>0.00</c:formatCode>
                <c:ptCount val="10"/>
                <c:pt idx="0">
                  <c:v>0.31503953176775135</c:v>
                </c:pt>
                <c:pt idx="1">
                  <c:v>0.37543738455300424</c:v>
                </c:pt>
                <c:pt idx="2">
                  <c:v>0.40113059400755458</c:v>
                </c:pt>
                <c:pt idx="3">
                  <c:v>0.60927939864857428</c:v>
                </c:pt>
                <c:pt idx="4">
                  <c:v>0.56148434726539009</c:v>
                </c:pt>
                <c:pt idx="5">
                  <c:v>0.32890385639771624</c:v>
                </c:pt>
                <c:pt idx="6">
                  <c:v>0.1835082543424405</c:v>
                </c:pt>
                <c:pt idx="7">
                  <c:v>0.17820080085536386</c:v>
                </c:pt>
                <c:pt idx="8">
                  <c:v>0.33194266825999147</c:v>
                </c:pt>
                <c:pt idx="9">
                  <c:v>0.31447200150946564</c:v>
                </c:pt>
              </c:numCache>
            </c:numRef>
          </c:val>
          <c:smooth val="0"/>
          <c:extLst>
            <c:ext xmlns:c16="http://schemas.microsoft.com/office/drawing/2014/chart" uri="{C3380CC4-5D6E-409C-BE32-E72D297353CC}">
              <c16:uniqueId val="{00000003-454C-4AA3-96D7-3103E10EC979}"/>
            </c:ext>
          </c:extLst>
        </c:ser>
        <c:dLbls>
          <c:showLegendKey val="0"/>
          <c:showVal val="0"/>
          <c:showCatName val="0"/>
          <c:showSerName val="0"/>
          <c:showPercent val="0"/>
          <c:showBubbleSize val="0"/>
        </c:dLbls>
        <c:smooth val="0"/>
        <c:axId val="-1438782432"/>
        <c:axId val="-1438781888"/>
      </c:lineChart>
      <c:catAx>
        <c:axId val="-1438782432"/>
        <c:scaling>
          <c:orientation val="minMax"/>
        </c:scaling>
        <c:delete val="0"/>
        <c:axPos val="b"/>
        <c:numFmt formatCode="General" sourceLinked="1"/>
        <c:majorTickMark val="out"/>
        <c:minorTickMark val="none"/>
        <c:tickLblPos val="nextTo"/>
        <c:crossAx val="-1438781888"/>
        <c:crosses val="autoZero"/>
        <c:auto val="1"/>
        <c:lblAlgn val="ctr"/>
        <c:lblOffset val="100"/>
        <c:noMultiLvlLbl val="0"/>
      </c:catAx>
      <c:valAx>
        <c:axId val="-1438781888"/>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1438782432"/>
        <c:crosses val="autoZero"/>
        <c:crossBetween val="between"/>
      </c:valAx>
      <c:spPr>
        <a:scene3d>
          <a:camera prst="orthographicFront"/>
          <a:lightRig rig="threePt" dir="t"/>
        </a:scene3d>
        <a:sp3d>
          <a:bevelB/>
        </a:sp3d>
      </c:spPr>
    </c:plotArea>
    <c:legend>
      <c:legendPos val="r"/>
      <c:layout>
        <c:manualLayout>
          <c:xMode val="edge"/>
          <c:yMode val="edge"/>
          <c:x val="0"/>
          <c:y val="0.86977343154686715"/>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44" l="0.70000000000000062" r="0.70000000000000062" t="0.75000000000000344" header="0.30000000000000032" footer="0.30000000000000032"/>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PARTOS SEGÚN  EDAD  DE  LA  MADRE
2008 - 2013</a:t>
            </a:r>
          </a:p>
        </c:rich>
      </c:tx>
      <c:layout>
        <c:manualLayout>
          <c:xMode val="edge"/>
          <c:yMode val="edge"/>
          <c:x val="0.15966386554622869"/>
          <c:y val="3.717472118959108E-2"/>
        </c:manualLayout>
      </c:layout>
      <c:overlay val="0"/>
      <c:spPr>
        <a:noFill/>
        <a:ln w="25400">
          <a:noFill/>
        </a:ln>
      </c:spPr>
    </c:title>
    <c:autoTitleDeleted val="0"/>
    <c:plotArea>
      <c:layout>
        <c:manualLayout>
          <c:layoutTarget val="inner"/>
          <c:xMode val="edge"/>
          <c:yMode val="edge"/>
          <c:x val="0.10924369747899702"/>
          <c:y val="0.21189591078066924"/>
          <c:w val="0.75000000000001465"/>
          <c:h val="0.67286245353162533"/>
        </c:manualLayout>
      </c:layout>
      <c:barChart>
        <c:barDir val="col"/>
        <c:grouping val="clustered"/>
        <c:varyColors val="0"/>
        <c:ser>
          <c:idx val="4"/>
          <c:order val="0"/>
          <c:tx>
            <c:v>2008</c:v>
          </c:tx>
          <c:spPr>
            <a:solidFill>
              <a:srgbClr val="FFFF99"/>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0.15878056525881232</c:v>
                </c:pt>
                <c:pt idx="1">
                  <c:v>7.780247697681804</c:v>
                </c:pt>
                <c:pt idx="2">
                  <c:v>22.610352492854872</c:v>
                </c:pt>
                <c:pt idx="3">
                  <c:v>29.977770720863766</c:v>
                </c:pt>
                <c:pt idx="4">
                  <c:v>23.658304223563036</c:v>
                </c:pt>
                <c:pt idx="5">
                  <c:v>12.099079072721498</c:v>
                </c:pt>
                <c:pt idx="6">
                  <c:v>3.3979040965385834</c:v>
                </c:pt>
                <c:pt idx="7">
                  <c:v>0.31756113051762463</c:v>
                </c:pt>
              </c:numCache>
            </c:numRef>
          </c:val>
          <c:extLst>
            <c:ext xmlns:c16="http://schemas.microsoft.com/office/drawing/2014/chart" uri="{C3380CC4-5D6E-409C-BE32-E72D297353CC}">
              <c16:uniqueId val="{00000000-D559-4C85-9998-BAF9A51952D4}"/>
            </c:ext>
          </c:extLst>
        </c:ser>
        <c:ser>
          <c:idx val="5"/>
          <c:order val="1"/>
          <c:tx>
            <c:v>2009</c:v>
          </c:tx>
          <c:spPr>
            <a:solidFill>
              <a:srgbClr val="FF8080"/>
            </a:solidFill>
            <a:ln w="12700">
              <a:solidFill>
                <a:srgbClr val="000000"/>
              </a:solidFill>
              <a:prstDash val="solid"/>
            </a:ln>
          </c:spPr>
          <c:invertIfNegative val="0"/>
          <c:val>
            <c:numRef>
              <c:f>'37'!$C$85:$J$85</c:f>
              <c:numCache>
                <c:formatCode>0.00</c:formatCode>
                <c:ptCount val="8"/>
                <c:pt idx="0">
                  <c:v>0.23964395754878468</c:v>
                </c:pt>
                <c:pt idx="1">
                  <c:v>7.2920232796987339</c:v>
                </c:pt>
                <c:pt idx="2">
                  <c:v>20.061622731941117</c:v>
                </c:pt>
                <c:pt idx="3">
                  <c:v>31.598767545361177</c:v>
                </c:pt>
                <c:pt idx="4">
                  <c:v>23.416638137624101</c:v>
                </c:pt>
                <c:pt idx="5">
                  <c:v>13.762410133515921</c:v>
                </c:pt>
                <c:pt idx="6">
                  <c:v>3.4234851078397806</c:v>
                </c:pt>
                <c:pt idx="7">
                  <c:v>0.20540910647038688</c:v>
                </c:pt>
              </c:numCache>
            </c:numRef>
          </c:val>
          <c:extLst>
            <c:ext xmlns:c16="http://schemas.microsoft.com/office/drawing/2014/chart" uri="{C3380CC4-5D6E-409C-BE32-E72D297353CC}">
              <c16:uniqueId val="{00000001-D559-4C85-9998-BAF9A51952D4}"/>
            </c:ext>
          </c:extLst>
        </c:ser>
        <c:ser>
          <c:idx val="6"/>
          <c:order val="2"/>
          <c:tx>
            <c:v>2010</c:v>
          </c:tx>
          <c:spPr>
            <a:solidFill>
              <a:srgbClr val="0080C0"/>
            </a:solidFill>
            <a:ln w="12700">
              <a:solidFill>
                <a:srgbClr val="000000"/>
              </a:solidFill>
              <a:prstDash val="solid"/>
            </a:ln>
          </c:spPr>
          <c:invertIfNegative val="0"/>
          <c:val>
            <c:numRef>
              <c:f>'37'!$C$86:$J$86</c:f>
              <c:numCache>
                <c:formatCode>0.00</c:formatCode>
                <c:ptCount val="8"/>
                <c:pt idx="0">
                  <c:v>7.564296520423601E-2</c:v>
                </c:pt>
                <c:pt idx="1">
                  <c:v>5.7110438729198183</c:v>
                </c:pt>
                <c:pt idx="2">
                  <c:v>18.154311649016641</c:v>
                </c:pt>
                <c:pt idx="3">
                  <c:v>27.344931921331316</c:v>
                </c:pt>
                <c:pt idx="4">
                  <c:v>26.059001512859304</c:v>
                </c:pt>
                <c:pt idx="5">
                  <c:v>15.809379727685325</c:v>
                </c:pt>
                <c:pt idx="6">
                  <c:v>5.9001512859304084</c:v>
                </c:pt>
                <c:pt idx="7">
                  <c:v>0.9455370650529501</c:v>
                </c:pt>
              </c:numCache>
            </c:numRef>
          </c:val>
          <c:extLst>
            <c:ext xmlns:c16="http://schemas.microsoft.com/office/drawing/2014/chart" uri="{C3380CC4-5D6E-409C-BE32-E72D297353CC}">
              <c16:uniqueId val="{00000002-D559-4C85-9998-BAF9A51952D4}"/>
            </c:ext>
          </c:extLst>
        </c:ser>
        <c:ser>
          <c:idx val="0"/>
          <c:order val="3"/>
          <c:tx>
            <c:v>2011</c:v>
          </c:tx>
          <c:spPr>
            <a:solidFill>
              <a:srgbClr val="8080FF"/>
            </a:solidFill>
            <a:ln w="12700">
              <a:solidFill>
                <a:srgbClr val="000000"/>
              </a:solidFill>
              <a:prstDash val="solid"/>
            </a:ln>
          </c:spPr>
          <c:invertIfNegative val="0"/>
          <c:val>
            <c:numRef>
              <c:f>'37'!$C$87:$J$87</c:f>
              <c:numCache>
                <c:formatCode>0.00</c:formatCode>
                <c:ptCount val="8"/>
                <c:pt idx="0">
                  <c:v>4.506534474988734E-2</c:v>
                </c:pt>
                <c:pt idx="1">
                  <c:v>4.9121225777377191</c:v>
                </c:pt>
                <c:pt idx="2">
                  <c:v>19.873817034700316</c:v>
                </c:pt>
                <c:pt idx="3">
                  <c:v>29.202343397926995</c:v>
                </c:pt>
                <c:pt idx="4">
                  <c:v>26.453357368183866</c:v>
                </c:pt>
                <c:pt idx="5">
                  <c:v>15.006759801712482</c:v>
                </c:pt>
                <c:pt idx="6">
                  <c:v>4.3713384407390716</c:v>
                </c:pt>
                <c:pt idx="7">
                  <c:v>0.13519603424966201</c:v>
                </c:pt>
              </c:numCache>
            </c:numRef>
          </c:val>
          <c:extLst>
            <c:ext xmlns:c16="http://schemas.microsoft.com/office/drawing/2014/chart" uri="{C3380CC4-5D6E-409C-BE32-E72D297353CC}">
              <c16:uniqueId val="{00000003-D559-4C85-9998-BAF9A51952D4}"/>
            </c:ext>
          </c:extLst>
        </c:ser>
        <c:ser>
          <c:idx val="1"/>
          <c:order val="4"/>
          <c:tx>
            <c:v>2012</c:v>
          </c:tx>
          <c:invertIfNegative val="0"/>
          <c:val>
            <c:numRef>
              <c:f>'37'!$C$99:$J$99</c:f>
              <c:numCache>
                <c:formatCode>0.00</c:formatCode>
                <c:ptCount val="8"/>
                <c:pt idx="0">
                  <c:v>0</c:v>
                </c:pt>
                <c:pt idx="1">
                  <c:v>5.095541401273886</c:v>
                </c:pt>
                <c:pt idx="2">
                  <c:v>19.108280254777071</c:v>
                </c:pt>
                <c:pt idx="3">
                  <c:v>29.29936305732484</c:v>
                </c:pt>
                <c:pt idx="4">
                  <c:v>19.745222929936308</c:v>
                </c:pt>
                <c:pt idx="5">
                  <c:v>14.64968152866242</c:v>
                </c:pt>
                <c:pt idx="6">
                  <c:v>10.828025477707007</c:v>
                </c:pt>
                <c:pt idx="7">
                  <c:v>1.2738853503184715</c:v>
                </c:pt>
              </c:numCache>
            </c:numRef>
          </c:val>
          <c:extLst>
            <c:ext xmlns:c16="http://schemas.microsoft.com/office/drawing/2014/chart" uri="{C3380CC4-5D6E-409C-BE32-E72D297353CC}">
              <c16:uniqueId val="{00000004-D559-4C85-9998-BAF9A51952D4}"/>
            </c:ext>
          </c:extLst>
        </c:ser>
        <c:ser>
          <c:idx val="2"/>
          <c:order val="5"/>
          <c:tx>
            <c:v>2013</c:v>
          </c:tx>
          <c:invertIfNegative val="0"/>
          <c:val>
            <c:numRef>
              <c:f>'37'!$C$101:$J$101</c:f>
              <c:numCache>
                <c:formatCode>0.00</c:formatCode>
                <c:ptCount val="8"/>
                <c:pt idx="0">
                  <c:v>0</c:v>
                </c:pt>
                <c:pt idx="1">
                  <c:v>2.4390243902439024</c:v>
                </c:pt>
                <c:pt idx="2">
                  <c:v>16.260162601626014</c:v>
                </c:pt>
                <c:pt idx="3">
                  <c:v>25.203252032520325</c:v>
                </c:pt>
                <c:pt idx="4">
                  <c:v>28.455284552845526</c:v>
                </c:pt>
                <c:pt idx="5">
                  <c:v>17.073170731707318</c:v>
                </c:pt>
                <c:pt idx="6">
                  <c:v>10.569105691056912</c:v>
                </c:pt>
                <c:pt idx="7">
                  <c:v>0</c:v>
                </c:pt>
              </c:numCache>
            </c:numRef>
          </c:val>
          <c:extLst>
            <c:ext xmlns:c16="http://schemas.microsoft.com/office/drawing/2014/chart" uri="{C3380CC4-5D6E-409C-BE32-E72D297353CC}">
              <c16:uniqueId val="{00000005-D559-4C85-9998-BAF9A51952D4}"/>
            </c:ext>
          </c:extLst>
        </c:ser>
        <c:dLbls>
          <c:showLegendKey val="0"/>
          <c:showVal val="0"/>
          <c:showCatName val="0"/>
          <c:showSerName val="0"/>
          <c:showPercent val="0"/>
          <c:showBubbleSize val="0"/>
        </c:dLbls>
        <c:gapWidth val="150"/>
        <c:axId val="-1438780800"/>
        <c:axId val="-1438772640"/>
      </c:barChart>
      <c:catAx>
        <c:axId val="-1438780800"/>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4.8319327731092439E-2"/>
              <c:y val="7.806691449814412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1438772640"/>
        <c:crosses val="autoZero"/>
        <c:auto val="1"/>
        <c:lblAlgn val="ctr"/>
        <c:lblOffset val="100"/>
        <c:tickLblSkip val="1"/>
        <c:tickMarkSkip val="1"/>
        <c:noMultiLvlLbl val="0"/>
      </c:catAx>
      <c:valAx>
        <c:axId val="-1438772640"/>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1438780800"/>
        <c:crosses val="autoZero"/>
        <c:crossBetween val="between"/>
      </c:valAx>
      <c:spPr>
        <a:gradFill rotWithShape="0">
          <a:gsLst>
            <a:gs pos="0">
              <a:srgbClr val="C0C0C0"/>
            </a:gs>
            <a:gs pos="100000">
              <a:srgbClr val="C0C0C0">
                <a:gamma/>
                <a:tint val="0"/>
                <a:invGamma/>
              </a:srgbClr>
            </a:gs>
          </a:gsLst>
          <a:lin ang="5400000" scaled="1"/>
        </a:gradFill>
        <a:ln w="12700">
          <a:solidFill>
            <a:srgbClr val="C0C0C0"/>
          </a:solidFill>
          <a:prstDash val="solid"/>
        </a:ln>
      </c:spPr>
    </c:plotArea>
    <c:legend>
      <c:legendPos val="r"/>
      <c:layout>
        <c:manualLayout>
          <c:xMode val="edge"/>
          <c:yMode val="edge"/>
          <c:x val="0.88235294117647056"/>
          <c:y val="0.25650557620817843"/>
          <c:w val="7.8306755773178138E-2"/>
          <c:h val="0.40205368380998702"/>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ABORTOS  SEGÚN  EDAD  DE  LA  MADRE
2008 - 2013</a:t>
            </a:r>
          </a:p>
        </c:rich>
      </c:tx>
      <c:layout>
        <c:manualLayout>
          <c:xMode val="edge"/>
          <c:yMode val="edge"/>
          <c:x val="0.14705882352941191"/>
          <c:y val="3.717472118959108E-2"/>
        </c:manualLayout>
      </c:layout>
      <c:overlay val="0"/>
      <c:spPr>
        <a:noFill/>
        <a:ln w="25400">
          <a:noFill/>
        </a:ln>
      </c:spPr>
    </c:title>
    <c:autoTitleDeleted val="0"/>
    <c:plotArea>
      <c:layout>
        <c:manualLayout>
          <c:layoutTarget val="inner"/>
          <c:xMode val="edge"/>
          <c:yMode val="edge"/>
          <c:x val="0.1134453781512605"/>
          <c:y val="0.17843866171003744"/>
          <c:w val="0.75000000000001465"/>
          <c:h val="0.67286245353162533"/>
        </c:manualLayout>
      </c:layout>
      <c:barChart>
        <c:barDir val="col"/>
        <c:grouping val="clustered"/>
        <c:varyColors val="0"/>
        <c:ser>
          <c:idx val="2"/>
          <c:order val="0"/>
          <c:tx>
            <c:strRef>
              <c:f>'37'!$B$95</c:f>
              <c:strCache>
                <c:ptCount val="1"/>
                <c:pt idx="0">
                  <c:v>2017</c:v>
                </c:pt>
              </c:strCache>
            </c:strRef>
          </c:tx>
          <c:spPr>
            <a:solidFill>
              <a:srgbClr val="FFFFC0"/>
            </a:solidFill>
            <a:ln w="12700">
              <a:solidFill>
                <a:srgbClr val="000000"/>
              </a:solidFill>
              <a:prstDash val="solid"/>
            </a:ln>
          </c:spPr>
          <c:invertIfNegative val="0"/>
          <c:cat>
            <c:strRef>
              <c:f>'37'!$C$94:$J$94</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extLst>
            <c:ext xmlns:c16="http://schemas.microsoft.com/office/drawing/2014/chart" uri="{C3380CC4-5D6E-409C-BE32-E72D297353CC}">
              <c16:uniqueId val="{00000000-DD7D-43BF-8061-46C10626B385}"/>
            </c:ext>
          </c:extLst>
        </c:ser>
        <c:ser>
          <c:idx val="3"/>
          <c:order val="1"/>
          <c:tx>
            <c:strRef>
              <c:f>'37'!$B$96</c:f>
              <c:strCache>
                <c:ptCount val="1"/>
                <c:pt idx="0">
                  <c:v>2018</c:v>
                </c:pt>
              </c:strCache>
            </c:strRef>
          </c:tx>
          <c:spPr>
            <a:solidFill>
              <a:srgbClr val="A0E0E0"/>
            </a:solidFill>
            <a:ln w="12700">
              <a:solidFill>
                <a:srgbClr val="000000"/>
              </a:solidFill>
              <a:prstDash val="solid"/>
            </a:ln>
          </c:spPr>
          <c:invertIfNegative val="0"/>
          <c:cat>
            <c:strRef>
              <c:f>'37'!$C$94:$J$94</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0</c:v>
                </c:pt>
                <c:pt idx="1">
                  <c:v>7.2289156626506017</c:v>
                </c:pt>
                <c:pt idx="2">
                  <c:v>20.080321285140563</c:v>
                </c:pt>
                <c:pt idx="3">
                  <c:v>28.112449799196789</c:v>
                </c:pt>
                <c:pt idx="4">
                  <c:v>19.678714859437751</c:v>
                </c:pt>
                <c:pt idx="5">
                  <c:v>17.269076305220885</c:v>
                </c:pt>
                <c:pt idx="6">
                  <c:v>7.2289156626506017</c:v>
                </c:pt>
                <c:pt idx="7">
                  <c:v>0.40160642570281119</c:v>
                </c:pt>
              </c:numCache>
            </c:numRef>
          </c:val>
          <c:extLst>
            <c:ext xmlns:c16="http://schemas.microsoft.com/office/drawing/2014/chart" uri="{C3380CC4-5D6E-409C-BE32-E72D297353CC}">
              <c16:uniqueId val="{00000001-DD7D-43BF-8061-46C10626B385}"/>
            </c:ext>
          </c:extLst>
        </c:ser>
        <c:ser>
          <c:idx val="4"/>
          <c:order val="2"/>
          <c:tx>
            <c:strRef>
              <c:f>'37'!$B$97</c:f>
              <c:strCache>
                <c:ptCount val="1"/>
                <c:pt idx="0">
                  <c:v>2019</c:v>
                </c:pt>
              </c:strCache>
            </c:strRef>
          </c:tx>
          <c:spPr>
            <a:solidFill>
              <a:srgbClr val="FFFF00"/>
            </a:solidFill>
            <a:ln w="12700">
              <a:solidFill>
                <a:srgbClr val="000000"/>
              </a:solidFill>
              <a:prstDash val="solid"/>
            </a:ln>
          </c:spPr>
          <c:invertIfNegative val="0"/>
          <c:cat>
            <c:strRef>
              <c:f>'37'!$C$94:$J$94</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1.6260162601626018</c:v>
                </c:pt>
                <c:pt idx="1">
                  <c:v>5.6910569105691051</c:v>
                </c:pt>
                <c:pt idx="2">
                  <c:v>16.260162601626014</c:v>
                </c:pt>
                <c:pt idx="3">
                  <c:v>26.016260162601629</c:v>
                </c:pt>
                <c:pt idx="4">
                  <c:v>25.203252032520325</c:v>
                </c:pt>
                <c:pt idx="5">
                  <c:v>15.447154471544716</c:v>
                </c:pt>
                <c:pt idx="6">
                  <c:v>8.9430894308943092</c:v>
                </c:pt>
                <c:pt idx="7">
                  <c:v>0.81300813008130091</c:v>
                </c:pt>
              </c:numCache>
            </c:numRef>
          </c:val>
          <c:extLst>
            <c:ext xmlns:c16="http://schemas.microsoft.com/office/drawing/2014/chart" uri="{C3380CC4-5D6E-409C-BE32-E72D297353CC}">
              <c16:uniqueId val="{00000002-DD7D-43BF-8061-46C10626B385}"/>
            </c:ext>
          </c:extLst>
        </c:ser>
        <c:ser>
          <c:idx val="5"/>
          <c:order val="3"/>
          <c:tx>
            <c:strRef>
              <c:f>'37'!$B$98</c:f>
              <c:strCache>
                <c:ptCount val="1"/>
                <c:pt idx="0">
                  <c:v>2020</c:v>
                </c:pt>
              </c:strCache>
            </c:strRef>
          </c:tx>
          <c:spPr>
            <a:solidFill>
              <a:srgbClr val="FF8080"/>
            </a:solidFill>
            <a:ln w="12700">
              <a:solidFill>
                <a:srgbClr val="000000"/>
              </a:solidFill>
              <a:prstDash val="solid"/>
            </a:ln>
          </c:spPr>
          <c:invertIfNegative val="0"/>
          <c:cat>
            <c:strRef>
              <c:f>'37'!$C$94:$J$94</c:f>
              <c:strCache>
                <c:ptCount val="8"/>
                <c:pt idx="0">
                  <c:v>-15</c:v>
                </c:pt>
                <c:pt idx="1">
                  <c:v>15 - 19</c:v>
                </c:pt>
                <c:pt idx="2">
                  <c:v>20 - 24</c:v>
                </c:pt>
                <c:pt idx="3">
                  <c:v>25 - 29</c:v>
                </c:pt>
                <c:pt idx="4">
                  <c:v>30 - 34</c:v>
                </c:pt>
                <c:pt idx="5">
                  <c:v>35 - 39</c:v>
                </c:pt>
                <c:pt idx="6">
                  <c:v>40 - 44</c:v>
                </c:pt>
                <c:pt idx="7">
                  <c:v>45 Y +</c:v>
                </c:pt>
              </c:strCache>
            </c:strRef>
          </c:cat>
          <c:val>
            <c:numRef>
              <c:f>'37'!$C$98:$J$98</c:f>
              <c:numCache>
                <c:formatCode>0.00</c:formatCode>
                <c:ptCount val="8"/>
                <c:pt idx="0">
                  <c:v>0.69444444444444442</c:v>
                </c:pt>
                <c:pt idx="1">
                  <c:v>5.5555555555555554</c:v>
                </c:pt>
                <c:pt idx="2">
                  <c:v>17.361111111111111</c:v>
                </c:pt>
                <c:pt idx="3">
                  <c:v>18.75</c:v>
                </c:pt>
                <c:pt idx="4">
                  <c:v>25.694444444444443</c:v>
                </c:pt>
                <c:pt idx="5">
                  <c:v>22.222222222222221</c:v>
                </c:pt>
                <c:pt idx="6">
                  <c:v>6.9444444444444446</c:v>
                </c:pt>
                <c:pt idx="7">
                  <c:v>2.7777777777777777</c:v>
                </c:pt>
              </c:numCache>
            </c:numRef>
          </c:val>
          <c:extLst>
            <c:ext xmlns:c16="http://schemas.microsoft.com/office/drawing/2014/chart" uri="{C3380CC4-5D6E-409C-BE32-E72D297353CC}">
              <c16:uniqueId val="{00000003-DD7D-43BF-8061-46C10626B385}"/>
            </c:ext>
          </c:extLst>
        </c:ser>
        <c:ser>
          <c:idx val="0"/>
          <c:order val="4"/>
          <c:tx>
            <c:strRef>
              <c:f>'37'!$B$99</c:f>
              <c:strCache>
                <c:ptCount val="1"/>
                <c:pt idx="0">
                  <c:v>2021</c:v>
                </c:pt>
              </c:strCache>
            </c:strRef>
          </c:tx>
          <c:spPr>
            <a:solidFill>
              <a:srgbClr val="8080FF"/>
            </a:solidFill>
            <a:ln w="12700">
              <a:solidFill>
                <a:srgbClr val="000000"/>
              </a:solidFill>
              <a:prstDash val="solid"/>
            </a:ln>
          </c:spPr>
          <c:invertIfNegative val="0"/>
          <c:val>
            <c:numRef>
              <c:f>'37'!$C$99:$J$99</c:f>
              <c:numCache>
                <c:formatCode>0.00</c:formatCode>
                <c:ptCount val="8"/>
                <c:pt idx="0">
                  <c:v>0</c:v>
                </c:pt>
                <c:pt idx="1">
                  <c:v>5.095541401273886</c:v>
                </c:pt>
                <c:pt idx="2">
                  <c:v>19.108280254777071</c:v>
                </c:pt>
                <c:pt idx="3">
                  <c:v>29.29936305732484</c:v>
                </c:pt>
                <c:pt idx="4">
                  <c:v>19.745222929936308</c:v>
                </c:pt>
                <c:pt idx="5">
                  <c:v>14.64968152866242</c:v>
                </c:pt>
                <c:pt idx="6">
                  <c:v>10.828025477707007</c:v>
                </c:pt>
                <c:pt idx="7">
                  <c:v>1.2738853503184715</c:v>
                </c:pt>
              </c:numCache>
            </c:numRef>
          </c:val>
          <c:extLst>
            <c:ext xmlns:c16="http://schemas.microsoft.com/office/drawing/2014/chart" uri="{C3380CC4-5D6E-409C-BE32-E72D297353CC}">
              <c16:uniqueId val="{00000004-DD7D-43BF-8061-46C10626B385}"/>
            </c:ext>
          </c:extLst>
        </c:ser>
        <c:ser>
          <c:idx val="1"/>
          <c:order val="5"/>
          <c:tx>
            <c:strRef>
              <c:f>'37'!$B$101</c:f>
              <c:strCache>
                <c:ptCount val="1"/>
                <c:pt idx="0">
                  <c:v>2023</c:v>
                </c:pt>
              </c:strCache>
            </c:strRef>
          </c:tx>
          <c:spPr>
            <a:solidFill>
              <a:srgbClr val="802060"/>
            </a:solidFill>
            <a:ln w="12700">
              <a:solidFill>
                <a:srgbClr val="000000"/>
              </a:solidFill>
              <a:prstDash val="solid"/>
            </a:ln>
          </c:spPr>
          <c:invertIfNegative val="0"/>
          <c:val>
            <c:numRef>
              <c:f>'37'!$C$101:$J$101</c:f>
              <c:numCache>
                <c:formatCode>0.00</c:formatCode>
                <c:ptCount val="8"/>
                <c:pt idx="0">
                  <c:v>0</c:v>
                </c:pt>
                <c:pt idx="1">
                  <c:v>2.4390243902439024</c:v>
                </c:pt>
                <c:pt idx="2">
                  <c:v>16.260162601626014</c:v>
                </c:pt>
                <c:pt idx="3">
                  <c:v>25.203252032520325</c:v>
                </c:pt>
                <c:pt idx="4">
                  <c:v>28.455284552845526</c:v>
                </c:pt>
                <c:pt idx="5">
                  <c:v>17.073170731707318</c:v>
                </c:pt>
                <c:pt idx="6">
                  <c:v>10.569105691056912</c:v>
                </c:pt>
                <c:pt idx="7">
                  <c:v>0</c:v>
                </c:pt>
              </c:numCache>
            </c:numRef>
          </c:val>
          <c:extLst>
            <c:ext xmlns:c16="http://schemas.microsoft.com/office/drawing/2014/chart" uri="{C3380CC4-5D6E-409C-BE32-E72D297353CC}">
              <c16:uniqueId val="{00000005-DD7D-43BF-8061-46C10626B385}"/>
            </c:ext>
          </c:extLst>
        </c:ser>
        <c:dLbls>
          <c:showLegendKey val="0"/>
          <c:showVal val="0"/>
          <c:showCatName val="0"/>
          <c:showSerName val="0"/>
          <c:showPercent val="0"/>
          <c:showBubbleSize val="0"/>
        </c:dLbls>
        <c:gapWidth val="150"/>
        <c:axId val="-1438773184"/>
        <c:axId val="-1438784608"/>
      </c:barChart>
      <c:catAx>
        <c:axId val="-1438773184"/>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5.2521008403361352E-2"/>
              <c:y val="4.460966542750929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1438784608"/>
        <c:crosses val="autoZero"/>
        <c:auto val="1"/>
        <c:lblAlgn val="ctr"/>
        <c:lblOffset val="100"/>
        <c:tickLblSkip val="1"/>
        <c:tickMarkSkip val="1"/>
        <c:noMultiLvlLbl val="0"/>
      </c:catAx>
      <c:valAx>
        <c:axId val="-1438784608"/>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1438773184"/>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88235294117647056"/>
          <c:y val="0.25650557620817843"/>
          <c:w val="0.10084033613444986"/>
          <c:h val="0.44981412639407137"/>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sz="1000">
                <a:solidFill>
                  <a:schemeClr val="accent1">
                    <a:lumMod val="75000"/>
                  </a:schemeClr>
                </a:solidFill>
              </a:rPr>
              <a:t>PORCENTAJE  DE  PARTOS SEGÚN  EDAD  DE  LA  MADRE
2017 - 2022</a:t>
            </a:r>
          </a:p>
        </c:rich>
      </c:tx>
      <c:layout>
        <c:manualLayout>
          <c:xMode val="edge"/>
          <c:yMode val="edge"/>
          <c:x val="0.15966386554622869"/>
          <c:y val="3.71747211895910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0.10924369747899702"/>
          <c:y val="0.21189591078066924"/>
          <c:w val="0.80479446918450259"/>
          <c:h val="0.60117780976302693"/>
        </c:manualLayout>
      </c:layout>
      <c:barChart>
        <c:barDir val="col"/>
        <c:grouping val="clustered"/>
        <c:varyColors val="0"/>
        <c:ser>
          <c:idx val="4"/>
          <c:order val="0"/>
          <c:tx>
            <c:strRef>
              <c:f>'37'!$B$83</c:f>
              <c:strCache>
                <c:ptCount val="1"/>
                <c:pt idx="0">
                  <c:v>2017</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'37'!$C$83:$J$83</c:f>
              <c:numCache>
                <c:formatCode>0.00</c:formatCode>
                <c:ptCount val="8"/>
                <c:pt idx="0">
                  <c:v>0.26962252846015577</c:v>
                </c:pt>
                <c:pt idx="1">
                  <c:v>11.503894547633314</c:v>
                </c:pt>
                <c:pt idx="2">
                  <c:v>23.397243858597964</c:v>
                </c:pt>
                <c:pt idx="3">
                  <c:v>27.801078490113838</c:v>
                </c:pt>
                <c:pt idx="4">
                  <c:v>22.228879568603954</c:v>
                </c:pt>
                <c:pt idx="5">
                  <c:v>11.054523666866386</c:v>
                </c:pt>
                <c:pt idx="6">
                  <c:v>3.6249251048532058</c:v>
                </c:pt>
                <c:pt idx="7">
                  <c:v>0.11983223487118035</c:v>
                </c:pt>
              </c:numCache>
            </c:numRef>
          </c:val>
          <c:extLst>
            <c:ext xmlns:c16="http://schemas.microsoft.com/office/drawing/2014/chart" uri="{C3380CC4-5D6E-409C-BE32-E72D297353CC}">
              <c16:uniqueId val="{00000000-2C8C-4F47-9C94-F27E327B23FB}"/>
            </c:ext>
          </c:extLst>
        </c:ser>
        <c:ser>
          <c:idx val="5"/>
          <c:order val="1"/>
          <c:tx>
            <c:strRef>
              <c:f>'37'!$B$84</c:f>
              <c:strCache>
                <c:ptCount val="1"/>
                <c:pt idx="0">
                  <c:v>2018</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0.15878056525881232</c:v>
                </c:pt>
                <c:pt idx="1">
                  <c:v>7.780247697681804</c:v>
                </c:pt>
                <c:pt idx="2">
                  <c:v>22.610352492854872</c:v>
                </c:pt>
                <c:pt idx="3">
                  <c:v>29.977770720863766</c:v>
                </c:pt>
                <c:pt idx="4">
                  <c:v>23.658304223563036</c:v>
                </c:pt>
                <c:pt idx="5">
                  <c:v>12.099079072721498</c:v>
                </c:pt>
                <c:pt idx="6">
                  <c:v>3.3979040965385834</c:v>
                </c:pt>
                <c:pt idx="7">
                  <c:v>0.31756113051762463</c:v>
                </c:pt>
              </c:numCache>
            </c:numRef>
          </c:val>
          <c:extLst>
            <c:ext xmlns:c16="http://schemas.microsoft.com/office/drawing/2014/chart" uri="{C3380CC4-5D6E-409C-BE32-E72D297353CC}">
              <c16:uniqueId val="{00000001-2C8C-4F47-9C94-F27E327B23FB}"/>
            </c:ext>
          </c:extLst>
        </c:ser>
        <c:ser>
          <c:idx val="6"/>
          <c:order val="2"/>
          <c:tx>
            <c:strRef>
              <c:f>'37'!$B$85</c:f>
              <c:strCache>
                <c:ptCount val="1"/>
                <c:pt idx="0">
                  <c:v>2019</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'37'!$C$85:$J$85</c:f>
              <c:numCache>
                <c:formatCode>0.00</c:formatCode>
                <c:ptCount val="8"/>
                <c:pt idx="0">
                  <c:v>0.23964395754878468</c:v>
                </c:pt>
                <c:pt idx="1">
                  <c:v>7.2920232796987339</c:v>
                </c:pt>
                <c:pt idx="2">
                  <c:v>20.061622731941117</c:v>
                </c:pt>
                <c:pt idx="3">
                  <c:v>31.598767545361177</c:v>
                </c:pt>
                <c:pt idx="4">
                  <c:v>23.416638137624101</c:v>
                </c:pt>
                <c:pt idx="5">
                  <c:v>13.762410133515921</c:v>
                </c:pt>
                <c:pt idx="6">
                  <c:v>3.4234851078397806</c:v>
                </c:pt>
                <c:pt idx="7">
                  <c:v>0.20540910647038688</c:v>
                </c:pt>
              </c:numCache>
            </c:numRef>
          </c:val>
          <c:extLst>
            <c:ext xmlns:c16="http://schemas.microsoft.com/office/drawing/2014/chart" uri="{C3380CC4-5D6E-409C-BE32-E72D297353CC}">
              <c16:uniqueId val="{00000002-2C8C-4F47-9C94-F27E327B23FB}"/>
            </c:ext>
          </c:extLst>
        </c:ser>
        <c:ser>
          <c:idx val="0"/>
          <c:order val="3"/>
          <c:tx>
            <c:strRef>
              <c:f>'37'!$B$86</c:f>
              <c:strCache>
                <c:ptCount val="1"/>
                <c:pt idx="0">
                  <c:v>2020</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'37'!$C$86:$J$86</c:f>
              <c:numCache>
                <c:formatCode>0.00</c:formatCode>
                <c:ptCount val="8"/>
                <c:pt idx="0">
                  <c:v>7.564296520423601E-2</c:v>
                </c:pt>
                <c:pt idx="1">
                  <c:v>5.7110438729198183</c:v>
                </c:pt>
                <c:pt idx="2">
                  <c:v>18.154311649016641</c:v>
                </c:pt>
                <c:pt idx="3">
                  <c:v>27.344931921331316</c:v>
                </c:pt>
                <c:pt idx="4">
                  <c:v>26.059001512859304</c:v>
                </c:pt>
                <c:pt idx="5">
                  <c:v>15.809379727685325</c:v>
                </c:pt>
                <c:pt idx="6">
                  <c:v>5.9001512859304084</c:v>
                </c:pt>
                <c:pt idx="7">
                  <c:v>0.9455370650529501</c:v>
                </c:pt>
              </c:numCache>
            </c:numRef>
          </c:val>
          <c:extLst>
            <c:ext xmlns:c16="http://schemas.microsoft.com/office/drawing/2014/chart" uri="{C3380CC4-5D6E-409C-BE32-E72D297353CC}">
              <c16:uniqueId val="{00000003-2C8C-4F47-9C94-F27E327B23FB}"/>
            </c:ext>
          </c:extLst>
        </c:ser>
        <c:ser>
          <c:idx val="1"/>
          <c:order val="4"/>
          <c:tx>
            <c:strRef>
              <c:f>'37'!$B$87</c:f>
              <c:strCache>
                <c:ptCount val="1"/>
                <c:pt idx="0">
                  <c:v>2021</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'37'!$C$87:$J$87</c:f>
              <c:numCache>
                <c:formatCode>0.00</c:formatCode>
                <c:ptCount val="8"/>
                <c:pt idx="0">
                  <c:v>4.506534474988734E-2</c:v>
                </c:pt>
                <c:pt idx="1">
                  <c:v>4.9121225777377191</c:v>
                </c:pt>
                <c:pt idx="2">
                  <c:v>19.873817034700316</c:v>
                </c:pt>
                <c:pt idx="3">
                  <c:v>29.202343397926995</c:v>
                </c:pt>
                <c:pt idx="4">
                  <c:v>26.453357368183866</c:v>
                </c:pt>
                <c:pt idx="5">
                  <c:v>15.006759801712482</c:v>
                </c:pt>
                <c:pt idx="6">
                  <c:v>4.3713384407390716</c:v>
                </c:pt>
                <c:pt idx="7">
                  <c:v>0.13519603424966201</c:v>
                </c:pt>
              </c:numCache>
            </c:numRef>
          </c:val>
          <c:extLst>
            <c:ext xmlns:c16="http://schemas.microsoft.com/office/drawing/2014/chart" uri="{C3380CC4-5D6E-409C-BE32-E72D297353CC}">
              <c16:uniqueId val="{00000004-2C8C-4F47-9C94-F27E327B23FB}"/>
            </c:ext>
          </c:extLst>
        </c:ser>
        <c:ser>
          <c:idx val="3"/>
          <c:order val="5"/>
          <c:tx>
            <c:strRef>
              <c:f>'37'!$B$88</c:f>
              <c:strCache>
                <c:ptCount val="1"/>
                <c:pt idx="0">
                  <c:v>2022</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val>
            <c:numRef>
              <c:f>'37'!$C$88:$J$88</c:f>
              <c:numCache>
                <c:formatCode>0.00</c:formatCode>
                <c:ptCount val="8"/>
                <c:pt idx="0">
                  <c:v>8.3090984628167844E-2</c:v>
                </c:pt>
                <c:pt idx="1">
                  <c:v>4.943913585375987</c:v>
                </c:pt>
                <c:pt idx="2">
                  <c:v>20.024927295388451</c:v>
                </c:pt>
                <c:pt idx="3">
                  <c:v>27.752388865808058</c:v>
                </c:pt>
                <c:pt idx="4">
                  <c:v>28.209389281262983</c:v>
                </c:pt>
                <c:pt idx="5">
                  <c:v>15.081013710012463</c:v>
                </c:pt>
                <c:pt idx="6">
                  <c:v>3.6560033236393856</c:v>
                </c:pt>
                <c:pt idx="7">
                  <c:v>0.24927295388450355</c:v>
                </c:pt>
              </c:numCache>
            </c:numRef>
          </c:val>
          <c:extLst>
            <c:ext xmlns:c16="http://schemas.microsoft.com/office/drawing/2014/chart" uri="{C3380CC4-5D6E-409C-BE32-E72D297353CC}">
              <c16:uniqueId val="{00000000-E753-4709-99C0-A0C036897118}"/>
            </c:ext>
          </c:extLst>
        </c:ser>
        <c:ser>
          <c:idx val="2"/>
          <c:order val="6"/>
          <c:tx>
            <c:strRef>
              <c:f>'37'!$B$89</c:f>
              <c:strCache>
                <c:ptCount val="1"/>
                <c:pt idx="0">
                  <c:v>2023</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'37'!$C$89:$J$89</c:f>
              <c:numCache>
                <c:formatCode>0.00</c:formatCode>
                <c:ptCount val="8"/>
                <c:pt idx="0">
                  <c:v>0.13054830287206268</c:v>
                </c:pt>
                <c:pt idx="1">
                  <c:v>4.5256744995648388</c:v>
                </c:pt>
                <c:pt idx="2">
                  <c:v>21.148825065274153</c:v>
                </c:pt>
                <c:pt idx="3">
                  <c:v>29.547432550043517</c:v>
                </c:pt>
                <c:pt idx="4">
                  <c:v>25.587467362924283</c:v>
                </c:pt>
                <c:pt idx="5">
                  <c:v>14.882506527415144</c:v>
                </c:pt>
                <c:pt idx="6">
                  <c:v>3.8729329852045256</c:v>
                </c:pt>
                <c:pt idx="7">
                  <c:v>0.30461270670147955</c:v>
                </c:pt>
              </c:numCache>
            </c:numRef>
          </c:val>
          <c:extLst>
            <c:ext xmlns:c16="http://schemas.microsoft.com/office/drawing/2014/chart" uri="{C3380CC4-5D6E-409C-BE32-E72D297353CC}">
              <c16:uniqueId val="{00000005-2C8C-4F47-9C94-F27E327B23FB}"/>
            </c:ext>
          </c:extLst>
        </c:ser>
        <c:dLbls>
          <c:showLegendKey val="0"/>
          <c:showVal val="0"/>
          <c:showCatName val="0"/>
          <c:showSerName val="0"/>
          <c:showPercent val="0"/>
          <c:showBubbleSize val="0"/>
        </c:dLbls>
        <c:gapWidth val="100"/>
        <c:overlap val="-24"/>
        <c:axId val="-1438779168"/>
        <c:axId val="-1438771552"/>
      </c:barChart>
      <c:catAx>
        <c:axId val="-1438779168"/>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ES"/>
                  <a:t>o/o</a:t>
                </a:r>
              </a:p>
            </c:rich>
          </c:tx>
          <c:layout>
            <c:manualLayout>
              <c:xMode val="edge"/>
              <c:yMode val="edge"/>
              <c:x val="4.8319327731092439E-2"/>
              <c:y val="7.80669144981441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8771552"/>
        <c:crosses val="autoZero"/>
        <c:auto val="1"/>
        <c:lblAlgn val="ctr"/>
        <c:lblOffset val="100"/>
        <c:tickLblSkip val="1"/>
        <c:tickMarkSkip val="1"/>
        <c:noMultiLvlLbl val="0"/>
      </c:catAx>
      <c:valAx>
        <c:axId val="-14387715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8779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sz="1000">
                <a:solidFill>
                  <a:schemeClr val="accent1">
                    <a:lumMod val="75000"/>
                  </a:schemeClr>
                </a:solidFill>
              </a:rPr>
              <a:t>PORCENTAJE  DE  ABORTOS  SEGÚN  EDAD  DE  LA  MADRE
2017 - 2022</a:t>
            </a:r>
          </a:p>
        </c:rich>
      </c:tx>
      <c:layout>
        <c:manualLayout>
          <c:xMode val="edge"/>
          <c:yMode val="edge"/>
          <c:x val="0.14705882352941191"/>
          <c:y val="3.71747211895910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0.1134453781512605"/>
          <c:y val="0.17843866171003744"/>
          <c:w val="0.78652962900185419"/>
          <c:h val="0.61844055207384796"/>
        </c:manualLayout>
      </c:layout>
      <c:barChart>
        <c:barDir val="col"/>
        <c:grouping val="clustered"/>
        <c:varyColors val="0"/>
        <c:ser>
          <c:idx val="2"/>
          <c:order val="0"/>
          <c:tx>
            <c:strRef>
              <c:f>'37'!$B$95</c:f>
              <c:strCache>
                <c:ptCount val="1"/>
                <c:pt idx="0">
                  <c:v>2017</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'37'!$C$94:$J$94</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extLst>
            <c:ext xmlns:c16="http://schemas.microsoft.com/office/drawing/2014/chart" uri="{C3380CC4-5D6E-409C-BE32-E72D297353CC}">
              <c16:uniqueId val="{00000000-F51A-4DFD-9373-98BF404FF6A5}"/>
            </c:ext>
          </c:extLst>
        </c:ser>
        <c:ser>
          <c:idx val="3"/>
          <c:order val="1"/>
          <c:tx>
            <c:strRef>
              <c:f>'37'!$B$96</c:f>
              <c:strCache>
                <c:ptCount val="1"/>
                <c:pt idx="0">
                  <c:v>2018</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'37'!$C$94:$J$94</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0</c:v>
                </c:pt>
                <c:pt idx="1">
                  <c:v>7.2289156626506017</c:v>
                </c:pt>
                <c:pt idx="2">
                  <c:v>20.080321285140563</c:v>
                </c:pt>
                <c:pt idx="3">
                  <c:v>28.112449799196789</c:v>
                </c:pt>
                <c:pt idx="4">
                  <c:v>19.678714859437751</c:v>
                </c:pt>
                <c:pt idx="5">
                  <c:v>17.269076305220885</c:v>
                </c:pt>
                <c:pt idx="6">
                  <c:v>7.2289156626506017</c:v>
                </c:pt>
                <c:pt idx="7">
                  <c:v>0.40160642570281119</c:v>
                </c:pt>
              </c:numCache>
            </c:numRef>
          </c:val>
          <c:extLst>
            <c:ext xmlns:c16="http://schemas.microsoft.com/office/drawing/2014/chart" uri="{C3380CC4-5D6E-409C-BE32-E72D297353CC}">
              <c16:uniqueId val="{00000001-F51A-4DFD-9373-98BF404FF6A5}"/>
            </c:ext>
          </c:extLst>
        </c:ser>
        <c:ser>
          <c:idx val="4"/>
          <c:order val="2"/>
          <c:tx>
            <c:strRef>
              <c:f>'37'!$B$97</c:f>
              <c:strCache>
                <c:ptCount val="1"/>
                <c:pt idx="0">
                  <c:v>2019</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'37'!$C$94:$J$94</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1.6260162601626018</c:v>
                </c:pt>
                <c:pt idx="1">
                  <c:v>5.6910569105691051</c:v>
                </c:pt>
                <c:pt idx="2">
                  <c:v>16.260162601626014</c:v>
                </c:pt>
                <c:pt idx="3">
                  <c:v>26.016260162601629</c:v>
                </c:pt>
                <c:pt idx="4">
                  <c:v>25.203252032520325</c:v>
                </c:pt>
                <c:pt idx="5">
                  <c:v>15.447154471544716</c:v>
                </c:pt>
                <c:pt idx="6">
                  <c:v>8.9430894308943092</c:v>
                </c:pt>
                <c:pt idx="7">
                  <c:v>0.81300813008130091</c:v>
                </c:pt>
              </c:numCache>
            </c:numRef>
          </c:val>
          <c:extLst>
            <c:ext xmlns:c16="http://schemas.microsoft.com/office/drawing/2014/chart" uri="{C3380CC4-5D6E-409C-BE32-E72D297353CC}">
              <c16:uniqueId val="{00000002-F51A-4DFD-9373-98BF404FF6A5}"/>
            </c:ext>
          </c:extLst>
        </c:ser>
        <c:ser>
          <c:idx val="5"/>
          <c:order val="3"/>
          <c:tx>
            <c:strRef>
              <c:f>'37'!$B$98</c:f>
              <c:strCache>
                <c:ptCount val="1"/>
                <c:pt idx="0">
                  <c:v>2020</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'37'!$C$94:$J$94</c:f>
              <c:strCache>
                <c:ptCount val="8"/>
                <c:pt idx="0">
                  <c:v>-15</c:v>
                </c:pt>
                <c:pt idx="1">
                  <c:v>15 - 19</c:v>
                </c:pt>
                <c:pt idx="2">
                  <c:v>20 - 24</c:v>
                </c:pt>
                <c:pt idx="3">
                  <c:v>25 - 29</c:v>
                </c:pt>
                <c:pt idx="4">
                  <c:v>30 - 34</c:v>
                </c:pt>
                <c:pt idx="5">
                  <c:v>35 - 39</c:v>
                </c:pt>
                <c:pt idx="6">
                  <c:v>40 - 44</c:v>
                </c:pt>
                <c:pt idx="7">
                  <c:v>45 Y +</c:v>
                </c:pt>
              </c:strCache>
            </c:strRef>
          </c:cat>
          <c:val>
            <c:numRef>
              <c:f>'37'!$C$98:$J$98</c:f>
              <c:numCache>
                <c:formatCode>0.00</c:formatCode>
                <c:ptCount val="8"/>
                <c:pt idx="0">
                  <c:v>0.69444444444444442</c:v>
                </c:pt>
                <c:pt idx="1">
                  <c:v>5.5555555555555554</c:v>
                </c:pt>
                <c:pt idx="2">
                  <c:v>17.361111111111111</c:v>
                </c:pt>
                <c:pt idx="3">
                  <c:v>18.75</c:v>
                </c:pt>
                <c:pt idx="4">
                  <c:v>25.694444444444443</c:v>
                </c:pt>
                <c:pt idx="5">
                  <c:v>22.222222222222221</c:v>
                </c:pt>
                <c:pt idx="6">
                  <c:v>6.9444444444444446</c:v>
                </c:pt>
                <c:pt idx="7">
                  <c:v>2.7777777777777777</c:v>
                </c:pt>
              </c:numCache>
            </c:numRef>
          </c:val>
          <c:extLst>
            <c:ext xmlns:c16="http://schemas.microsoft.com/office/drawing/2014/chart" uri="{C3380CC4-5D6E-409C-BE32-E72D297353CC}">
              <c16:uniqueId val="{00000003-F51A-4DFD-9373-98BF404FF6A5}"/>
            </c:ext>
          </c:extLst>
        </c:ser>
        <c:ser>
          <c:idx val="0"/>
          <c:order val="4"/>
          <c:tx>
            <c:strRef>
              <c:f>'37'!$B$99</c:f>
              <c:strCache>
                <c:ptCount val="1"/>
                <c:pt idx="0">
                  <c:v>2021</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val>
            <c:numRef>
              <c:f>'37'!$C$99:$J$99</c:f>
              <c:numCache>
                <c:formatCode>0.00</c:formatCode>
                <c:ptCount val="8"/>
                <c:pt idx="0">
                  <c:v>0</c:v>
                </c:pt>
                <c:pt idx="1">
                  <c:v>5.095541401273886</c:v>
                </c:pt>
                <c:pt idx="2">
                  <c:v>19.108280254777071</c:v>
                </c:pt>
                <c:pt idx="3">
                  <c:v>29.29936305732484</c:v>
                </c:pt>
                <c:pt idx="4">
                  <c:v>19.745222929936308</c:v>
                </c:pt>
                <c:pt idx="5">
                  <c:v>14.64968152866242</c:v>
                </c:pt>
                <c:pt idx="6">
                  <c:v>10.828025477707007</c:v>
                </c:pt>
                <c:pt idx="7">
                  <c:v>1.2738853503184715</c:v>
                </c:pt>
              </c:numCache>
            </c:numRef>
          </c:val>
          <c:extLst>
            <c:ext xmlns:c16="http://schemas.microsoft.com/office/drawing/2014/chart" uri="{C3380CC4-5D6E-409C-BE32-E72D297353CC}">
              <c16:uniqueId val="{00000004-F51A-4DFD-9373-98BF404FF6A5}"/>
            </c:ext>
          </c:extLst>
        </c:ser>
        <c:ser>
          <c:idx val="6"/>
          <c:order val="5"/>
          <c:tx>
            <c:strRef>
              <c:f>'37'!$B$100</c:f>
              <c:strCache>
                <c:ptCount val="1"/>
                <c:pt idx="0">
                  <c:v>2022</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val>
            <c:numRef>
              <c:f>'37'!$C$100:$J$100</c:f>
              <c:numCache>
                <c:formatCode>0.00</c:formatCode>
                <c:ptCount val="8"/>
                <c:pt idx="0">
                  <c:v>0</c:v>
                </c:pt>
                <c:pt idx="1">
                  <c:v>3.4246575342465753</c:v>
                </c:pt>
                <c:pt idx="2">
                  <c:v>10.95890410958904</c:v>
                </c:pt>
                <c:pt idx="3">
                  <c:v>26.027397260273972</c:v>
                </c:pt>
                <c:pt idx="4">
                  <c:v>30.136986301369863</c:v>
                </c:pt>
                <c:pt idx="5">
                  <c:v>20.547945205479451</c:v>
                </c:pt>
                <c:pt idx="6">
                  <c:v>7.5342465753424657</c:v>
                </c:pt>
                <c:pt idx="7">
                  <c:v>1.3698630136986301</c:v>
                </c:pt>
              </c:numCache>
            </c:numRef>
          </c:val>
          <c:extLst>
            <c:ext xmlns:c16="http://schemas.microsoft.com/office/drawing/2014/chart" uri="{C3380CC4-5D6E-409C-BE32-E72D297353CC}">
              <c16:uniqueId val="{00000000-25AA-4AEF-8142-3468AC43BA50}"/>
            </c:ext>
          </c:extLst>
        </c:ser>
        <c:ser>
          <c:idx val="1"/>
          <c:order val="6"/>
          <c:tx>
            <c:strRef>
              <c:f>'37'!$B$101</c:f>
              <c:strCache>
                <c:ptCount val="1"/>
                <c:pt idx="0">
                  <c:v>2023</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val>
            <c:numRef>
              <c:f>'37'!$C$101:$J$101</c:f>
              <c:numCache>
                <c:formatCode>0.00</c:formatCode>
                <c:ptCount val="8"/>
                <c:pt idx="0">
                  <c:v>0</c:v>
                </c:pt>
                <c:pt idx="1">
                  <c:v>2.4390243902439024</c:v>
                </c:pt>
                <c:pt idx="2">
                  <c:v>16.260162601626014</c:v>
                </c:pt>
                <c:pt idx="3">
                  <c:v>25.203252032520325</c:v>
                </c:pt>
                <c:pt idx="4">
                  <c:v>28.455284552845526</c:v>
                </c:pt>
                <c:pt idx="5">
                  <c:v>17.073170731707318</c:v>
                </c:pt>
                <c:pt idx="6">
                  <c:v>10.569105691056912</c:v>
                </c:pt>
                <c:pt idx="7">
                  <c:v>0</c:v>
                </c:pt>
              </c:numCache>
            </c:numRef>
          </c:val>
          <c:extLst>
            <c:ext xmlns:c16="http://schemas.microsoft.com/office/drawing/2014/chart" uri="{C3380CC4-5D6E-409C-BE32-E72D297353CC}">
              <c16:uniqueId val="{00000005-F51A-4DFD-9373-98BF404FF6A5}"/>
            </c:ext>
          </c:extLst>
        </c:ser>
        <c:dLbls>
          <c:showLegendKey val="0"/>
          <c:showVal val="0"/>
          <c:showCatName val="0"/>
          <c:showSerName val="0"/>
          <c:showPercent val="0"/>
          <c:showBubbleSize val="0"/>
        </c:dLbls>
        <c:gapWidth val="100"/>
        <c:overlap val="-24"/>
        <c:axId val="-1438772096"/>
        <c:axId val="-1438775904"/>
      </c:barChart>
      <c:catAx>
        <c:axId val="-1438772096"/>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ES"/>
                  <a:t>o/o</a:t>
                </a:r>
              </a:p>
            </c:rich>
          </c:tx>
          <c:layout>
            <c:manualLayout>
              <c:xMode val="edge"/>
              <c:yMode val="edge"/>
              <c:x val="5.2521008403361352E-2"/>
              <c:y val="4.460966542750929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8775904"/>
        <c:crosses val="autoZero"/>
        <c:auto val="1"/>
        <c:lblAlgn val="ctr"/>
        <c:lblOffset val="100"/>
        <c:tickLblSkip val="1"/>
        <c:tickMarkSkip val="1"/>
        <c:noMultiLvlLbl val="0"/>
      </c:catAx>
      <c:valAx>
        <c:axId val="-14387759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8772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sz="1200">
                <a:solidFill>
                  <a:schemeClr val="accent1">
                    <a:lumMod val="75000"/>
                  </a:schemeClr>
                </a:solidFill>
              </a:rPr>
              <a:t>PORCENTAJE  DE CESAREAS DEL  TOTAL  DE  PARTOS 
SERVICIO  DE  SALUD  ACONCAGUA  2018 - 2023  </a:t>
            </a:r>
          </a:p>
        </c:rich>
      </c:tx>
      <c:layout>
        <c:manualLayout>
          <c:xMode val="edge"/>
          <c:yMode val="edge"/>
          <c:x val="0.19874498951230984"/>
          <c:y val="3.654485049833887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7.7405936811443005E-2"/>
          <c:y val="0.1893690779580402"/>
          <c:w val="0.91422687531350244"/>
          <c:h val="0.64451931796245254"/>
        </c:manualLayout>
      </c:layout>
      <c:lineChart>
        <c:grouping val="standard"/>
        <c:varyColors val="0"/>
        <c:ser>
          <c:idx val="0"/>
          <c:order val="0"/>
          <c:tx>
            <c:v>Total</c:v>
          </c:tx>
          <c:spPr>
            <a:ln w="34925" cap="rnd">
              <a:solidFill>
                <a:schemeClr val="accent1"/>
              </a:solidFill>
              <a:round/>
            </a:ln>
            <a:effectLst>
              <a:outerShdw blurRad="40000" dist="23000" dir="5400000" rotWithShape="0">
                <a:srgbClr val="000000">
                  <a:alpha val="35000"/>
                </a:srgbClr>
              </a:outerShdw>
            </a:effectLst>
          </c:spPr>
          <c:marker>
            <c:symbol val="none"/>
          </c:marker>
          <c:cat>
            <c:multiLvlStrRef>
              <c:f>'38'!$O$20:$S$20</c:f>
            </c:multiLvlStrRef>
          </c:cat>
          <c:val>
            <c:numRef>
              <c:f>('38'!$B$14,'38'!$D$14,'38'!$F$14,'38'!$H$14,'38'!$J$14)</c:f>
              <c:numCache>
                <c:formatCode>0.0</c:formatCode>
                <c:ptCount val="5"/>
                <c:pt idx="0">
                  <c:v>54.364943512495721</c:v>
                </c:pt>
                <c:pt idx="1">
                  <c:v>58.6</c:v>
                </c:pt>
                <c:pt idx="2">
                  <c:v>63.812528165840462</c:v>
                </c:pt>
                <c:pt idx="3">
                  <c:v>60.573327793934361</c:v>
                </c:pt>
                <c:pt idx="4">
                  <c:v>62.228024369016531</c:v>
                </c:pt>
              </c:numCache>
            </c:numRef>
          </c:val>
          <c:smooth val="0"/>
          <c:extLst>
            <c:ext xmlns:c16="http://schemas.microsoft.com/office/drawing/2014/chart" uri="{C3380CC4-5D6E-409C-BE32-E72D297353CC}">
              <c16:uniqueId val="{00000000-4698-4EEE-BCE5-F395ECFDCEAF}"/>
            </c:ext>
          </c:extLst>
        </c:ser>
        <c:ser>
          <c:idx val="1"/>
          <c:order val="1"/>
          <c:tx>
            <c:v>Beneficiarios</c:v>
          </c:tx>
          <c:spPr>
            <a:ln w="34925" cap="rnd">
              <a:solidFill>
                <a:schemeClr val="accent2"/>
              </a:solidFill>
              <a:round/>
            </a:ln>
            <a:effectLst>
              <a:outerShdw blurRad="40000" dist="23000" dir="5400000" rotWithShape="0">
                <a:srgbClr val="000000">
                  <a:alpha val="35000"/>
                </a:srgbClr>
              </a:outerShdw>
            </a:effectLst>
          </c:spPr>
          <c:marker>
            <c:symbol val="none"/>
          </c:marker>
          <c:cat>
            <c:multiLvlStrRef>
              <c:f>'38'!$O$20:$S$20</c:f>
            </c:multiLvlStrRef>
          </c:cat>
          <c:val>
            <c:numRef>
              <c:f>('38'!$C$14,'38'!$E$14,'38'!$G$14,'38'!$I$14,'38'!$K$14)</c:f>
              <c:numCache>
                <c:formatCode>0.0</c:formatCode>
                <c:ptCount val="5"/>
                <c:pt idx="0">
                  <c:v>38.295577130528585</c:v>
                </c:pt>
                <c:pt idx="1">
                  <c:v>46.1</c:v>
                </c:pt>
                <c:pt idx="2">
                  <c:v>52.351580570547419</c:v>
                </c:pt>
                <c:pt idx="3">
                  <c:v>51.115360101975782</c:v>
                </c:pt>
                <c:pt idx="4">
                  <c:v>52.433484750162229</c:v>
                </c:pt>
              </c:numCache>
            </c:numRef>
          </c:val>
          <c:smooth val="0"/>
          <c:extLst>
            <c:ext xmlns:c16="http://schemas.microsoft.com/office/drawing/2014/chart" uri="{C3380CC4-5D6E-409C-BE32-E72D297353CC}">
              <c16:uniqueId val="{00000001-4698-4EEE-BCE5-F395ECFDCEAF}"/>
            </c:ext>
          </c:extLst>
        </c:ser>
        <c:dLbls>
          <c:showLegendKey val="0"/>
          <c:showVal val="0"/>
          <c:showCatName val="0"/>
          <c:showSerName val="0"/>
          <c:showPercent val="0"/>
          <c:showBubbleSize val="0"/>
        </c:dLbls>
        <c:smooth val="0"/>
        <c:axId val="-1438773728"/>
        <c:axId val="-1438771008"/>
      </c:lineChart>
      <c:catAx>
        <c:axId val="-1438773728"/>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ES"/>
                  <a:t>PORCENTAJE</a:t>
                </a:r>
              </a:p>
            </c:rich>
          </c:tx>
          <c:layout>
            <c:manualLayout>
              <c:xMode val="edge"/>
              <c:yMode val="edge"/>
              <c:x val="1.8828451882845303E-2"/>
              <c:y val="8.970099667774086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8771008"/>
        <c:crosses val="autoZero"/>
        <c:auto val="1"/>
        <c:lblAlgn val="ctr"/>
        <c:lblOffset val="100"/>
        <c:tickLblSkip val="1"/>
        <c:tickMarkSkip val="1"/>
        <c:noMultiLvlLbl val="0"/>
      </c:catAx>
      <c:valAx>
        <c:axId val="-1438771008"/>
        <c:scaling>
          <c:orientation val="minMax"/>
          <c:max val="70"/>
          <c:min val="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8773728"/>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Perfil  de  Esterilización  Femenina y Masculina
Servicio de  Salud  Aconcagua  2008 -  2013</a:t>
            </a:r>
          </a:p>
        </c:rich>
      </c:tx>
      <c:layout>
        <c:manualLayout>
          <c:xMode val="edge"/>
          <c:yMode val="edge"/>
          <c:x val="0.26098549265895732"/>
          <c:y val="3.4700315457415656E-2"/>
        </c:manualLayout>
      </c:layout>
      <c:overlay val="0"/>
      <c:spPr>
        <a:noFill/>
        <a:ln w="25400">
          <a:noFill/>
        </a:ln>
      </c:sp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tx>
            <c:v>Femenina</c:v>
          </c:tx>
          <c:spPr>
            <a:ln w="25400">
              <a:solidFill>
                <a:srgbClr val="FF0000"/>
              </a:solidFill>
              <a:prstDash val="solid"/>
            </a:ln>
          </c:spPr>
          <c:marker>
            <c:symbol val="square"/>
            <c:size val="8"/>
            <c:spPr>
              <a:noFill/>
              <a:ln w="9525">
                <a:noFill/>
              </a:ln>
            </c:spPr>
          </c:marker>
          <c:cat>
            <c:numRef>
              <c:f>'40'!$T$8:$Y$8</c:f>
              <c:numCache>
                <c:formatCode>General</c:formatCode>
                <c:ptCount val="6"/>
                <c:pt idx="0">
                  <c:v>2018</c:v>
                </c:pt>
                <c:pt idx="1">
                  <c:v>2019</c:v>
                </c:pt>
                <c:pt idx="2">
                  <c:v>2020</c:v>
                </c:pt>
                <c:pt idx="3">
                  <c:v>2021</c:v>
                </c:pt>
                <c:pt idx="4">
                  <c:v>2022</c:v>
                </c:pt>
                <c:pt idx="5">
                  <c:v>2023</c:v>
                </c:pt>
              </c:numCache>
            </c:numRef>
          </c:cat>
          <c:val>
            <c:numRef>
              <c:f>'40'!$T$12:$Y$12</c:f>
              <c:numCache>
                <c:formatCode>General</c:formatCode>
                <c:ptCount val="6"/>
                <c:pt idx="0">
                  <c:v>453</c:v>
                </c:pt>
                <c:pt idx="1">
                  <c:v>440</c:v>
                </c:pt>
                <c:pt idx="2">
                  <c:v>330</c:v>
                </c:pt>
                <c:pt idx="3">
                  <c:v>376</c:v>
                </c:pt>
                <c:pt idx="4">
                  <c:v>427</c:v>
                </c:pt>
                <c:pt idx="5" formatCode="#,##0">
                  <c:v>0</c:v>
                </c:pt>
              </c:numCache>
            </c:numRef>
          </c:val>
          <c:smooth val="0"/>
          <c:extLst>
            <c:ext xmlns:c16="http://schemas.microsoft.com/office/drawing/2014/chart" uri="{C3380CC4-5D6E-409C-BE32-E72D297353CC}">
              <c16:uniqueId val="{00000000-9F5A-4A4A-88D5-E85B6D9A85FD}"/>
            </c:ext>
          </c:extLst>
        </c:ser>
        <c:dLbls>
          <c:showLegendKey val="0"/>
          <c:showVal val="0"/>
          <c:showCatName val="0"/>
          <c:showSerName val="0"/>
          <c:showPercent val="0"/>
          <c:showBubbleSize val="0"/>
        </c:dLbls>
        <c:marker val="1"/>
        <c:smooth val="0"/>
        <c:axId val="-1438769376"/>
        <c:axId val="-1436866880"/>
      </c:lineChart>
      <c:lineChart>
        <c:grouping val="standard"/>
        <c:varyColors val="0"/>
        <c:ser>
          <c:idx val="0"/>
          <c:order val="1"/>
          <c:tx>
            <c:v>Masculina</c:v>
          </c:tx>
          <c:spPr>
            <a:ln w="25400">
              <a:solidFill>
                <a:srgbClr val="000080"/>
              </a:solidFill>
              <a:prstDash val="solid"/>
            </a:ln>
          </c:spPr>
          <c:marker>
            <c:symbol val="none"/>
          </c:marker>
          <c:cat>
            <c:strRef>
              <c:f>'40'!$T$13:$Y$13</c:f>
              <c:strCache>
                <c:ptCount val="6"/>
                <c:pt idx="0">
                  <c:v>11</c:v>
                </c:pt>
                <c:pt idx="1">
                  <c:v>11</c:v>
                </c:pt>
                <c:pt idx="2">
                  <c:v>5</c:v>
                </c:pt>
                <c:pt idx="3">
                  <c:v>6</c:v>
                </c:pt>
                <c:pt idx="4">
                  <c:v>10</c:v>
                </c:pt>
                <c:pt idx="5">
                  <c:v>S/I</c:v>
                </c:pt>
              </c:strCache>
            </c:strRef>
          </c:cat>
          <c:val>
            <c:numRef>
              <c:f>'40'!$T$13:$Y$13</c:f>
              <c:numCache>
                <c:formatCode>General</c:formatCode>
                <c:ptCount val="6"/>
                <c:pt idx="0">
                  <c:v>11</c:v>
                </c:pt>
                <c:pt idx="1">
                  <c:v>11</c:v>
                </c:pt>
                <c:pt idx="2">
                  <c:v>5</c:v>
                </c:pt>
                <c:pt idx="3">
                  <c:v>6</c:v>
                </c:pt>
                <c:pt idx="4">
                  <c:v>10</c:v>
                </c:pt>
                <c:pt idx="5" formatCode="#,##0">
                  <c:v>0</c:v>
                </c:pt>
              </c:numCache>
            </c:numRef>
          </c:val>
          <c:smooth val="0"/>
          <c:extLst>
            <c:ext xmlns:c16="http://schemas.microsoft.com/office/drawing/2014/chart" uri="{C3380CC4-5D6E-409C-BE32-E72D297353CC}">
              <c16:uniqueId val="{00000001-9F5A-4A4A-88D5-E85B6D9A85FD}"/>
            </c:ext>
          </c:extLst>
        </c:ser>
        <c:dLbls>
          <c:showLegendKey val="0"/>
          <c:showVal val="0"/>
          <c:showCatName val="0"/>
          <c:showSerName val="0"/>
          <c:showPercent val="0"/>
          <c:showBubbleSize val="0"/>
        </c:dLbls>
        <c:marker val="1"/>
        <c:smooth val="0"/>
        <c:axId val="-1436866336"/>
        <c:axId val="-1436871776"/>
      </c:lineChart>
      <c:catAx>
        <c:axId val="-143876937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Femenina</a:t>
                </a:r>
              </a:p>
            </c:rich>
          </c:tx>
          <c:layout>
            <c:manualLayout>
              <c:xMode val="edge"/>
              <c:yMode val="edge"/>
              <c:x val="7.9893475366178534E-3"/>
              <c:y val="0.135646687697168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1436866880"/>
        <c:crosses val="autoZero"/>
        <c:auto val="0"/>
        <c:lblAlgn val="ctr"/>
        <c:lblOffset val="100"/>
        <c:tickLblSkip val="1"/>
        <c:tickMarkSkip val="1"/>
        <c:noMultiLvlLbl val="0"/>
      </c:catAx>
      <c:valAx>
        <c:axId val="-1436866880"/>
        <c:scaling>
          <c:orientation val="minMax"/>
          <c:max val="700"/>
          <c:min val="400"/>
        </c:scaling>
        <c:delete val="0"/>
        <c:axPos val="l"/>
        <c:minorGridlines>
          <c:spPr>
            <a:ln w="3175">
              <a:solidFill>
                <a:srgbClr val="000000"/>
              </a:solidFill>
              <a:prstDash val="solid"/>
            </a:ln>
          </c:spPr>
        </c:minorGridlines>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1438769376"/>
        <c:crosses val="autoZero"/>
        <c:crossBetween val="between"/>
        <c:majorUnit val="100"/>
        <c:minorUnit val="100"/>
      </c:valAx>
      <c:catAx>
        <c:axId val="-1436866336"/>
        <c:scaling>
          <c:orientation val="minMax"/>
        </c:scaling>
        <c:delete val="1"/>
        <c:axPos val="b"/>
        <c:title>
          <c:tx>
            <c:rich>
              <a:bodyPr/>
              <a:lstStyle/>
              <a:p>
                <a:pPr>
                  <a:defRPr sz="1000" b="1" i="0" u="none" strike="noStrike" baseline="0">
                    <a:solidFill>
                      <a:srgbClr val="000000"/>
                    </a:solidFill>
                    <a:latin typeface="Arial"/>
                    <a:ea typeface="Arial"/>
                    <a:cs typeface="Arial"/>
                  </a:defRPr>
                </a:pPr>
                <a:r>
                  <a:rPr lang="es-ES"/>
                  <a:t>Masculina</a:t>
                </a:r>
              </a:p>
            </c:rich>
          </c:tx>
          <c:layout>
            <c:manualLayout>
              <c:xMode val="edge"/>
              <c:yMode val="edge"/>
              <c:x val="0.90279683082224549"/>
              <c:y val="0.14511041009463724"/>
            </c:manualLayout>
          </c:layout>
          <c:overlay val="0"/>
          <c:spPr>
            <a:noFill/>
            <a:ln w="25400">
              <a:noFill/>
            </a:ln>
          </c:spPr>
        </c:title>
        <c:numFmt formatCode="General" sourceLinked="1"/>
        <c:majorTickMark val="out"/>
        <c:minorTickMark val="none"/>
        <c:tickLblPos val="nextTo"/>
        <c:crossAx val="-1436871776"/>
        <c:crosses val="autoZero"/>
        <c:auto val="0"/>
        <c:lblAlgn val="ctr"/>
        <c:lblOffset val="100"/>
        <c:noMultiLvlLbl val="0"/>
      </c:catAx>
      <c:valAx>
        <c:axId val="-1436871776"/>
        <c:scaling>
          <c:orientation val="minMax"/>
          <c:max val="10"/>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1436866336"/>
        <c:crosses val="max"/>
        <c:crossBetween val="between"/>
        <c:majorUnit val="2"/>
        <c:minorUnit val="2"/>
      </c:valAx>
      <c:spPr>
        <a:noFill/>
        <a:ln w="25400">
          <a:noFill/>
        </a:ln>
      </c:spPr>
    </c:plotArea>
    <c:legend>
      <c:legendPos val="r"/>
      <c:layout>
        <c:manualLayout>
          <c:xMode val="edge"/>
          <c:yMode val="edge"/>
          <c:x val="0.24633835550850094"/>
          <c:y val="0.88958990536277549"/>
          <c:w val="0.52063942739516744"/>
          <c:h val="0.1009463722397480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1990 - 2023</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chemeClr val="accent2">
                <a:lumMod val="60000"/>
                <a:lumOff val="40000"/>
              </a:schemeClr>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-9003</c:v>
                </c:pt>
                <c:pt idx="22">
                  <c:v>-9919</c:v>
                </c:pt>
                <c:pt idx="23">
                  <c:v>-10101</c:v>
                </c:pt>
                <c:pt idx="24">
                  <c:v>-8927</c:v>
                </c:pt>
                <c:pt idx="25">
                  <c:v>-8828</c:v>
                </c:pt>
                <c:pt idx="26">
                  <c:v>-10596</c:v>
                </c:pt>
                <c:pt idx="27">
                  <c:v>-11355</c:v>
                </c:pt>
                <c:pt idx="28">
                  <c:v>-10731</c:v>
                </c:pt>
                <c:pt idx="29">
                  <c:v>-10152</c:v>
                </c:pt>
                <c:pt idx="30">
                  <c:v>-9277</c:v>
                </c:pt>
                <c:pt idx="31">
                  <c:v>-8642</c:v>
                </c:pt>
                <c:pt idx="32">
                  <c:v>-8474</c:v>
                </c:pt>
                <c:pt idx="33">
                  <c:v>-7822</c:v>
                </c:pt>
                <c:pt idx="34">
                  <c:v>-6832</c:v>
                </c:pt>
                <c:pt idx="35">
                  <c:v>-5105</c:v>
                </c:pt>
                <c:pt idx="36">
                  <c:v>-3364</c:v>
                </c:pt>
                <c:pt idx="37">
                  <c:v>-3896</c:v>
                </c:pt>
              </c:numCache>
            </c:numRef>
          </c:val>
          <c:extLst>
            <c:ext xmlns:c16="http://schemas.microsoft.com/office/drawing/2014/chart" uri="{C3380CC4-5D6E-409C-BE32-E72D297353CC}">
              <c16:uniqueId val="{00000000-C76B-487C-A71E-041CCC4B4159}"/>
            </c:ext>
          </c:extLst>
        </c:ser>
        <c:ser>
          <c:idx val="1"/>
          <c:order val="1"/>
          <c:tx>
            <c:v>MUJERES</c:v>
          </c:tx>
          <c:spPr>
            <a:solidFill>
              <a:schemeClr val="tx2">
                <a:lumMod val="60000"/>
                <a:lumOff val="40000"/>
              </a:schemeClr>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8726</c:v>
                </c:pt>
                <c:pt idx="22">
                  <c:v>9618</c:v>
                </c:pt>
                <c:pt idx="23">
                  <c:v>10062</c:v>
                </c:pt>
                <c:pt idx="24">
                  <c:v>8730</c:v>
                </c:pt>
                <c:pt idx="25">
                  <c:v>8791</c:v>
                </c:pt>
                <c:pt idx="26">
                  <c:v>10591</c:v>
                </c:pt>
                <c:pt idx="27">
                  <c:v>11515</c:v>
                </c:pt>
                <c:pt idx="28">
                  <c:v>10687</c:v>
                </c:pt>
                <c:pt idx="29">
                  <c:v>10311</c:v>
                </c:pt>
                <c:pt idx="30">
                  <c:v>9753</c:v>
                </c:pt>
                <c:pt idx="31">
                  <c:v>8981</c:v>
                </c:pt>
                <c:pt idx="32">
                  <c:v>8909</c:v>
                </c:pt>
                <c:pt idx="33">
                  <c:v>8422</c:v>
                </c:pt>
                <c:pt idx="34">
                  <c:v>7123</c:v>
                </c:pt>
                <c:pt idx="35">
                  <c:v>5544</c:v>
                </c:pt>
                <c:pt idx="36">
                  <c:v>4081</c:v>
                </c:pt>
                <c:pt idx="37">
                  <c:v>5995</c:v>
                </c:pt>
              </c:numCache>
            </c:numRef>
          </c:val>
          <c:extLst>
            <c:ext xmlns:c16="http://schemas.microsoft.com/office/drawing/2014/chart" uri="{C3380CC4-5D6E-409C-BE32-E72D297353CC}">
              <c16:uniqueId val="{00000001-C76B-487C-A71E-041CCC4B4159}"/>
            </c:ext>
          </c:extLst>
        </c:ser>
        <c:dLbls>
          <c:showLegendKey val="0"/>
          <c:showVal val="0"/>
          <c:showCatName val="0"/>
          <c:showSerName val="0"/>
          <c:showPercent val="0"/>
          <c:showBubbleSize val="0"/>
        </c:dLbls>
        <c:gapWidth val="70"/>
        <c:overlap val="100"/>
        <c:axId val="-1444135888"/>
        <c:axId val="-1444134256"/>
      </c:barChart>
      <c:catAx>
        <c:axId val="-14441358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1444134256"/>
        <c:crosses val="autoZero"/>
        <c:auto val="1"/>
        <c:lblAlgn val="ctr"/>
        <c:lblOffset val="100"/>
        <c:tickLblSkip val="1"/>
        <c:tickMarkSkip val="1"/>
        <c:noMultiLvlLbl val="0"/>
      </c:catAx>
      <c:valAx>
        <c:axId val="-1444134256"/>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1444135888"/>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
              <a:t>Perfil  de  Esterilización  Femenina y Masculina
Servicio de  Salud  Aconcagua  2017 -  2022</a:t>
            </a:r>
          </a:p>
          <a:p>
            <a:pPr>
              <a:defRPr/>
            </a:pPr>
            <a:endParaRPr lang="es-ES"/>
          </a:p>
        </c:rich>
      </c:tx>
      <c:layout>
        <c:manualLayout>
          <c:xMode val="edge"/>
          <c:yMode val="edge"/>
          <c:x val="0.26098549265895732"/>
          <c:y val="3.470031545741565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spPr>
            <a:ln w="31750" cap="rnd">
              <a:solidFill>
                <a:schemeClr val="accent3"/>
              </a:solidFill>
              <a:round/>
            </a:ln>
            <a:effectLst>
              <a:outerShdw blurRad="40000" dist="23000" dir="5400000" rotWithShape="0">
                <a:srgbClr val="000000">
                  <a:alpha val="35000"/>
                </a:srgbClr>
              </a:outerShdw>
            </a:effectLst>
          </c:spPr>
          <c:marker>
            <c:symbol val="circle"/>
            <c:size val="6"/>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12700">
                <a:solidFill>
                  <a:schemeClr val="lt2"/>
                </a:solidFill>
                <a:round/>
              </a:ln>
              <a:effectLst>
                <a:outerShdw blurRad="40000" dist="23000" dir="5400000" rotWithShape="0">
                  <a:srgbClr val="000000">
                    <a:alpha val="35000"/>
                  </a:srgbClr>
                </a:outerShdw>
              </a:effectLst>
            </c:spPr>
          </c:marker>
          <c:cat>
            <c:numRef>
              <c:f>'40'!$T$8:$Y$8</c:f>
              <c:numCache>
                <c:formatCode>General</c:formatCode>
                <c:ptCount val="6"/>
                <c:pt idx="0">
                  <c:v>2018</c:v>
                </c:pt>
                <c:pt idx="1">
                  <c:v>2019</c:v>
                </c:pt>
                <c:pt idx="2">
                  <c:v>2020</c:v>
                </c:pt>
                <c:pt idx="3">
                  <c:v>2021</c:v>
                </c:pt>
                <c:pt idx="4">
                  <c:v>2022</c:v>
                </c:pt>
                <c:pt idx="5">
                  <c:v>2023</c:v>
                </c:pt>
              </c:numCache>
            </c:numRef>
          </c:cat>
          <c:val>
            <c:numRef>
              <c:f>'40'!$T$12:$X$12</c:f>
              <c:numCache>
                <c:formatCode>General</c:formatCode>
                <c:ptCount val="5"/>
                <c:pt idx="0">
                  <c:v>453</c:v>
                </c:pt>
                <c:pt idx="1">
                  <c:v>440</c:v>
                </c:pt>
                <c:pt idx="2">
                  <c:v>330</c:v>
                </c:pt>
                <c:pt idx="3">
                  <c:v>376</c:v>
                </c:pt>
                <c:pt idx="4">
                  <c:v>427</c:v>
                </c:pt>
              </c:numCache>
            </c:numRef>
          </c:val>
          <c:smooth val="0"/>
          <c:extLst>
            <c:ext xmlns:c16="http://schemas.microsoft.com/office/drawing/2014/chart" uri="{C3380CC4-5D6E-409C-BE32-E72D297353CC}">
              <c16:uniqueId val="{00000000-ECCF-443A-AE54-76411AEA6C4B}"/>
            </c:ext>
          </c:extLst>
        </c:ser>
        <c:dLbls>
          <c:showLegendKey val="0"/>
          <c:showVal val="0"/>
          <c:showCatName val="0"/>
          <c:showSerName val="0"/>
          <c:showPercent val="0"/>
          <c:showBubbleSize val="0"/>
        </c:dLbls>
        <c:marker val="1"/>
        <c:smooth val="0"/>
        <c:axId val="-1436867424"/>
        <c:axId val="-1436874496"/>
      </c:lineChart>
      <c:lineChart>
        <c:grouping val="standard"/>
        <c:varyColors val="0"/>
        <c:ser>
          <c:idx val="0"/>
          <c:order val="1"/>
          <c:spPr>
            <a:ln w="31750" cap="rnd">
              <a:solidFill>
                <a:schemeClr val="accent1"/>
              </a:solidFill>
              <a:round/>
            </a:ln>
            <a:effectLst>
              <a:outerShdw blurRad="40000" dist="23000" dir="5400000" rotWithShape="0">
                <a:srgbClr val="000000">
                  <a:alpha val="35000"/>
                </a:srgbClr>
              </a:outerShdw>
            </a:effectLst>
          </c:spPr>
          <c:marker>
            <c:symbol val="none"/>
          </c:marker>
          <c:cat>
            <c:numRef>
              <c:f>'40'!$T$13:$X$13</c:f>
              <c:numCache>
                <c:formatCode>General</c:formatCode>
                <c:ptCount val="5"/>
                <c:pt idx="0">
                  <c:v>11</c:v>
                </c:pt>
                <c:pt idx="1">
                  <c:v>11</c:v>
                </c:pt>
                <c:pt idx="2">
                  <c:v>5</c:v>
                </c:pt>
                <c:pt idx="3">
                  <c:v>6</c:v>
                </c:pt>
                <c:pt idx="4">
                  <c:v>10</c:v>
                </c:pt>
              </c:numCache>
            </c:numRef>
          </c:cat>
          <c:val>
            <c:numRef>
              <c:f>'40'!$T$13:$X$13</c:f>
              <c:numCache>
                <c:formatCode>General</c:formatCode>
                <c:ptCount val="5"/>
                <c:pt idx="0">
                  <c:v>11</c:v>
                </c:pt>
                <c:pt idx="1">
                  <c:v>11</c:v>
                </c:pt>
                <c:pt idx="2">
                  <c:v>5</c:v>
                </c:pt>
                <c:pt idx="3">
                  <c:v>6</c:v>
                </c:pt>
                <c:pt idx="4">
                  <c:v>10</c:v>
                </c:pt>
              </c:numCache>
            </c:numRef>
          </c:val>
          <c:smooth val="0"/>
          <c:extLst>
            <c:ext xmlns:c16="http://schemas.microsoft.com/office/drawing/2014/chart" uri="{C3380CC4-5D6E-409C-BE32-E72D297353CC}">
              <c16:uniqueId val="{00000001-ECCF-443A-AE54-76411AEA6C4B}"/>
            </c:ext>
          </c:extLst>
        </c:ser>
        <c:dLbls>
          <c:showLegendKey val="0"/>
          <c:showVal val="0"/>
          <c:showCatName val="0"/>
          <c:showSerName val="0"/>
          <c:showPercent val="0"/>
          <c:showBubbleSize val="0"/>
        </c:dLbls>
        <c:marker val="1"/>
        <c:smooth val="0"/>
        <c:axId val="-1436863616"/>
        <c:axId val="-1436865248"/>
      </c:lineChart>
      <c:catAx>
        <c:axId val="-14368674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Femenina</a:t>
                </a:r>
              </a:p>
            </c:rich>
          </c:tx>
          <c:layout>
            <c:manualLayout>
              <c:xMode val="edge"/>
              <c:yMode val="edge"/>
              <c:x val="7.9893475366178534E-3"/>
              <c:y val="0.135646687697168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6874496"/>
        <c:crosses val="autoZero"/>
        <c:auto val="0"/>
        <c:lblAlgn val="ctr"/>
        <c:lblOffset val="100"/>
        <c:tickLblSkip val="1"/>
        <c:tickMarkSkip val="1"/>
        <c:noMultiLvlLbl val="0"/>
      </c:catAx>
      <c:valAx>
        <c:axId val="-1436874496"/>
        <c:scaling>
          <c:orientation val="minMax"/>
          <c:max val="570"/>
          <c:min val="32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6867424"/>
        <c:crosses val="autoZero"/>
        <c:crossBetween val="between"/>
        <c:minorUnit val="50"/>
      </c:valAx>
      <c:catAx>
        <c:axId val="-1436863616"/>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Masculina</a:t>
                </a:r>
              </a:p>
            </c:rich>
          </c:tx>
          <c:layout>
            <c:manualLayout>
              <c:xMode val="edge"/>
              <c:yMode val="edge"/>
              <c:x val="0.90279683082224549"/>
              <c:y val="0.1451104100946372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crossAx val="-1436865248"/>
        <c:crosses val="autoZero"/>
        <c:auto val="0"/>
        <c:lblAlgn val="ctr"/>
        <c:lblOffset val="100"/>
        <c:noMultiLvlLbl val="0"/>
      </c:catAx>
      <c:valAx>
        <c:axId val="-1436865248"/>
        <c:scaling>
          <c:orientation val="minMax"/>
          <c:max val="12"/>
          <c:min val="0"/>
        </c:scaling>
        <c:delete val="0"/>
        <c:axPos val="r"/>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6863616"/>
        <c:crosses val="max"/>
        <c:crossBetween val="between"/>
        <c:majorUnit val="2"/>
        <c:min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000"/>
              <a:t>RESOLUTIVIDAD ATENCION  MEDICA  Y  ODONTOLOGICA</a:t>
            </a:r>
          </a:p>
          <a:p>
            <a:pPr>
              <a:defRPr/>
            </a:pPr>
            <a:r>
              <a:rPr lang="es-ES" sz="1000"/>
              <a:t>EN  ATENCION  PRIMARIA  2022</a:t>
            </a:r>
          </a:p>
        </c:rich>
      </c:tx>
      <c:overlay val="0"/>
    </c:title>
    <c:autoTitleDeleted val="0"/>
    <c:plotArea>
      <c:layout>
        <c:manualLayout>
          <c:layoutTarget val="inner"/>
          <c:xMode val="edge"/>
          <c:yMode val="edge"/>
          <c:x val="0.12533552055993"/>
          <c:y val="0.1630495226558219"/>
          <c:w val="0.84410892388451464"/>
          <c:h val="0.73730191952083213"/>
        </c:manualLayout>
      </c:layout>
      <c:lineChart>
        <c:grouping val="standard"/>
        <c:varyColors val="0"/>
        <c:ser>
          <c:idx val="0"/>
          <c:order val="0"/>
          <c:tx>
            <c:strRef>
              <c:f>'58'!$B$4</c:f>
              <c:strCache>
                <c:ptCount val="1"/>
                <c:pt idx="0">
                  <c:v>MEDICO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'58'!$D$6:$D$18</c:f>
              <c:numCache>
                <c:formatCode>0.00</c:formatCode>
                <c:ptCount val="13"/>
                <c:pt idx="0">
                  <c:v>91.044181073538482</c:v>
                </c:pt>
                <c:pt idx="1">
                  <c:v>83.070843261463352</c:v>
                </c:pt>
                <c:pt idx="2">
                  <c:v>92.507914175167087</c:v>
                </c:pt>
                <c:pt idx="3">
                  <c:v>89.611774744027301</c:v>
                </c:pt>
                <c:pt idx="4">
                  <c:v>89.606360286988561</c:v>
                </c:pt>
                <c:pt idx="5">
                  <c:v>85.452378016195993</c:v>
                </c:pt>
                <c:pt idx="6">
                  <c:v>87.338343468677806</c:v>
                </c:pt>
                <c:pt idx="7">
                  <c:v>90.23564803208825</c:v>
                </c:pt>
                <c:pt idx="8">
                  <c:v>92.146801927069049</c:v>
                </c:pt>
                <c:pt idx="9">
                  <c:v>91.446219954344031</c:v>
                </c:pt>
                <c:pt idx="10">
                  <c:v>96.619986168741363</c:v>
                </c:pt>
                <c:pt idx="11">
                  <c:v>82.784679089026909</c:v>
                </c:pt>
                <c:pt idx="12">
                  <c:v>93.749756458714884</c:v>
                </c:pt>
              </c:numCache>
            </c:numRef>
          </c:val>
          <c:smooth val="0"/>
          <c:extLst>
            <c:ext xmlns:c16="http://schemas.microsoft.com/office/drawing/2014/chart" uri="{C3380CC4-5D6E-409C-BE32-E72D297353CC}">
              <c16:uniqueId val="{00000000-267B-4BBE-BC0F-BEF66A2A137A}"/>
            </c:ext>
          </c:extLst>
        </c:ser>
        <c:ser>
          <c:idx val="1"/>
          <c:order val="1"/>
          <c:tx>
            <c:strRef>
              <c:f>'58'!$E$4</c:f>
              <c:strCache>
                <c:ptCount val="1"/>
                <c:pt idx="0">
                  <c:v>ODONTOLOGO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'58'!$G$6:$G$18</c:f>
              <c:numCache>
                <c:formatCode>0.00</c:formatCode>
                <c:ptCount val="13"/>
                <c:pt idx="0">
                  <c:v>84.528968062911247</c:v>
                </c:pt>
                <c:pt idx="1">
                  <c:v>84.951545072225258</c:v>
                </c:pt>
                <c:pt idx="2">
                  <c:v>87.973902309998238</c:v>
                </c:pt>
                <c:pt idx="3">
                  <c:v>95.94411897251014</c:v>
                </c:pt>
                <c:pt idx="4">
                  <c:v>85.351069203569637</c:v>
                </c:pt>
                <c:pt idx="5">
                  <c:v>88.559322033898297</c:v>
                </c:pt>
                <c:pt idx="6">
                  <c:v>76.584022038567497</c:v>
                </c:pt>
                <c:pt idx="7">
                  <c:v>85.507246376811594</c:v>
                </c:pt>
                <c:pt idx="8">
                  <c:v>52.081347314903084</c:v>
                </c:pt>
                <c:pt idx="9">
                  <c:v>71.067357512953365</c:v>
                </c:pt>
                <c:pt idx="10">
                  <c:v>86.176995664371333</c:v>
                </c:pt>
                <c:pt idx="11">
                  <c:v>76.224838587162935</c:v>
                </c:pt>
                <c:pt idx="12">
                  <c:v>87.352035025133773</c:v>
                </c:pt>
              </c:numCache>
            </c:numRef>
          </c:val>
          <c:smooth val="0"/>
          <c:extLst>
            <c:ext xmlns:c16="http://schemas.microsoft.com/office/drawing/2014/chart" uri="{C3380CC4-5D6E-409C-BE32-E72D297353CC}">
              <c16:uniqueId val="{00000001-267B-4BBE-BC0F-BEF66A2A137A}"/>
            </c:ext>
          </c:extLst>
        </c:ser>
        <c:dLbls>
          <c:showLegendKey val="0"/>
          <c:showVal val="0"/>
          <c:showCatName val="0"/>
          <c:showSerName val="0"/>
          <c:showPercent val="0"/>
          <c:showBubbleSize val="0"/>
        </c:dLbls>
        <c:smooth val="0"/>
        <c:axId val="-1436878304"/>
        <c:axId val="-1436876672"/>
      </c:lineChart>
      <c:catAx>
        <c:axId val="-1436878304"/>
        <c:scaling>
          <c:orientation val="minMax"/>
        </c:scaling>
        <c:delete val="0"/>
        <c:axPos val="b"/>
        <c:numFmt formatCode="General" sourceLinked="0"/>
        <c:majorTickMark val="out"/>
        <c:minorTickMark val="none"/>
        <c:tickLblPos val="nextTo"/>
        <c:txPr>
          <a:bodyPr/>
          <a:lstStyle/>
          <a:p>
            <a:pPr>
              <a:defRPr sz="600" baseline="0"/>
            </a:pPr>
            <a:endParaRPr lang="es-CL"/>
          </a:p>
        </c:txPr>
        <c:crossAx val="-1436876672"/>
        <c:crossesAt val="80"/>
        <c:auto val="1"/>
        <c:lblAlgn val="ctr"/>
        <c:lblOffset val="100"/>
        <c:noMultiLvlLbl val="0"/>
      </c:catAx>
      <c:valAx>
        <c:axId val="-1436876672"/>
        <c:scaling>
          <c:orientation val="minMax"/>
          <c:max val="100"/>
          <c:min val="70"/>
        </c:scaling>
        <c:delete val="0"/>
        <c:axPos val="l"/>
        <c:majorGridlines/>
        <c:numFmt formatCode="0.00" sourceLinked="1"/>
        <c:majorTickMark val="out"/>
        <c:minorTickMark val="none"/>
        <c:tickLblPos val="nextTo"/>
        <c:crossAx val="-1436878304"/>
        <c:crosses val="autoZero"/>
        <c:crossBetween val="between"/>
      </c:valAx>
    </c:plotArea>
    <c:legend>
      <c:legendPos val="b"/>
      <c:layout>
        <c:manualLayout>
          <c:xMode val="edge"/>
          <c:yMode val="edge"/>
          <c:x val="0.32482436570428697"/>
          <c:y val="0.9294808341265034"/>
          <c:w val="0.41146216097987748"/>
          <c:h val="4.8541143895474606E-2"/>
        </c:manualLayout>
      </c:layout>
      <c:overlay val="0"/>
      <c:txPr>
        <a:bodyPr/>
        <a:lstStyle/>
        <a:p>
          <a:pPr>
            <a:defRPr sz="600" baseline="0"/>
          </a:pPr>
          <a:endParaRPr lang="es-CL"/>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'61'!$C$32:$H$32</c:f>
              <c:numCache>
                <c:formatCode>#,##0</c:formatCode>
                <c:ptCount val="6"/>
                <c:pt idx="0">
                  <c:v>284102</c:v>
                </c:pt>
                <c:pt idx="1">
                  <c:v>288109</c:v>
                </c:pt>
                <c:pt idx="2">
                  <c:v>296988</c:v>
                </c:pt>
                <c:pt idx="3">
                  <c:v>203391</c:v>
                </c:pt>
                <c:pt idx="4">
                  <c:v>242405</c:v>
                </c:pt>
                <c:pt idx="5">
                  <c:v>291274</c:v>
                </c:pt>
              </c:numCache>
            </c:numRef>
          </c:val>
          <c:smooth val="0"/>
          <c:extLst>
            <c:ext xmlns:c16="http://schemas.microsoft.com/office/drawing/2014/chart" uri="{C3380CC4-5D6E-409C-BE32-E72D297353CC}">
              <c16:uniqueId val="{00000000-F0B5-419C-A4C4-5CD6B0C3A055}"/>
            </c:ext>
          </c:extLst>
        </c:ser>
        <c:dLbls>
          <c:showLegendKey val="0"/>
          <c:showVal val="0"/>
          <c:showCatName val="0"/>
          <c:showSerName val="0"/>
          <c:showPercent val="0"/>
          <c:showBubbleSize val="0"/>
        </c:dLbls>
        <c:smooth val="0"/>
        <c:axId val="-1436873408"/>
        <c:axId val="-1436877216"/>
      </c:lineChart>
      <c:catAx>
        <c:axId val="-1436873408"/>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1436877216"/>
        <c:crosses val="autoZero"/>
        <c:auto val="1"/>
        <c:lblAlgn val="ctr"/>
        <c:lblOffset val="100"/>
        <c:tickLblSkip val="1"/>
        <c:tickMarkSkip val="1"/>
        <c:noMultiLvlLbl val="0"/>
      </c:catAx>
      <c:valAx>
        <c:axId val="-1436877216"/>
        <c:scaling>
          <c:orientation val="minMax"/>
          <c:max val="300000"/>
          <c:min val="240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1436873408"/>
        <c:crosses val="autoZero"/>
        <c:crossBetween val="between"/>
        <c:majorUnit val="20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'61'!$N$21:$S$21</c:f>
              <c:numCache>
                <c:formatCode>0.00</c:formatCode>
                <c:ptCount val="6"/>
                <c:pt idx="0">
                  <c:v>1.0065686913636234</c:v>
                </c:pt>
                <c:pt idx="1">
                  <c:v>1.0111748705799772</c:v>
                </c:pt>
                <c:pt idx="2">
                  <c:v>1.0617445489548365</c:v>
                </c:pt>
                <c:pt idx="3">
                  <c:v>0.71776783382621767</c:v>
                </c:pt>
                <c:pt idx="4">
                  <c:v>0.84699539473224461</c:v>
                </c:pt>
                <c:pt idx="5">
                  <c:v>1.0093388638812941</c:v>
                </c:pt>
              </c:numCache>
            </c:numRef>
          </c:val>
          <c:smooth val="0"/>
          <c:extLst>
            <c:ext xmlns:c16="http://schemas.microsoft.com/office/drawing/2014/chart" uri="{C3380CC4-5D6E-409C-BE32-E72D297353CC}">
              <c16:uniqueId val="{00000000-29FF-4227-8D44-768823977CB1}"/>
            </c:ext>
          </c:extLst>
        </c:ser>
        <c:dLbls>
          <c:showLegendKey val="0"/>
          <c:showVal val="0"/>
          <c:showCatName val="0"/>
          <c:showSerName val="0"/>
          <c:showPercent val="0"/>
          <c:showBubbleSize val="0"/>
        </c:dLbls>
        <c:smooth val="0"/>
        <c:axId val="-1436876128"/>
        <c:axId val="-1436872320"/>
      </c:lineChart>
      <c:catAx>
        <c:axId val="-143687612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1436872320"/>
        <c:crosses val="autoZero"/>
        <c:auto val="1"/>
        <c:lblAlgn val="ctr"/>
        <c:lblOffset val="100"/>
        <c:tickLblSkip val="1"/>
        <c:tickMarkSkip val="1"/>
        <c:noMultiLvlLbl val="0"/>
      </c:catAx>
      <c:valAx>
        <c:axId val="-1436872320"/>
        <c:scaling>
          <c:orientation val="minMax"/>
          <c:min val="0.8500000000000006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143687612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'61'!$N$22:$S$22</c:f>
              <c:numCache>
                <c:formatCode>0.00</c:formatCode>
                <c:ptCount val="6"/>
                <c:pt idx="0">
                  <c:v>0.69529129892672914</c:v>
                </c:pt>
                <c:pt idx="1">
                  <c:v>0.69579904929662428</c:v>
                </c:pt>
                <c:pt idx="2">
                  <c:v>0.81120991965435096</c:v>
                </c:pt>
                <c:pt idx="3">
                  <c:v>0.534342737138913</c:v>
                </c:pt>
                <c:pt idx="4">
                  <c:v>0.54271136386894925</c:v>
                </c:pt>
                <c:pt idx="5">
                  <c:v>0.65301303169003821</c:v>
                </c:pt>
              </c:numCache>
            </c:numRef>
          </c:val>
          <c:smooth val="0"/>
          <c:extLst>
            <c:ext xmlns:c16="http://schemas.microsoft.com/office/drawing/2014/chart" uri="{C3380CC4-5D6E-409C-BE32-E72D297353CC}">
              <c16:uniqueId val="{00000000-4085-4BB3-9510-01BF023058D1}"/>
            </c:ext>
          </c:extLst>
        </c:ser>
        <c:dLbls>
          <c:showLegendKey val="0"/>
          <c:showVal val="0"/>
          <c:showCatName val="0"/>
          <c:showSerName val="0"/>
          <c:showPercent val="0"/>
          <c:showBubbleSize val="0"/>
        </c:dLbls>
        <c:smooth val="0"/>
        <c:axId val="-1436870688"/>
        <c:axId val="-1436870144"/>
      </c:lineChart>
      <c:catAx>
        <c:axId val="-1436870688"/>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1436870144"/>
        <c:crosses val="autoZero"/>
        <c:auto val="1"/>
        <c:lblAlgn val="ctr"/>
        <c:lblOffset val="100"/>
        <c:tickLblSkip val="1"/>
        <c:tickMarkSkip val="1"/>
        <c:noMultiLvlLbl val="0"/>
      </c:catAx>
      <c:valAx>
        <c:axId val="-1436870144"/>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143687068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'61'!$N$24:$S$24</c:f>
              <c:numCache>
                <c:formatCode>0.00</c:formatCode>
                <c:ptCount val="6"/>
                <c:pt idx="0">
                  <c:v>1.0129496402877698</c:v>
                </c:pt>
                <c:pt idx="1">
                  <c:v>1.0042171850289932</c:v>
                </c:pt>
                <c:pt idx="2">
                  <c:v>1.1247780627342672</c:v>
                </c:pt>
                <c:pt idx="3">
                  <c:v>0.96638085549580977</c:v>
                </c:pt>
                <c:pt idx="4">
                  <c:v>1.1008495609011073</c:v>
                </c:pt>
                <c:pt idx="5">
                  <c:v>1.0715160652030529</c:v>
                </c:pt>
              </c:numCache>
            </c:numRef>
          </c:val>
          <c:smooth val="0"/>
          <c:extLst>
            <c:ext xmlns:c16="http://schemas.microsoft.com/office/drawing/2014/chart" uri="{C3380CC4-5D6E-409C-BE32-E72D297353CC}">
              <c16:uniqueId val="{00000000-5611-4D4B-AE8F-373D0D9BDF1D}"/>
            </c:ext>
          </c:extLst>
        </c:ser>
        <c:dLbls>
          <c:showLegendKey val="0"/>
          <c:showVal val="0"/>
          <c:showCatName val="0"/>
          <c:showSerName val="0"/>
          <c:showPercent val="0"/>
          <c:showBubbleSize val="0"/>
        </c:dLbls>
        <c:smooth val="0"/>
        <c:axId val="-1434471872"/>
        <c:axId val="-1434474592"/>
      </c:lineChart>
      <c:catAx>
        <c:axId val="-1434471872"/>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4474592"/>
        <c:crosses val="autoZero"/>
        <c:auto val="1"/>
        <c:lblAlgn val="ctr"/>
        <c:lblOffset val="100"/>
        <c:tickLblSkip val="1"/>
        <c:tickMarkSkip val="1"/>
        <c:noMultiLvlLbl val="0"/>
      </c:catAx>
      <c:valAx>
        <c:axId val="-1434474592"/>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447187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'61'!$N$25:$S$25</c:f>
              <c:numCache>
                <c:formatCode>0.00</c:formatCode>
                <c:ptCount val="6"/>
                <c:pt idx="0">
                  <c:v>1.4773873873873873</c:v>
                </c:pt>
                <c:pt idx="1">
                  <c:v>1.6947700631199278</c:v>
                </c:pt>
                <c:pt idx="2">
                  <c:v>0.99987583038430494</c:v>
                </c:pt>
                <c:pt idx="3">
                  <c:v>0.73753185293046963</c:v>
                </c:pt>
                <c:pt idx="4">
                  <c:v>0.81444894072839802</c:v>
                </c:pt>
                <c:pt idx="5">
                  <c:v>1.0968006082938526</c:v>
                </c:pt>
              </c:numCache>
            </c:numRef>
          </c:val>
          <c:smooth val="0"/>
          <c:extLst>
            <c:ext xmlns:c16="http://schemas.microsoft.com/office/drawing/2014/chart" uri="{C3380CC4-5D6E-409C-BE32-E72D297353CC}">
              <c16:uniqueId val="{00000000-6129-40E4-BD91-F1241F6CE602}"/>
            </c:ext>
          </c:extLst>
        </c:ser>
        <c:dLbls>
          <c:showLegendKey val="0"/>
          <c:showVal val="0"/>
          <c:showCatName val="0"/>
          <c:showSerName val="0"/>
          <c:showPercent val="0"/>
          <c:showBubbleSize val="0"/>
        </c:dLbls>
        <c:smooth val="0"/>
        <c:axId val="-1434465344"/>
        <c:axId val="-1434475680"/>
      </c:lineChart>
      <c:catAx>
        <c:axId val="-1434465344"/>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4475680"/>
        <c:crosses val="autoZero"/>
        <c:auto val="1"/>
        <c:lblAlgn val="ctr"/>
        <c:lblOffset val="100"/>
        <c:tickLblSkip val="1"/>
        <c:tickMarkSkip val="1"/>
        <c:noMultiLvlLbl val="0"/>
      </c:catAx>
      <c:valAx>
        <c:axId val="-1434475680"/>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446534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'61'!$N$26:$S$26</c:f>
              <c:numCache>
                <c:formatCode>0.00</c:formatCode>
                <c:ptCount val="6"/>
                <c:pt idx="0">
                  <c:v>1.3874794456189805</c:v>
                </c:pt>
                <c:pt idx="1">
                  <c:v>1.24</c:v>
                </c:pt>
                <c:pt idx="2">
                  <c:v>1.3334241598546777</c:v>
                </c:pt>
                <c:pt idx="3">
                  <c:v>1.1740211311373523</c:v>
                </c:pt>
                <c:pt idx="4">
                  <c:v>1.0122918664458198</c:v>
                </c:pt>
                <c:pt idx="5">
                  <c:v>1.3265026151076051</c:v>
                </c:pt>
              </c:numCache>
            </c:numRef>
          </c:val>
          <c:smooth val="0"/>
          <c:extLst>
            <c:ext xmlns:c16="http://schemas.microsoft.com/office/drawing/2014/chart" uri="{C3380CC4-5D6E-409C-BE32-E72D297353CC}">
              <c16:uniqueId val="{00000000-D40E-4241-9C77-7972EAF10CDF}"/>
            </c:ext>
          </c:extLst>
        </c:ser>
        <c:dLbls>
          <c:showLegendKey val="0"/>
          <c:showVal val="0"/>
          <c:showCatName val="0"/>
          <c:showSerName val="0"/>
          <c:showPercent val="0"/>
          <c:showBubbleSize val="0"/>
        </c:dLbls>
        <c:smooth val="0"/>
        <c:axId val="-1434466976"/>
        <c:axId val="-1434471328"/>
      </c:lineChart>
      <c:catAx>
        <c:axId val="-14344669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1434471328"/>
        <c:crosses val="autoZero"/>
        <c:auto val="1"/>
        <c:lblAlgn val="ctr"/>
        <c:lblOffset val="100"/>
        <c:tickLblSkip val="1"/>
        <c:tickMarkSkip val="1"/>
        <c:noMultiLvlLbl val="0"/>
      </c:catAx>
      <c:valAx>
        <c:axId val="-1434471328"/>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143446697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'61'!$N$28:$S$28</c:f>
              <c:numCache>
                <c:formatCode>0.00</c:formatCode>
                <c:ptCount val="6"/>
                <c:pt idx="0">
                  <c:v>0.90704563170834085</c:v>
                </c:pt>
                <c:pt idx="1">
                  <c:v>0.86420558309418205</c:v>
                </c:pt>
                <c:pt idx="2">
                  <c:v>0.94967926912236367</c:v>
                </c:pt>
                <c:pt idx="3">
                  <c:v>0.49604762018827703</c:v>
                </c:pt>
                <c:pt idx="4">
                  <c:v>0.66895612528864945</c:v>
                </c:pt>
                <c:pt idx="5">
                  <c:v>0.83770376451272432</c:v>
                </c:pt>
              </c:numCache>
            </c:numRef>
          </c:val>
          <c:smooth val="0"/>
          <c:extLst>
            <c:ext xmlns:c16="http://schemas.microsoft.com/office/drawing/2014/chart" uri="{C3380CC4-5D6E-409C-BE32-E72D297353CC}">
              <c16:uniqueId val="{00000000-0837-4078-89C7-1A8C3D6E1BEE}"/>
            </c:ext>
          </c:extLst>
        </c:ser>
        <c:dLbls>
          <c:showLegendKey val="0"/>
          <c:showVal val="0"/>
          <c:showCatName val="0"/>
          <c:showSerName val="0"/>
          <c:showPercent val="0"/>
          <c:showBubbleSize val="0"/>
        </c:dLbls>
        <c:smooth val="0"/>
        <c:axId val="-1434469696"/>
        <c:axId val="-1434473504"/>
      </c:lineChart>
      <c:catAx>
        <c:axId val="-143446969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4473504"/>
        <c:crosses val="autoZero"/>
        <c:auto val="1"/>
        <c:lblAlgn val="ctr"/>
        <c:lblOffset val="100"/>
        <c:tickLblSkip val="1"/>
        <c:tickMarkSkip val="1"/>
        <c:noMultiLvlLbl val="0"/>
      </c:catAx>
      <c:valAx>
        <c:axId val="-1434473504"/>
        <c:scaling>
          <c:orientation val="minMax"/>
          <c:min val="0.70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446969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'61'!$N$30:$S$30</c:f>
              <c:numCache>
                <c:formatCode>0.00</c:formatCode>
                <c:ptCount val="6"/>
                <c:pt idx="0">
                  <c:v>1.4480377110282834</c:v>
                </c:pt>
                <c:pt idx="1">
                  <c:v>1.4778688969749634</c:v>
                </c:pt>
                <c:pt idx="2">
                  <c:v>1.6091236906874249</c:v>
                </c:pt>
                <c:pt idx="3">
                  <c:v>1.0260697081326156</c:v>
                </c:pt>
                <c:pt idx="4">
                  <c:v>1.1369878433138225</c:v>
                </c:pt>
                <c:pt idx="5">
                  <c:v>1.4703840555368939</c:v>
                </c:pt>
              </c:numCache>
            </c:numRef>
          </c:val>
          <c:smooth val="0"/>
          <c:extLst>
            <c:ext xmlns:c16="http://schemas.microsoft.com/office/drawing/2014/chart" uri="{C3380CC4-5D6E-409C-BE32-E72D297353CC}">
              <c16:uniqueId val="{00000000-820E-4A7A-844A-5B9ABF179861}"/>
            </c:ext>
          </c:extLst>
        </c:ser>
        <c:dLbls>
          <c:showLegendKey val="0"/>
          <c:showVal val="0"/>
          <c:showCatName val="0"/>
          <c:showSerName val="0"/>
          <c:showPercent val="0"/>
          <c:showBubbleSize val="0"/>
        </c:dLbls>
        <c:smooth val="0"/>
        <c:axId val="-1434469152"/>
        <c:axId val="-1434464800"/>
      </c:lineChart>
      <c:catAx>
        <c:axId val="-14344691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1434464800"/>
        <c:crosses val="autoZero"/>
        <c:auto val="1"/>
        <c:lblAlgn val="ctr"/>
        <c:lblOffset val="100"/>
        <c:tickLblSkip val="1"/>
        <c:tickMarkSkip val="1"/>
        <c:noMultiLvlLbl val="0"/>
      </c:catAx>
      <c:valAx>
        <c:axId val="-1434464800"/>
        <c:scaling>
          <c:orientation val="minMax"/>
          <c:min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143446915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s-ES"/>
              <a:t>PERFIL  CRECIMIENTO VEGETATIVO 
SERVICIO DE SALUD ACONCAGUA</a:t>
            </a:r>
          </a:p>
        </c:rich>
      </c:tx>
      <c:layout>
        <c:manualLayout>
          <c:xMode val="edge"/>
          <c:yMode val="edge"/>
          <c:x val="0.31300160513643682"/>
          <c:y val="3.3519553072625698E-2"/>
        </c:manualLayout>
      </c:layout>
      <c:overlay val="0"/>
      <c:spPr>
        <a:noFill/>
        <a:ln>
          <a:noFill/>
        </a:ln>
        <a:effectLst/>
      </c:spPr>
      <c:txPr>
        <a:bodyPr rot="0" spcFirstLastPara="1" vertOverflow="ellipsis" vert="horz" wrap="square" anchor="ctr" anchorCtr="1"/>
        <a:lstStyle/>
        <a:p>
          <a:pPr>
            <a:defRPr sz="144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CL"/>
        </a:p>
      </c:txPr>
    </c:title>
    <c:autoTitleDeleted val="0"/>
    <c:plotArea>
      <c:layout>
        <c:manualLayout>
          <c:layoutTarget val="inner"/>
          <c:xMode val="edge"/>
          <c:yMode val="edge"/>
          <c:x val="0.10754414125201199"/>
          <c:y val="0.22625729183574239"/>
          <c:w val="0.8667736757624398"/>
          <c:h val="0.63407907711993672"/>
        </c:manualLayout>
      </c:layout>
      <c:lineChart>
        <c:grouping val="standard"/>
        <c:varyColors val="0"/>
        <c:ser>
          <c:idx val="0"/>
          <c:order val="0"/>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'11'!$B$7:$K$7</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'11'!$B$21:$K$21</c:f>
              <c:numCache>
                <c:formatCode>0.00</c:formatCode>
                <c:ptCount val="10"/>
                <c:pt idx="0">
                  <c:v>0.77697098979347823</c:v>
                </c:pt>
                <c:pt idx="1">
                  <c:v>0.84360780309060046</c:v>
                </c:pt>
                <c:pt idx="2">
                  <c:v>0.6306664339118776</c:v>
                </c:pt>
                <c:pt idx="3">
                  <c:v>0.47494430232003321</c:v>
                </c:pt>
                <c:pt idx="4">
                  <c:v>0.54409644489846187</c:v>
                </c:pt>
                <c:pt idx="5">
                  <c:v>0.49836084328088742</c:v>
                </c:pt>
                <c:pt idx="6">
                  <c:v>0.22973821841717071</c:v>
                </c:pt>
                <c:pt idx="7">
                  <c:v>8.45580270725452E-2</c:v>
                </c:pt>
                <c:pt idx="8">
                  <c:v>7.3116893467646646E-2</c:v>
                </c:pt>
                <c:pt idx="9">
                  <c:v>0.11930015161777194</c:v>
                </c:pt>
              </c:numCache>
            </c:numRef>
          </c:val>
          <c:smooth val="0"/>
          <c:extLst>
            <c:ext xmlns:c16="http://schemas.microsoft.com/office/drawing/2014/chart" uri="{C3380CC4-5D6E-409C-BE32-E72D297353CC}">
              <c16:uniqueId val="{00000000-1BDD-4758-BACA-18006DD137B2}"/>
            </c:ext>
          </c:extLst>
        </c:ser>
        <c:dLbls>
          <c:dLblPos val="ctr"/>
          <c:showLegendKey val="0"/>
          <c:showVal val="1"/>
          <c:showCatName val="0"/>
          <c:showSerName val="0"/>
          <c:showPercent val="0"/>
          <c:showBubbleSize val="0"/>
        </c:dLbls>
        <c:marker val="1"/>
        <c:smooth val="0"/>
        <c:axId val="-1444133168"/>
        <c:axId val="-1444132624"/>
      </c:lineChart>
      <c:catAx>
        <c:axId val="-144413316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L"/>
          </a:p>
        </c:txPr>
        <c:crossAx val="-1444132624"/>
        <c:crosses val="autoZero"/>
        <c:auto val="0"/>
        <c:lblAlgn val="ctr"/>
        <c:lblOffset val="100"/>
        <c:tickLblSkip val="1"/>
        <c:tickMarkSkip val="1"/>
        <c:noMultiLvlLbl val="0"/>
      </c:catAx>
      <c:valAx>
        <c:axId val="-1444132624"/>
        <c:scaling>
          <c:orientation val="minMax"/>
          <c:max val="1"/>
          <c:min val="0"/>
        </c:scaling>
        <c:delete val="1"/>
        <c:axPos val="l"/>
        <c:numFmt formatCode="0.00" sourceLinked="1"/>
        <c:majorTickMark val="none"/>
        <c:minorTickMark val="none"/>
        <c:tickLblPos val="nextTo"/>
        <c:crossAx val="-1444133168"/>
        <c:crosses val="autoZero"/>
        <c:crossBetween val="between"/>
        <c:majorUnit val="0.1"/>
      </c:valAx>
      <c:spPr>
        <a:no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L"/>
    </a:p>
  </c:txPr>
  <c:printSettings>
    <c:headerFooter alignWithMargins="0"/>
    <c:pageMargins b="1" l="0.75000000000001465" r="0.75000000000001465" t="1" header="0.5" footer="0.5"/>
    <c:pageSetup paperSize="5" orientation="landscape" horizontalDpi="300" vertic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'61'!$N$31:$S$31</c:f>
              <c:numCache>
                <c:formatCode>0.00</c:formatCode>
                <c:ptCount val="6"/>
                <c:pt idx="0">
                  <c:v>1.1750479085442411</c:v>
                </c:pt>
                <c:pt idx="1">
                  <c:v>1.1483014652736712</c:v>
                </c:pt>
                <c:pt idx="2">
                  <c:v>2.3553554878856082</c:v>
                </c:pt>
                <c:pt idx="3">
                  <c:v>0.783772224598277</c:v>
                </c:pt>
                <c:pt idx="4">
                  <c:v>1.3263800713465144</c:v>
                </c:pt>
                <c:pt idx="5">
                  <c:v>1.3389068680330816</c:v>
                </c:pt>
              </c:numCache>
            </c:numRef>
          </c:val>
          <c:smooth val="0"/>
          <c:extLst>
            <c:ext xmlns:c16="http://schemas.microsoft.com/office/drawing/2014/chart" uri="{C3380CC4-5D6E-409C-BE32-E72D297353CC}">
              <c16:uniqueId val="{00000000-AF89-45A5-B04E-107703CC2784}"/>
            </c:ext>
          </c:extLst>
        </c:ser>
        <c:dLbls>
          <c:showLegendKey val="0"/>
          <c:showVal val="0"/>
          <c:showCatName val="0"/>
          <c:showSerName val="0"/>
          <c:showPercent val="0"/>
          <c:showBubbleSize val="0"/>
        </c:dLbls>
        <c:smooth val="0"/>
        <c:axId val="-1434475136"/>
        <c:axId val="-1434468608"/>
      </c:lineChart>
      <c:catAx>
        <c:axId val="-143447513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4468608"/>
        <c:crosses val="autoZero"/>
        <c:auto val="1"/>
        <c:lblAlgn val="ctr"/>
        <c:lblOffset val="100"/>
        <c:tickLblSkip val="1"/>
        <c:tickMarkSkip val="1"/>
        <c:noMultiLvlLbl val="0"/>
      </c:catAx>
      <c:valAx>
        <c:axId val="-1434468608"/>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447513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'61'!$N$32:$S$32</c:f>
              <c:numCache>
                <c:formatCode>0.00</c:formatCode>
                <c:ptCount val="6"/>
                <c:pt idx="0">
                  <c:v>1.8107452782031648</c:v>
                </c:pt>
                <c:pt idx="1">
                  <c:v>1.7539923954372623</c:v>
                </c:pt>
                <c:pt idx="2">
                  <c:v>0.58630680085391884</c:v>
                </c:pt>
                <c:pt idx="3">
                  <c:v>1.5607231756845277</c:v>
                </c:pt>
                <c:pt idx="4">
                  <c:v>1.9771250324928515</c:v>
                </c:pt>
                <c:pt idx="5">
                  <c:v>2.9872175597159458</c:v>
                </c:pt>
              </c:numCache>
            </c:numRef>
          </c:val>
          <c:smooth val="0"/>
          <c:extLst>
            <c:ext xmlns:c16="http://schemas.microsoft.com/office/drawing/2014/chart" uri="{C3380CC4-5D6E-409C-BE32-E72D297353CC}">
              <c16:uniqueId val="{00000000-1FC9-4D3C-A667-187CB4010924}"/>
            </c:ext>
          </c:extLst>
        </c:ser>
        <c:dLbls>
          <c:showLegendKey val="0"/>
          <c:showVal val="0"/>
          <c:showCatName val="0"/>
          <c:showSerName val="0"/>
          <c:showPercent val="0"/>
          <c:showBubbleSize val="0"/>
        </c:dLbls>
        <c:smooth val="0"/>
        <c:axId val="-1434467520"/>
        <c:axId val="-1434463712"/>
      </c:lineChart>
      <c:catAx>
        <c:axId val="-14344675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1434463712"/>
        <c:crosses val="autoZero"/>
        <c:auto val="1"/>
        <c:lblAlgn val="ctr"/>
        <c:lblOffset val="100"/>
        <c:tickLblSkip val="1"/>
        <c:tickMarkSkip val="1"/>
        <c:noMultiLvlLbl val="0"/>
      </c:catAx>
      <c:valAx>
        <c:axId val="-1434463712"/>
        <c:scaling>
          <c:orientation val="minMax"/>
          <c:min val="1.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143446752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'61'!$N$33:$S$33</c:f>
              <c:numCache>
                <c:formatCode>0.00</c:formatCode>
                <c:ptCount val="6"/>
                <c:pt idx="0">
                  <c:v>1.0045500083486392</c:v>
                </c:pt>
                <c:pt idx="1">
                  <c:v>1.0088735210798201</c:v>
                </c:pt>
                <c:pt idx="2">
                  <c:v>1.5261931704719429</c:v>
                </c:pt>
                <c:pt idx="3">
                  <c:v>0.58534654957976862</c:v>
                </c:pt>
                <c:pt idx="4">
                  <c:v>0.72552316890881918</c:v>
                </c:pt>
                <c:pt idx="5">
                  <c:v>0.71698953462480519</c:v>
                </c:pt>
              </c:numCache>
            </c:numRef>
          </c:val>
          <c:smooth val="0"/>
          <c:extLst>
            <c:ext xmlns:c16="http://schemas.microsoft.com/office/drawing/2014/chart" uri="{C3380CC4-5D6E-409C-BE32-E72D297353CC}">
              <c16:uniqueId val="{00000000-571E-4F53-964C-556E22C372B2}"/>
            </c:ext>
          </c:extLst>
        </c:ser>
        <c:dLbls>
          <c:showLegendKey val="0"/>
          <c:showVal val="0"/>
          <c:showCatName val="0"/>
          <c:showSerName val="0"/>
          <c:showPercent val="0"/>
          <c:showBubbleSize val="0"/>
        </c:dLbls>
        <c:smooth val="0"/>
        <c:axId val="-1434460448"/>
        <c:axId val="-1433832576"/>
      </c:lineChart>
      <c:catAx>
        <c:axId val="-1434460448"/>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3832576"/>
        <c:crosses val="autoZero"/>
        <c:auto val="1"/>
        <c:lblAlgn val="ctr"/>
        <c:lblOffset val="100"/>
        <c:tickLblSkip val="1"/>
        <c:tickMarkSkip val="1"/>
        <c:noMultiLvlLbl val="0"/>
      </c:catAx>
      <c:valAx>
        <c:axId val="-1433832576"/>
        <c:scaling>
          <c:orientation val="minMax"/>
          <c:min val="0.95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446044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'61'!$N$34:$S$34</c:f>
              <c:numCache>
                <c:formatCode>0.00</c:formatCode>
                <c:ptCount val="6"/>
                <c:pt idx="0">
                  <c:v>1.5717669701680361</c:v>
                </c:pt>
                <c:pt idx="1">
                  <c:v>1.8797220374066681</c:v>
                </c:pt>
                <c:pt idx="2">
                  <c:v>0.15286419288458852</c:v>
                </c:pt>
                <c:pt idx="3">
                  <c:v>1.4072832445934398</c:v>
                </c:pt>
                <c:pt idx="4">
                  <c:v>1.4614583333333333</c:v>
                </c:pt>
                <c:pt idx="5">
                  <c:v>1.6576023769538819</c:v>
                </c:pt>
              </c:numCache>
            </c:numRef>
          </c:val>
          <c:smooth val="0"/>
          <c:extLst>
            <c:ext xmlns:c16="http://schemas.microsoft.com/office/drawing/2014/chart" uri="{C3380CC4-5D6E-409C-BE32-E72D297353CC}">
              <c16:uniqueId val="{00000000-CC43-4863-8006-7C0278787153}"/>
            </c:ext>
          </c:extLst>
        </c:ser>
        <c:dLbls>
          <c:showLegendKey val="0"/>
          <c:showVal val="0"/>
          <c:showCatName val="0"/>
          <c:showSerName val="0"/>
          <c:showPercent val="0"/>
          <c:showBubbleSize val="0"/>
        </c:dLbls>
        <c:smooth val="0"/>
        <c:axId val="-1433837472"/>
        <c:axId val="-1433845632"/>
      </c:lineChart>
      <c:catAx>
        <c:axId val="-14338374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1433845632"/>
        <c:crosses val="autoZero"/>
        <c:auto val="1"/>
        <c:lblAlgn val="ctr"/>
        <c:lblOffset val="100"/>
        <c:tickLblSkip val="1"/>
        <c:tickMarkSkip val="1"/>
        <c:noMultiLvlLbl val="0"/>
      </c:catAx>
      <c:valAx>
        <c:axId val="-1433845632"/>
        <c:scaling>
          <c:orientation val="minMax"/>
          <c:min val="1.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143383747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'61'!$C$32:$H$32</c:f>
              <c:numCache>
                <c:formatCode>#,##0</c:formatCode>
                <c:ptCount val="6"/>
                <c:pt idx="0">
                  <c:v>284102</c:v>
                </c:pt>
                <c:pt idx="1">
                  <c:v>288109</c:v>
                </c:pt>
                <c:pt idx="2">
                  <c:v>296988</c:v>
                </c:pt>
                <c:pt idx="3">
                  <c:v>203391</c:v>
                </c:pt>
                <c:pt idx="4">
                  <c:v>242405</c:v>
                </c:pt>
                <c:pt idx="5">
                  <c:v>291274</c:v>
                </c:pt>
              </c:numCache>
            </c:numRef>
          </c:val>
          <c:smooth val="0"/>
          <c:extLst>
            <c:ext xmlns:c16="http://schemas.microsoft.com/office/drawing/2014/chart" uri="{C3380CC4-5D6E-409C-BE32-E72D297353CC}">
              <c16:uniqueId val="{00000000-4EB8-4A9B-94D3-1C28FD391EC7}"/>
            </c:ext>
          </c:extLst>
        </c:ser>
        <c:dLbls>
          <c:showLegendKey val="0"/>
          <c:showVal val="0"/>
          <c:showCatName val="0"/>
          <c:showSerName val="0"/>
          <c:showPercent val="0"/>
          <c:showBubbleSize val="0"/>
        </c:dLbls>
        <c:smooth val="0"/>
        <c:axId val="-1433836384"/>
        <c:axId val="-1433839104"/>
      </c:lineChart>
      <c:catAx>
        <c:axId val="-1433836384"/>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1433839104"/>
        <c:crosses val="autoZero"/>
        <c:auto val="1"/>
        <c:lblAlgn val="ctr"/>
        <c:lblOffset val="100"/>
        <c:tickLblSkip val="1"/>
        <c:tickMarkSkip val="1"/>
        <c:noMultiLvlLbl val="0"/>
      </c:catAx>
      <c:valAx>
        <c:axId val="-1433839104"/>
        <c:scaling>
          <c:orientation val="minMax"/>
          <c:max val="300000"/>
          <c:min val="200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1433836384"/>
        <c:crosses val="autoZero"/>
        <c:crossBetween val="between"/>
        <c:majorUnit val="15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'61'!$N$21:$S$21</c:f>
              <c:numCache>
                <c:formatCode>0.00</c:formatCode>
                <c:ptCount val="6"/>
                <c:pt idx="0">
                  <c:v>1.0065686913636234</c:v>
                </c:pt>
                <c:pt idx="1">
                  <c:v>1.0111748705799772</c:v>
                </c:pt>
                <c:pt idx="2">
                  <c:v>1.0617445489548365</c:v>
                </c:pt>
                <c:pt idx="3">
                  <c:v>0.71776783382621767</c:v>
                </c:pt>
                <c:pt idx="4">
                  <c:v>0.84699539473224461</c:v>
                </c:pt>
                <c:pt idx="5">
                  <c:v>1.0093388638812941</c:v>
                </c:pt>
              </c:numCache>
            </c:numRef>
          </c:val>
          <c:smooth val="0"/>
          <c:extLst>
            <c:ext xmlns:c16="http://schemas.microsoft.com/office/drawing/2014/chart" uri="{C3380CC4-5D6E-409C-BE32-E72D297353CC}">
              <c16:uniqueId val="{00000000-9C7C-43A3-A9FF-7FCD75494F40}"/>
            </c:ext>
          </c:extLst>
        </c:ser>
        <c:dLbls>
          <c:showLegendKey val="0"/>
          <c:showVal val="0"/>
          <c:showCatName val="0"/>
          <c:showSerName val="0"/>
          <c:showPercent val="0"/>
          <c:showBubbleSize val="0"/>
        </c:dLbls>
        <c:smooth val="0"/>
        <c:axId val="-1433830944"/>
        <c:axId val="-1433838560"/>
      </c:lineChart>
      <c:catAx>
        <c:axId val="-14338309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1433838560"/>
        <c:crosses val="autoZero"/>
        <c:auto val="1"/>
        <c:lblAlgn val="ctr"/>
        <c:lblOffset val="100"/>
        <c:tickLblSkip val="1"/>
        <c:tickMarkSkip val="1"/>
        <c:noMultiLvlLbl val="0"/>
      </c:catAx>
      <c:valAx>
        <c:axId val="-1433838560"/>
        <c:scaling>
          <c:orientation val="minMax"/>
          <c:min val="0.70000000000000007"/>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143383094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'61'!$N$22:$S$22</c:f>
              <c:numCache>
                <c:formatCode>0.00</c:formatCode>
                <c:ptCount val="6"/>
                <c:pt idx="0">
                  <c:v>0.69529129892672914</c:v>
                </c:pt>
                <c:pt idx="1">
                  <c:v>0.69579904929662428</c:v>
                </c:pt>
                <c:pt idx="2">
                  <c:v>0.81120991965435096</c:v>
                </c:pt>
                <c:pt idx="3">
                  <c:v>0.534342737138913</c:v>
                </c:pt>
                <c:pt idx="4">
                  <c:v>0.54271136386894925</c:v>
                </c:pt>
                <c:pt idx="5">
                  <c:v>0.65301303169003821</c:v>
                </c:pt>
              </c:numCache>
            </c:numRef>
          </c:val>
          <c:smooth val="0"/>
          <c:extLst>
            <c:ext xmlns:c16="http://schemas.microsoft.com/office/drawing/2014/chart" uri="{C3380CC4-5D6E-409C-BE32-E72D297353CC}">
              <c16:uniqueId val="{00000000-6A57-40FC-8270-D75395E0CD33}"/>
            </c:ext>
          </c:extLst>
        </c:ser>
        <c:dLbls>
          <c:showLegendKey val="0"/>
          <c:showVal val="0"/>
          <c:showCatName val="0"/>
          <c:showSerName val="0"/>
          <c:showPercent val="0"/>
          <c:showBubbleSize val="0"/>
        </c:dLbls>
        <c:smooth val="0"/>
        <c:axId val="-1433842368"/>
        <c:axId val="-1433830400"/>
      </c:lineChart>
      <c:catAx>
        <c:axId val="-1433842368"/>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1433830400"/>
        <c:crosses val="autoZero"/>
        <c:auto val="1"/>
        <c:lblAlgn val="ctr"/>
        <c:lblOffset val="100"/>
        <c:tickLblSkip val="1"/>
        <c:tickMarkSkip val="1"/>
        <c:noMultiLvlLbl val="0"/>
      </c:catAx>
      <c:valAx>
        <c:axId val="-1433830400"/>
        <c:scaling>
          <c:orientation val="minMax"/>
          <c:min val="0.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143384236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'61'!$N$24:$S$24</c:f>
              <c:numCache>
                <c:formatCode>0.00</c:formatCode>
                <c:ptCount val="6"/>
                <c:pt idx="0">
                  <c:v>1.0129496402877698</c:v>
                </c:pt>
                <c:pt idx="1">
                  <c:v>1.0042171850289932</c:v>
                </c:pt>
                <c:pt idx="2">
                  <c:v>1.1247780627342672</c:v>
                </c:pt>
                <c:pt idx="3">
                  <c:v>0.96638085549580977</c:v>
                </c:pt>
                <c:pt idx="4">
                  <c:v>1.1008495609011073</c:v>
                </c:pt>
                <c:pt idx="5">
                  <c:v>1.0715160652030529</c:v>
                </c:pt>
              </c:numCache>
            </c:numRef>
          </c:val>
          <c:smooth val="0"/>
          <c:extLst>
            <c:ext xmlns:c16="http://schemas.microsoft.com/office/drawing/2014/chart" uri="{C3380CC4-5D6E-409C-BE32-E72D297353CC}">
              <c16:uniqueId val="{00000000-89A4-4A1A-968C-C1E0F91DFA90}"/>
            </c:ext>
          </c:extLst>
        </c:ser>
        <c:dLbls>
          <c:showLegendKey val="0"/>
          <c:showVal val="0"/>
          <c:showCatName val="0"/>
          <c:showSerName val="0"/>
          <c:showPercent val="0"/>
          <c:showBubbleSize val="0"/>
        </c:dLbls>
        <c:smooth val="0"/>
        <c:axId val="-1433834208"/>
        <c:axId val="-1433843456"/>
      </c:lineChart>
      <c:catAx>
        <c:axId val="-1433834208"/>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3843456"/>
        <c:crosses val="autoZero"/>
        <c:auto val="1"/>
        <c:lblAlgn val="ctr"/>
        <c:lblOffset val="100"/>
        <c:tickLblSkip val="1"/>
        <c:tickMarkSkip val="1"/>
        <c:noMultiLvlLbl val="0"/>
      </c:catAx>
      <c:valAx>
        <c:axId val="-1433843456"/>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383420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'61'!$N$25:$S$25</c:f>
              <c:numCache>
                <c:formatCode>0.00</c:formatCode>
                <c:ptCount val="6"/>
                <c:pt idx="0">
                  <c:v>1.4773873873873873</c:v>
                </c:pt>
                <c:pt idx="1">
                  <c:v>1.6947700631199278</c:v>
                </c:pt>
                <c:pt idx="2">
                  <c:v>0.99987583038430494</c:v>
                </c:pt>
                <c:pt idx="3">
                  <c:v>0.73753185293046963</c:v>
                </c:pt>
                <c:pt idx="4">
                  <c:v>0.81444894072839802</c:v>
                </c:pt>
                <c:pt idx="5">
                  <c:v>1.0968006082938526</c:v>
                </c:pt>
              </c:numCache>
            </c:numRef>
          </c:val>
          <c:smooth val="0"/>
          <c:extLst>
            <c:ext xmlns:c16="http://schemas.microsoft.com/office/drawing/2014/chart" uri="{C3380CC4-5D6E-409C-BE32-E72D297353CC}">
              <c16:uniqueId val="{00000000-0B9F-4AB9-9516-F8B91ABD839B}"/>
            </c:ext>
          </c:extLst>
        </c:ser>
        <c:dLbls>
          <c:showLegendKey val="0"/>
          <c:showVal val="0"/>
          <c:showCatName val="0"/>
          <c:showSerName val="0"/>
          <c:showPercent val="0"/>
          <c:showBubbleSize val="0"/>
        </c:dLbls>
        <c:smooth val="0"/>
        <c:axId val="-1433841280"/>
        <c:axId val="-1433840736"/>
      </c:lineChart>
      <c:catAx>
        <c:axId val="-1433841280"/>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3840736"/>
        <c:crosses val="autoZero"/>
        <c:auto val="1"/>
        <c:lblAlgn val="ctr"/>
        <c:lblOffset val="100"/>
        <c:tickLblSkip val="1"/>
        <c:tickMarkSkip val="1"/>
        <c:noMultiLvlLbl val="0"/>
      </c:catAx>
      <c:valAx>
        <c:axId val="-1433840736"/>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384128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'61'!$N$26:$S$26</c:f>
              <c:numCache>
                <c:formatCode>0.00</c:formatCode>
                <c:ptCount val="6"/>
                <c:pt idx="0">
                  <c:v>1.3874794456189805</c:v>
                </c:pt>
                <c:pt idx="1">
                  <c:v>1.24</c:v>
                </c:pt>
                <c:pt idx="2">
                  <c:v>1.3334241598546777</c:v>
                </c:pt>
                <c:pt idx="3">
                  <c:v>1.1740211311373523</c:v>
                </c:pt>
                <c:pt idx="4">
                  <c:v>1.0122918664458198</c:v>
                </c:pt>
                <c:pt idx="5">
                  <c:v>1.3265026151076051</c:v>
                </c:pt>
              </c:numCache>
            </c:numRef>
          </c:val>
          <c:smooth val="0"/>
          <c:extLst>
            <c:ext xmlns:c16="http://schemas.microsoft.com/office/drawing/2014/chart" uri="{C3380CC4-5D6E-409C-BE32-E72D297353CC}">
              <c16:uniqueId val="{00000000-A873-4272-9904-C92C76FF7380}"/>
            </c:ext>
          </c:extLst>
        </c:ser>
        <c:dLbls>
          <c:showLegendKey val="0"/>
          <c:showVal val="0"/>
          <c:showCatName val="0"/>
          <c:showSerName val="0"/>
          <c:showPercent val="0"/>
          <c:showBubbleSize val="0"/>
        </c:dLbls>
        <c:smooth val="0"/>
        <c:axId val="-1433835296"/>
        <c:axId val="-1433833664"/>
      </c:lineChart>
      <c:catAx>
        <c:axId val="-14338352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1433833664"/>
        <c:crosses val="autoZero"/>
        <c:auto val="1"/>
        <c:lblAlgn val="ctr"/>
        <c:lblOffset val="100"/>
        <c:tickLblSkip val="1"/>
        <c:tickMarkSkip val="1"/>
        <c:noMultiLvlLbl val="0"/>
      </c:catAx>
      <c:valAx>
        <c:axId val="-1433833664"/>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143383529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s-ES" sz="1000"/>
              <a:t>ÍNDICE DE VEJEZ SEGÚN COMUNAS  AÑO 2023
SERVICIO DE SALUD ACONCAGUA</a:t>
            </a:r>
          </a:p>
        </c:rich>
      </c:tx>
      <c:layout>
        <c:manualLayout>
          <c:xMode val="edge"/>
          <c:yMode val="edge"/>
          <c:x val="0.19203771659690091"/>
          <c:y val="4.0723981900452524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0.13446694885682642"/>
          <c:y val="0.23076923076923081"/>
          <c:w val="0.90398229835505051"/>
          <c:h val="0.6515837104072395"/>
        </c:manualLayout>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val>
            <c:numRef>
              <c:f>'12'!$M$7:$M$16</c:f>
            </c:numRef>
          </c:val>
          <c:extLst>
            <c:ext xmlns:c15="http://schemas.microsoft.com/office/drawing/2012/chart" uri="{02D57815-91ED-43cb-92C2-25804820EDAC}">
              <c15:filteredCategoryTitle>
                <c15:cat>
                  <c:multiLvlStrRef>
                    <c:extLst>
                      <c:ext uri="{02D57815-91ED-43cb-92C2-25804820EDAC}">
                        <c15:formulaRef>
                          <c15:sqref>'12'!$L$7:$L$16</c15:sqref>
                        </c15:formulaRef>
                      </c:ext>
                    </c:extLst>
                  </c:multiLvlStrRef>
                </c15:cat>
              </c15:filteredCategoryTitle>
            </c:ext>
            <c:ext xmlns:c16="http://schemas.microsoft.com/office/drawing/2014/chart" uri="{C3380CC4-5D6E-409C-BE32-E72D297353CC}">
              <c16:uniqueId val="{00000000-D47A-4F05-8406-FAE603DBB5A8}"/>
            </c:ext>
          </c:extLst>
        </c:ser>
        <c:dLbls>
          <c:showLegendKey val="0"/>
          <c:showVal val="0"/>
          <c:showCatName val="0"/>
          <c:showSerName val="0"/>
          <c:showPercent val="0"/>
          <c:showBubbleSize val="0"/>
        </c:dLbls>
        <c:gapWidth val="100"/>
        <c:overlap val="-24"/>
        <c:axId val="-1444131536"/>
        <c:axId val="-1444140784"/>
      </c:barChart>
      <c:catAx>
        <c:axId val="-144413153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4140784"/>
        <c:crosses val="autoZero"/>
        <c:auto val="0"/>
        <c:lblAlgn val="ctr"/>
        <c:lblOffset val="100"/>
        <c:tickLblSkip val="1"/>
        <c:tickMarkSkip val="1"/>
        <c:noMultiLvlLbl val="0"/>
      </c:catAx>
      <c:valAx>
        <c:axId val="-1444140784"/>
        <c:scaling>
          <c:orientation val="minMax"/>
          <c:max val="160"/>
          <c:min val="2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4131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'61'!$N$28:$S$28</c:f>
              <c:numCache>
                <c:formatCode>0.00</c:formatCode>
                <c:ptCount val="6"/>
                <c:pt idx="0">
                  <c:v>0.90704563170834085</c:v>
                </c:pt>
                <c:pt idx="1">
                  <c:v>0.86420558309418205</c:v>
                </c:pt>
                <c:pt idx="2">
                  <c:v>0.94967926912236367</c:v>
                </c:pt>
                <c:pt idx="3">
                  <c:v>0.49604762018827703</c:v>
                </c:pt>
                <c:pt idx="4">
                  <c:v>0.66895612528864945</c:v>
                </c:pt>
                <c:pt idx="5">
                  <c:v>0.83770376451272432</c:v>
                </c:pt>
              </c:numCache>
            </c:numRef>
          </c:val>
          <c:smooth val="0"/>
          <c:extLst>
            <c:ext xmlns:c16="http://schemas.microsoft.com/office/drawing/2014/chart" uri="{C3380CC4-5D6E-409C-BE32-E72D297353CC}">
              <c16:uniqueId val="{00000000-253F-4C01-9859-B44B32899C1C}"/>
            </c:ext>
          </c:extLst>
        </c:ser>
        <c:dLbls>
          <c:showLegendKey val="0"/>
          <c:showVal val="0"/>
          <c:showCatName val="0"/>
          <c:showSerName val="0"/>
          <c:showPercent val="0"/>
          <c:showBubbleSize val="0"/>
        </c:dLbls>
        <c:smooth val="0"/>
        <c:axId val="-1431969104"/>
        <c:axId val="-1431957136"/>
      </c:lineChart>
      <c:catAx>
        <c:axId val="-1431969104"/>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1957136"/>
        <c:crosses val="autoZero"/>
        <c:auto val="1"/>
        <c:lblAlgn val="ctr"/>
        <c:lblOffset val="100"/>
        <c:tickLblSkip val="1"/>
        <c:tickMarkSkip val="1"/>
        <c:noMultiLvlLbl val="0"/>
      </c:catAx>
      <c:valAx>
        <c:axId val="-1431957136"/>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196910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'61'!$N$30:$S$30</c:f>
              <c:numCache>
                <c:formatCode>0.00</c:formatCode>
                <c:ptCount val="6"/>
                <c:pt idx="0">
                  <c:v>1.4480377110282834</c:v>
                </c:pt>
                <c:pt idx="1">
                  <c:v>1.4778688969749634</c:v>
                </c:pt>
                <c:pt idx="2">
                  <c:v>1.6091236906874249</c:v>
                </c:pt>
                <c:pt idx="3">
                  <c:v>1.0260697081326156</c:v>
                </c:pt>
                <c:pt idx="4">
                  <c:v>1.1369878433138225</c:v>
                </c:pt>
                <c:pt idx="5">
                  <c:v>1.4703840555368939</c:v>
                </c:pt>
              </c:numCache>
            </c:numRef>
          </c:val>
          <c:smooth val="0"/>
          <c:extLst>
            <c:ext xmlns:c16="http://schemas.microsoft.com/office/drawing/2014/chart" uri="{C3380CC4-5D6E-409C-BE32-E72D297353CC}">
              <c16:uniqueId val="{00000000-223E-42CF-8801-D7BA32E29BF0}"/>
            </c:ext>
          </c:extLst>
        </c:ser>
        <c:dLbls>
          <c:showLegendKey val="0"/>
          <c:showVal val="0"/>
          <c:showCatName val="0"/>
          <c:showSerName val="0"/>
          <c:showPercent val="0"/>
          <c:showBubbleSize val="0"/>
        </c:dLbls>
        <c:smooth val="0"/>
        <c:axId val="-1431962576"/>
        <c:axId val="-1431954960"/>
      </c:lineChart>
      <c:catAx>
        <c:axId val="-14319625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1431954960"/>
        <c:crosses val="autoZero"/>
        <c:auto val="1"/>
        <c:lblAlgn val="ctr"/>
        <c:lblOffset val="100"/>
        <c:tickLblSkip val="1"/>
        <c:tickMarkSkip val="1"/>
        <c:noMultiLvlLbl val="0"/>
      </c:catAx>
      <c:valAx>
        <c:axId val="-1431954960"/>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143196257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'61'!$N$31:$S$31</c:f>
              <c:numCache>
                <c:formatCode>0.00</c:formatCode>
                <c:ptCount val="6"/>
                <c:pt idx="0">
                  <c:v>1.1750479085442411</c:v>
                </c:pt>
                <c:pt idx="1">
                  <c:v>1.1483014652736712</c:v>
                </c:pt>
                <c:pt idx="2">
                  <c:v>2.3553554878856082</c:v>
                </c:pt>
                <c:pt idx="3">
                  <c:v>0.783772224598277</c:v>
                </c:pt>
                <c:pt idx="4">
                  <c:v>1.3263800713465144</c:v>
                </c:pt>
                <c:pt idx="5">
                  <c:v>1.3389068680330816</c:v>
                </c:pt>
              </c:numCache>
            </c:numRef>
          </c:val>
          <c:smooth val="0"/>
          <c:extLst>
            <c:ext xmlns:c16="http://schemas.microsoft.com/office/drawing/2014/chart" uri="{C3380CC4-5D6E-409C-BE32-E72D297353CC}">
              <c16:uniqueId val="{00000000-E875-4FC3-9085-2C66583A50B8}"/>
            </c:ext>
          </c:extLst>
        </c:ser>
        <c:dLbls>
          <c:showLegendKey val="0"/>
          <c:showVal val="0"/>
          <c:showCatName val="0"/>
          <c:showSerName val="0"/>
          <c:showPercent val="0"/>
          <c:showBubbleSize val="0"/>
        </c:dLbls>
        <c:smooth val="0"/>
        <c:axId val="-1431965840"/>
        <c:axId val="-1431960944"/>
      </c:lineChart>
      <c:catAx>
        <c:axId val="-1431965840"/>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1960944"/>
        <c:crosses val="autoZero"/>
        <c:auto val="1"/>
        <c:lblAlgn val="ctr"/>
        <c:lblOffset val="100"/>
        <c:tickLblSkip val="1"/>
        <c:tickMarkSkip val="1"/>
        <c:noMultiLvlLbl val="0"/>
      </c:catAx>
      <c:valAx>
        <c:axId val="-1431960944"/>
        <c:scaling>
          <c:orientation val="minMax"/>
          <c:min val="0.600000000000000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196584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'61'!$N$32:$S$32</c:f>
              <c:numCache>
                <c:formatCode>0.00</c:formatCode>
                <c:ptCount val="6"/>
                <c:pt idx="0">
                  <c:v>1.8107452782031648</c:v>
                </c:pt>
                <c:pt idx="1">
                  <c:v>1.7539923954372623</c:v>
                </c:pt>
                <c:pt idx="2">
                  <c:v>0.58630680085391884</c:v>
                </c:pt>
                <c:pt idx="3">
                  <c:v>1.5607231756845277</c:v>
                </c:pt>
                <c:pt idx="4">
                  <c:v>1.9771250324928515</c:v>
                </c:pt>
                <c:pt idx="5">
                  <c:v>2.9872175597159458</c:v>
                </c:pt>
              </c:numCache>
            </c:numRef>
          </c:val>
          <c:smooth val="0"/>
          <c:extLst>
            <c:ext xmlns:c16="http://schemas.microsoft.com/office/drawing/2014/chart" uri="{C3380CC4-5D6E-409C-BE32-E72D297353CC}">
              <c16:uniqueId val="{00000000-62D2-487A-BC9C-35B701CF5C37}"/>
            </c:ext>
          </c:extLst>
        </c:ser>
        <c:dLbls>
          <c:showLegendKey val="0"/>
          <c:showVal val="0"/>
          <c:showCatName val="0"/>
          <c:showSerName val="0"/>
          <c:showPercent val="0"/>
          <c:showBubbleSize val="0"/>
        </c:dLbls>
        <c:smooth val="0"/>
        <c:axId val="-1431959856"/>
        <c:axId val="-1431959312"/>
      </c:lineChart>
      <c:catAx>
        <c:axId val="-14319598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1431959312"/>
        <c:crosses val="autoZero"/>
        <c:auto val="1"/>
        <c:lblAlgn val="ctr"/>
        <c:lblOffset val="100"/>
        <c:tickLblSkip val="1"/>
        <c:tickMarkSkip val="1"/>
        <c:noMultiLvlLbl val="0"/>
      </c:catAx>
      <c:valAx>
        <c:axId val="-1431959312"/>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143195985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'61'!$N$33:$S$33</c:f>
              <c:numCache>
                <c:formatCode>0.00</c:formatCode>
                <c:ptCount val="6"/>
                <c:pt idx="0">
                  <c:v>1.0045500083486392</c:v>
                </c:pt>
                <c:pt idx="1">
                  <c:v>1.0088735210798201</c:v>
                </c:pt>
                <c:pt idx="2">
                  <c:v>1.5261931704719429</c:v>
                </c:pt>
                <c:pt idx="3">
                  <c:v>0.58534654957976862</c:v>
                </c:pt>
                <c:pt idx="4">
                  <c:v>0.72552316890881918</c:v>
                </c:pt>
                <c:pt idx="5">
                  <c:v>0.71698953462480519</c:v>
                </c:pt>
              </c:numCache>
            </c:numRef>
          </c:val>
          <c:smooth val="0"/>
          <c:extLst>
            <c:ext xmlns:c16="http://schemas.microsoft.com/office/drawing/2014/chart" uri="{C3380CC4-5D6E-409C-BE32-E72D297353CC}">
              <c16:uniqueId val="{00000000-453E-4066-8A9C-D4A1AAE44E6A}"/>
            </c:ext>
          </c:extLst>
        </c:ser>
        <c:dLbls>
          <c:showLegendKey val="0"/>
          <c:showVal val="0"/>
          <c:showCatName val="0"/>
          <c:showSerName val="0"/>
          <c:showPercent val="0"/>
          <c:showBubbleSize val="0"/>
        </c:dLbls>
        <c:smooth val="0"/>
        <c:axId val="-1431963664"/>
        <c:axId val="-1431956592"/>
      </c:lineChart>
      <c:catAx>
        <c:axId val="-1431963664"/>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1956592"/>
        <c:crosses val="autoZero"/>
        <c:auto val="1"/>
        <c:lblAlgn val="ctr"/>
        <c:lblOffset val="100"/>
        <c:tickLblSkip val="1"/>
        <c:tickMarkSkip val="1"/>
        <c:noMultiLvlLbl val="0"/>
      </c:catAx>
      <c:valAx>
        <c:axId val="-1431956592"/>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143196366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2017</c:v>
                </c:pt>
                <c:pt idx="1">
                  <c:v>2018</c:v>
                </c:pt>
                <c:pt idx="2">
                  <c:v>2019</c:v>
                </c:pt>
                <c:pt idx="3">
                  <c:v>2020</c:v>
                </c:pt>
                <c:pt idx="4">
                  <c:v>2021</c:v>
                </c:pt>
                <c:pt idx="5">
                  <c:v>2022</c:v>
                </c:pt>
              </c:numCache>
            </c:numRef>
          </c:cat>
          <c:val>
            <c:numRef>
              <c:f>'61'!$N$34:$S$34</c:f>
              <c:numCache>
                <c:formatCode>0.00</c:formatCode>
                <c:ptCount val="6"/>
                <c:pt idx="0">
                  <c:v>1.5717669701680361</c:v>
                </c:pt>
                <c:pt idx="1">
                  <c:v>1.8797220374066681</c:v>
                </c:pt>
                <c:pt idx="2">
                  <c:v>0.15286419288458852</c:v>
                </c:pt>
                <c:pt idx="3">
                  <c:v>1.4072832445934398</c:v>
                </c:pt>
                <c:pt idx="4">
                  <c:v>1.4614583333333333</c:v>
                </c:pt>
                <c:pt idx="5">
                  <c:v>1.6576023769538819</c:v>
                </c:pt>
              </c:numCache>
            </c:numRef>
          </c:val>
          <c:smooth val="0"/>
          <c:extLst>
            <c:ext xmlns:c16="http://schemas.microsoft.com/office/drawing/2014/chart" uri="{C3380CC4-5D6E-409C-BE32-E72D297353CC}">
              <c16:uniqueId val="{00000000-C8E5-48FE-BC6D-7704F7077E40}"/>
            </c:ext>
          </c:extLst>
        </c:ser>
        <c:dLbls>
          <c:showLegendKey val="0"/>
          <c:showVal val="0"/>
          <c:showCatName val="0"/>
          <c:showSerName val="0"/>
          <c:showPercent val="0"/>
          <c:showBubbleSize val="0"/>
        </c:dLbls>
        <c:smooth val="0"/>
        <c:axId val="-1431967472"/>
        <c:axId val="-1431957680"/>
      </c:lineChart>
      <c:catAx>
        <c:axId val="-14319674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1431957680"/>
        <c:crosses val="autoZero"/>
        <c:auto val="1"/>
        <c:lblAlgn val="ctr"/>
        <c:lblOffset val="100"/>
        <c:tickLblSkip val="1"/>
        <c:tickMarkSkip val="1"/>
        <c:noMultiLvlLbl val="0"/>
      </c:catAx>
      <c:valAx>
        <c:axId val="-1431957680"/>
        <c:scaling>
          <c:orientation val="minMax"/>
          <c:min val="0.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143196747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s-ES" sz="1000"/>
              <a:t>DISTRIBUCION  LECHE  26 %  y  LECHE  CEREAL
</a:t>
            </a:r>
          </a:p>
        </c:rich>
      </c:tx>
      <c:layout>
        <c:manualLayout>
          <c:xMode val="edge"/>
          <c:yMode val="edge"/>
          <c:x val="0.22181837270341206"/>
          <c:y val="3.333333333333334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9.818190534615176E-2"/>
          <c:y val="0.24242495982765144"/>
          <c:w val="0.89454624870938249"/>
          <c:h val="0.57272896759282665"/>
        </c:manualLayout>
      </c:layout>
      <c:barChart>
        <c:barDir val="col"/>
        <c:grouping val="clustered"/>
        <c:varyColors val="0"/>
        <c:ser>
          <c:idx val="0"/>
          <c:order val="0"/>
          <c:tx>
            <c:v>leche 26%</c:v>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'62'!$C$6:$F$6</c:f>
              <c:numCache>
                <c:formatCode>General</c:formatCode>
                <c:ptCount val="4"/>
                <c:pt idx="0">
                  <c:v>2019</c:v>
                </c:pt>
                <c:pt idx="1">
                  <c:v>2020</c:v>
                </c:pt>
                <c:pt idx="2">
                  <c:v>2021</c:v>
                </c:pt>
                <c:pt idx="3">
                  <c:v>2022</c:v>
                </c:pt>
              </c:numCache>
            </c:numRef>
          </c:cat>
          <c:val>
            <c:numRef>
              <c:f>'62'!$C$26:$F$26</c:f>
              <c:numCache>
                <c:formatCode>#,##0</c:formatCode>
                <c:ptCount val="4"/>
                <c:pt idx="0">
                  <c:v>52521</c:v>
                </c:pt>
                <c:pt idx="1">
                  <c:v>45105</c:v>
                </c:pt>
                <c:pt idx="2">
                  <c:v>27817</c:v>
                </c:pt>
                <c:pt idx="3">
                  <c:v>15691</c:v>
                </c:pt>
              </c:numCache>
            </c:numRef>
          </c:val>
          <c:extLst>
            <c:ext xmlns:c16="http://schemas.microsoft.com/office/drawing/2014/chart" uri="{C3380CC4-5D6E-409C-BE32-E72D297353CC}">
              <c16:uniqueId val="{00000000-6220-4B92-BA34-E185B39A3174}"/>
            </c:ext>
          </c:extLst>
        </c:ser>
        <c:ser>
          <c:idx val="1"/>
          <c:order val="1"/>
          <c:tx>
            <c:v>leche  cereal</c:v>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val>
            <c:numRef>
              <c:f>'62'!$C$27:$F$27</c:f>
              <c:numCache>
                <c:formatCode>#,##0</c:formatCode>
                <c:ptCount val="4"/>
                <c:pt idx="0">
                  <c:v>112352</c:v>
                </c:pt>
                <c:pt idx="1">
                  <c:v>103060</c:v>
                </c:pt>
                <c:pt idx="2">
                  <c:v>71282</c:v>
                </c:pt>
                <c:pt idx="3">
                  <c:v>67898</c:v>
                </c:pt>
              </c:numCache>
            </c:numRef>
          </c:val>
          <c:extLst>
            <c:ext xmlns:c16="http://schemas.microsoft.com/office/drawing/2014/chart" uri="{C3380CC4-5D6E-409C-BE32-E72D297353CC}">
              <c16:uniqueId val="{00000001-6220-4B92-BA34-E185B39A3174}"/>
            </c:ext>
          </c:extLst>
        </c:ser>
        <c:dLbls>
          <c:showLegendKey val="0"/>
          <c:showVal val="0"/>
          <c:showCatName val="0"/>
          <c:showSerName val="0"/>
          <c:showPercent val="0"/>
          <c:showBubbleSize val="0"/>
        </c:dLbls>
        <c:gapWidth val="100"/>
        <c:overlap val="-24"/>
        <c:axId val="-1431956048"/>
        <c:axId val="-1431955504"/>
      </c:barChart>
      <c:catAx>
        <c:axId val="-14319560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Kilos</a:t>
                </a:r>
              </a:p>
            </c:rich>
          </c:tx>
          <c:layout>
            <c:manualLayout>
              <c:xMode val="edge"/>
              <c:yMode val="edge"/>
              <c:x val="9.0909090909091547E-3"/>
              <c:y val="0.136363954505686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1955504"/>
        <c:crosses val="autoZero"/>
        <c:auto val="1"/>
        <c:lblAlgn val="ctr"/>
        <c:lblOffset val="100"/>
        <c:tickLblSkip val="1"/>
        <c:tickMarkSkip val="1"/>
        <c:noMultiLvlLbl val="0"/>
      </c:catAx>
      <c:valAx>
        <c:axId val="-1431955504"/>
        <c:scaling>
          <c:orientation val="minMax"/>
          <c:max val="130000"/>
          <c:min val="1000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1956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EN  PSCV BAJO  CONTROL</a:t>
            </a:r>
          </a:p>
        </c:rich>
      </c:tx>
      <c:layout>
        <c:manualLayout>
          <c:xMode val="edge"/>
          <c:yMode val="edge"/>
          <c:x val="0.19942588487118723"/>
          <c:y val="1.8518518518518517E-2"/>
        </c:manualLayout>
      </c:layout>
      <c:overlay val="0"/>
      <c:spPr>
        <a:noFill/>
        <a:ln>
          <a:noFill/>
        </a:ln>
        <a:effectLst>
          <a:softEdge rad="12700"/>
        </a:effectLst>
      </c:spPr>
    </c:title>
    <c:autoTitleDeleted val="0"/>
    <c:plotArea>
      <c:layout>
        <c:manualLayout>
          <c:layoutTarget val="inner"/>
          <c:xMode val="edge"/>
          <c:yMode val="edge"/>
          <c:x val="6.49554023589375E-2"/>
          <c:y val="0.19965128654581357"/>
          <c:w val="0.90184957689417455"/>
          <c:h val="0.65118802857976088"/>
        </c:manualLayout>
      </c:layout>
      <c:lineChart>
        <c:grouping val="standard"/>
        <c:varyColors val="0"/>
        <c:ser>
          <c:idx val="0"/>
          <c:order val="0"/>
          <c:tx>
            <c:strRef>
              <c:f>'65'!$B$5:$N$5</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'65'!$B$5:$N$5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'65'!$B$19:$N$19</c:f>
              <c:numCache>
                <c:formatCode>0.00</c:formatCode>
                <c:ptCount val="13"/>
                <c:pt idx="0">
                  <c:v>14.45495705845329</c:v>
                </c:pt>
                <c:pt idx="1">
                  <c:v>15.38261608437047</c:v>
                </c:pt>
                <c:pt idx="2">
                  <c:v>15.7787359862018</c:v>
                </c:pt>
                <c:pt idx="3">
                  <c:v>16.276707428504771</c:v>
                </c:pt>
                <c:pt idx="4">
                  <c:v>16.442869337527934</c:v>
                </c:pt>
                <c:pt idx="5">
                  <c:v>16.737886682093727</c:v>
                </c:pt>
                <c:pt idx="6">
                  <c:v>16.8690587138863</c:v>
                </c:pt>
                <c:pt idx="7">
                  <c:v>16.83226826083969</c:v>
                </c:pt>
                <c:pt idx="8">
                  <c:v>16.442571982156537</c:v>
                </c:pt>
                <c:pt idx="9">
                  <c:v>16.289785401634653</c:v>
                </c:pt>
                <c:pt idx="10">
                  <c:v>14.761550251806439</c:v>
                </c:pt>
                <c:pt idx="11">
                  <c:v>15.691421393455048</c:v>
                </c:pt>
                <c:pt idx="12">
                  <c:v>17.68176206874147</c:v>
                </c:pt>
              </c:numCache>
            </c:numRef>
          </c:val>
          <c:smooth val="0"/>
          <c:extLst>
            <c:ext xmlns:c16="http://schemas.microsoft.com/office/drawing/2014/chart" uri="{C3380CC4-5D6E-409C-BE32-E72D297353CC}">
              <c16:uniqueId val="{00000001-C5E0-4651-BBAD-0789FD628622}"/>
            </c:ext>
          </c:extLst>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1431514544"/>
        <c:axId val="-1431515632"/>
      </c:lineChart>
      <c:catAx>
        <c:axId val="-1431514544"/>
        <c:scaling>
          <c:orientation val="minMax"/>
        </c:scaling>
        <c:delete val="0"/>
        <c:axPos val="b"/>
        <c:title>
          <c:tx>
            <c:rich>
              <a:bodyPr rot="0" spcFirstLastPara="1" vertOverflow="ellipsis" vert="horz" wrap="square" anchor="ctr" anchorCtr="1"/>
              <a:lstStyle/>
              <a:p>
                <a:pPr>
                  <a:defRPr sz="1070" b="0" i="0" u="none" strike="noStrike" kern="1200" baseline="0">
                    <a:solidFill>
                      <a:schemeClr val="tx1">
                        <a:lumMod val="65000"/>
                        <a:lumOff val="35000"/>
                      </a:schemeClr>
                    </a:solidFill>
                    <a:latin typeface="+mn-lt"/>
                    <a:ea typeface="+mn-ea"/>
                    <a:cs typeface="+mn-cs"/>
                  </a:defRPr>
                </a:pPr>
                <a:r>
                  <a:rPr lang="es-CL" sz="1200" baseline="0"/>
                  <a:t>%</a:t>
                </a:r>
              </a:p>
            </c:rich>
          </c:tx>
          <c:layout>
            <c:manualLayout>
              <c:xMode val="edge"/>
              <c:yMode val="edge"/>
              <c:x val="3.533273450042046E-2"/>
              <c:y val="4.9976669582968793E-2"/>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1515632"/>
        <c:crosses val="autoZero"/>
        <c:auto val="1"/>
        <c:lblAlgn val="ctr"/>
        <c:lblOffset val="100"/>
        <c:noMultiLvlLbl val="0"/>
      </c:catAx>
      <c:valAx>
        <c:axId val="-1431515632"/>
        <c:scaling>
          <c:orientation val="minMax"/>
          <c:min val="13"/>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1514544"/>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n-US"/>
              <a:t>TENDENCIA  DE PERSONAS HIPERTENSAS</a:t>
            </a:r>
          </a:p>
        </c:rich>
      </c:tx>
      <c:layout>
        <c:manualLayout>
          <c:xMode val="edge"/>
          <c:yMode val="edge"/>
          <c:x val="0.2749441062907822"/>
          <c:y val="1.352349158924447E-2"/>
        </c:manualLayout>
      </c:layout>
      <c:overlay val="0"/>
      <c:spPr>
        <a:noFill/>
        <a:ln>
          <a:noFill/>
        </a:ln>
        <a:effectLst>
          <a:softEdge rad="12700"/>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'65'!$B$5:$N$5</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'65'!$B$5:$N$5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'65'!$B$20:$N$20</c:f>
              <c:numCache>
                <c:formatCode>0.00</c:formatCode>
                <c:ptCount val="13"/>
                <c:pt idx="0">
                  <c:v>12.233772562077437</c:v>
                </c:pt>
                <c:pt idx="1">
                  <c:v>12.908981856350277</c:v>
                </c:pt>
                <c:pt idx="2">
                  <c:v>13.054084021190096</c:v>
                </c:pt>
                <c:pt idx="3">
                  <c:v>13.557361432431907</c:v>
                </c:pt>
                <c:pt idx="4">
                  <c:v>13.68488696636326</c:v>
                </c:pt>
                <c:pt idx="5">
                  <c:v>13.65626049962852</c:v>
                </c:pt>
                <c:pt idx="6">
                  <c:v>13.628145386766077</c:v>
                </c:pt>
                <c:pt idx="7">
                  <c:v>13.421287707001991</c:v>
                </c:pt>
                <c:pt idx="8">
                  <c:v>13.533096021267967</c:v>
                </c:pt>
                <c:pt idx="9">
                  <c:v>12.944197329383433</c:v>
                </c:pt>
                <c:pt idx="10">
                  <c:v>12.115174074885045</c:v>
                </c:pt>
                <c:pt idx="11">
                  <c:v>12.443202737530591</c:v>
                </c:pt>
                <c:pt idx="12">
                  <c:v>14.090918935308514</c:v>
                </c:pt>
              </c:numCache>
            </c:numRef>
          </c:val>
          <c:smooth val="0"/>
          <c:extLst>
            <c:ext xmlns:c16="http://schemas.microsoft.com/office/drawing/2014/chart" uri="{C3380CC4-5D6E-409C-BE32-E72D297353CC}">
              <c16:uniqueId val="{00000001-C5E0-46D6-9F02-D6ED946DBE27}"/>
            </c:ext>
          </c:extLst>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1431513456"/>
        <c:axId val="-1431508560"/>
      </c:lineChart>
      <c:catAx>
        <c:axId val="-1431513456"/>
        <c:scaling>
          <c:orientation val="minMax"/>
        </c:scaling>
        <c:delete val="0"/>
        <c:axPos val="b"/>
        <c:title>
          <c:tx>
            <c:rich>
              <a:bodyPr rot="0" spcFirstLastPara="1" vertOverflow="ellipsis" vert="horz" wrap="square" anchor="ctr" anchorCtr="1"/>
              <a:lstStyle/>
              <a:p>
                <a:pPr algn="ct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0649224065438423E-2"/>
              <c:y val="3.4084235487052202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1508560"/>
        <c:crosses val="autoZero"/>
        <c:auto val="1"/>
        <c:lblAlgn val="ctr"/>
        <c:lblOffset val="100"/>
        <c:noMultiLvlLbl val="0"/>
      </c:catAx>
      <c:valAx>
        <c:axId val="-1431508560"/>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151345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DIABETICAS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'65'!$B$5:$N$5</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'65'!$B$5:$N$5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'65'!$B$21:$N$21</c:f>
              <c:numCache>
                <c:formatCode>0.00</c:formatCode>
                <c:ptCount val="13"/>
                <c:pt idx="0">
                  <c:v>4.596166730960551</c:v>
                </c:pt>
                <c:pt idx="1">
                  <c:v>4.9977507872244713</c:v>
                </c:pt>
                <c:pt idx="2">
                  <c:v>5.3955895035111494</c:v>
                </c:pt>
                <c:pt idx="3">
                  <c:v>5.8289752512782629</c:v>
                </c:pt>
                <c:pt idx="4">
                  <c:v>6.2626485454772158</c:v>
                </c:pt>
                <c:pt idx="5">
                  <c:v>6.45239143088346</c:v>
                </c:pt>
                <c:pt idx="6">
                  <c:v>6.6999068033550797</c:v>
                </c:pt>
                <c:pt idx="7">
                  <c:v>6.6579628484390394</c:v>
                </c:pt>
                <c:pt idx="8">
                  <c:v>7.2306583156851261</c:v>
                </c:pt>
                <c:pt idx="9">
                  <c:v>6.6605762535977036</c:v>
                </c:pt>
                <c:pt idx="10">
                  <c:v>6.3915042697613318</c:v>
                </c:pt>
                <c:pt idx="11">
                  <c:v>6.8485911679986131</c:v>
                </c:pt>
                <c:pt idx="12">
                  <c:v>7.6715829597383749</c:v>
                </c:pt>
              </c:numCache>
            </c:numRef>
          </c:val>
          <c:smooth val="0"/>
          <c:extLst>
            <c:ext xmlns:c16="http://schemas.microsoft.com/office/drawing/2014/chart" uri="{C3380CC4-5D6E-409C-BE32-E72D297353CC}">
              <c16:uniqueId val="{00000001-6AEE-41DF-A8FA-8502B71283C5}"/>
            </c:ext>
          </c:extLst>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1431495504"/>
        <c:axId val="-1431504208"/>
      </c:lineChart>
      <c:catAx>
        <c:axId val="-14314955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1504208"/>
        <c:crosses val="autoZero"/>
        <c:auto val="1"/>
        <c:lblAlgn val="ctr"/>
        <c:lblOffset val="100"/>
        <c:noMultiLvlLbl val="0"/>
      </c:catAx>
      <c:valAx>
        <c:axId val="-1431504208"/>
        <c:scaling>
          <c:orientation val="minMax"/>
          <c:max val="7.5"/>
          <c:min val="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1495504"/>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s-ES" sz="1000"/>
              <a:t>ÍNDICE DE VEJEZ SEGÚN COMUNAS  AÑO 2023
SERVICIO DE SALUD ACONCAGUA</a:t>
            </a:r>
          </a:p>
        </c:rich>
      </c:tx>
      <c:layout>
        <c:manualLayout>
          <c:xMode val="edge"/>
          <c:yMode val="edge"/>
          <c:x val="0.19203771659690091"/>
          <c:y val="4.0723981900452524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0.13446694885682642"/>
          <c:y val="0.23076923076923081"/>
          <c:w val="0.90398229835505051"/>
          <c:h val="0.6515837104072395"/>
        </c:manualLayout>
      </c:layout>
      <c:lineChart>
        <c:grouping val="stacked"/>
        <c:varyColors val="0"/>
        <c:ser>
          <c:idx val="0"/>
          <c:order val="0"/>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'12'!$P$7:$P$14</c:f>
            </c:numRef>
          </c:val>
          <c:smooth val="0"/>
          <c:extLst>
            <c:ext xmlns:c15="http://schemas.microsoft.com/office/drawing/2012/chart" uri="{02D57815-91ED-43cb-92C2-25804820EDAC}">
              <c15:filteredCategoryTitle>
                <c15:cat>
                  <c:multiLvlStrRef>
                    <c:extLst>
                      <c:ext uri="{02D57815-91ED-43cb-92C2-25804820EDAC}">
                        <c15:formulaRef>
                          <c15:sqref>'12'!$O$7:$O$14</c15:sqref>
                        </c15:formulaRef>
                      </c:ext>
                    </c:extLst>
                  </c:multiLvlStrRef>
                </c15:cat>
              </c15:filteredCategoryTitle>
            </c:ext>
            <c:ext xmlns:c16="http://schemas.microsoft.com/office/drawing/2014/chart" uri="{C3380CC4-5D6E-409C-BE32-E72D297353CC}">
              <c16:uniqueId val="{00000000-D47A-4F05-8406-FAE603DBB5A8}"/>
            </c:ext>
          </c:extLst>
        </c:ser>
        <c:dLbls>
          <c:showLegendKey val="0"/>
          <c:showVal val="0"/>
          <c:showCatName val="0"/>
          <c:showSerName val="0"/>
          <c:showPercent val="0"/>
          <c:showBubbleSize val="0"/>
        </c:dLbls>
        <c:marker val="1"/>
        <c:smooth val="0"/>
        <c:axId val="-1444127728"/>
        <c:axId val="-1444140240"/>
      </c:lineChart>
      <c:catAx>
        <c:axId val="-14441277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4140240"/>
        <c:crosses val="autoZero"/>
        <c:auto val="0"/>
        <c:lblAlgn val="ctr"/>
        <c:lblOffset val="100"/>
        <c:noMultiLvlLbl val="0"/>
      </c:catAx>
      <c:valAx>
        <c:axId val="-1444140240"/>
        <c:scaling>
          <c:orientation val="minMax"/>
          <c:max val="160"/>
          <c:min val="2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44127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DISLIPIDEMICAS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9882546156529619"/>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'65'!$B$5:$N$5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'65'!$B$22:$N$22</c:f>
              <c:numCache>
                <c:formatCode>0.00</c:formatCode>
                <c:ptCount val="13"/>
                <c:pt idx="0">
                  <c:v>3.2251842527358745</c:v>
                </c:pt>
                <c:pt idx="1">
                  <c:v>3.810666266806618</c:v>
                </c:pt>
                <c:pt idx="2">
                  <c:v>4.2843415054823213</c:v>
                </c:pt>
                <c:pt idx="3">
                  <c:v>4.7810914322374938</c:v>
                </c:pt>
                <c:pt idx="4">
                  <c:v>4.8623166860091498</c:v>
                </c:pt>
                <c:pt idx="5">
                  <c:v>5.3062460663363575</c:v>
                </c:pt>
                <c:pt idx="6">
                  <c:v>6.1127679403541473</c:v>
                </c:pt>
                <c:pt idx="7">
                  <c:v>5.4852378661902472</c:v>
                </c:pt>
                <c:pt idx="8">
                  <c:v>6.7998918577929972</c:v>
                </c:pt>
                <c:pt idx="9">
                  <c:v>6.5665591974846009</c:v>
                </c:pt>
                <c:pt idx="10">
                  <c:v>6.9156995839719722</c:v>
                </c:pt>
                <c:pt idx="11">
                  <c:v>7.4454767937972415</c:v>
                </c:pt>
                <c:pt idx="12">
                  <c:v>9.3920689580490766</c:v>
                </c:pt>
              </c:numCache>
            </c:numRef>
          </c:val>
          <c:smooth val="0"/>
          <c:extLst>
            <c:ext xmlns:c16="http://schemas.microsoft.com/office/drawing/2014/chart" uri="{C3380CC4-5D6E-409C-BE32-E72D297353CC}">
              <c16:uniqueId val="{00000001-8DDB-4F4C-A28F-E28D448D16B4}"/>
            </c:ext>
          </c:extLst>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1431525968"/>
        <c:axId val="-1431512912"/>
      </c:lineChart>
      <c:catAx>
        <c:axId val="-14315259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1512912"/>
        <c:crosses val="autoZero"/>
        <c:auto val="1"/>
        <c:lblAlgn val="ctr"/>
        <c:lblOffset val="100"/>
        <c:noMultiLvlLbl val="0"/>
      </c:catAx>
      <c:valAx>
        <c:axId val="-1431512912"/>
        <c:scaling>
          <c:orientation val="minMax"/>
          <c:min val="2.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1525968"/>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TABAQUISMO</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'65'!$B$5:$N$5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'65'!$B$23:$N$23</c:f>
              <c:numCache>
                <c:formatCode>0.00</c:formatCode>
                <c:ptCount val="13"/>
                <c:pt idx="0">
                  <c:v>1.6029480437739834</c:v>
                </c:pt>
                <c:pt idx="1">
                  <c:v>1.8008696956065378</c:v>
                </c:pt>
                <c:pt idx="2">
                  <c:v>1.6365652334606382</c:v>
                </c:pt>
                <c:pt idx="3">
                  <c:v>2.026265139879853</c:v>
                </c:pt>
                <c:pt idx="4">
                  <c:v>1.1264998417433174</c:v>
                </c:pt>
                <c:pt idx="5">
                  <c:v>0.98619609401988484</c:v>
                </c:pt>
                <c:pt idx="6">
                  <c:v>1.2162162162162162</c:v>
                </c:pt>
                <c:pt idx="7">
                  <c:v>1.0504134313658124</c:v>
                </c:pt>
                <c:pt idx="8">
                  <c:v>1.2625602667507774</c:v>
                </c:pt>
                <c:pt idx="9">
                  <c:v>0.90158808999028783</c:v>
                </c:pt>
                <c:pt idx="10">
                  <c:v>1.4236917013356689</c:v>
                </c:pt>
                <c:pt idx="11">
                  <c:v>1.500010828839365</c:v>
                </c:pt>
                <c:pt idx="12">
                  <c:v>1.8404695384748662</c:v>
                </c:pt>
              </c:numCache>
            </c:numRef>
          </c:val>
          <c:smooth val="0"/>
          <c:extLst>
            <c:ext xmlns:c16="http://schemas.microsoft.com/office/drawing/2014/chart" uri="{C3380CC4-5D6E-409C-BE32-E72D297353CC}">
              <c16:uniqueId val="{00000001-55E2-4E42-AE5E-E9CD84D40384}"/>
            </c:ext>
          </c:extLst>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1431500944"/>
        <c:axId val="-1431525424"/>
      </c:lineChart>
      <c:catAx>
        <c:axId val="-14315009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1525424"/>
        <c:crosses val="autoZero"/>
        <c:auto val="1"/>
        <c:lblAlgn val="ctr"/>
        <c:lblOffset val="100"/>
        <c:noMultiLvlLbl val="0"/>
      </c:catAx>
      <c:valAx>
        <c:axId val="-1431525424"/>
        <c:scaling>
          <c:orientation val="minMax"/>
          <c:max val="2.5"/>
          <c:min val="0.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1500944"/>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ANTECEDENTES  INFARTO  AGUDO  MC</a:t>
            </a:r>
          </a:p>
        </c:rich>
      </c:tx>
      <c:layout>
        <c:manualLayout>
          <c:xMode val="edge"/>
          <c:yMode val="edge"/>
          <c:x val="0.35440716708670256"/>
          <c:y val="8.8835432481700859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'65'!$B$5:$N$5</c:f>
              <c:strCach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'65'!$B$5:$N$5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'65'!$B$25:$N$25</c:f>
              <c:numCache>
                <c:formatCode>0.00</c:formatCode>
                <c:ptCount val="13"/>
                <c:pt idx="0">
                  <c:v>0</c:v>
                </c:pt>
                <c:pt idx="1">
                  <c:v>0</c:v>
                </c:pt>
                <c:pt idx="2">
                  <c:v>0.22569914993224097</c:v>
                </c:pt>
                <c:pt idx="3">
                  <c:v>0.36549565487878377</c:v>
                </c:pt>
                <c:pt idx="4">
                  <c:v>0.26951592637707289</c:v>
                </c:pt>
                <c:pt idx="5">
                  <c:v>0.41170374366473117</c:v>
                </c:pt>
                <c:pt idx="6">
                  <c:v>0.51164958061509791</c:v>
                </c:pt>
                <c:pt idx="7">
                  <c:v>0.47321285416523512</c:v>
                </c:pt>
                <c:pt idx="8">
                  <c:v>0.64885324201324734</c:v>
                </c:pt>
                <c:pt idx="9">
                  <c:v>0.71887569792142481</c:v>
                </c:pt>
                <c:pt idx="10">
                  <c:v>0.6126560105101817</c:v>
                </c:pt>
                <c:pt idx="11">
                  <c:v>0.55963441838303762</c:v>
                </c:pt>
                <c:pt idx="12">
                  <c:v>0.76235029129577891</c:v>
                </c:pt>
              </c:numCache>
            </c:numRef>
          </c:val>
          <c:smooth val="0"/>
          <c:extLst>
            <c:ext xmlns:c16="http://schemas.microsoft.com/office/drawing/2014/chart" uri="{C3380CC4-5D6E-409C-BE32-E72D297353CC}">
              <c16:uniqueId val="{00000001-BB67-4550-8426-D4D0355F4296}"/>
            </c:ext>
          </c:extLst>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1431510192"/>
        <c:axId val="-1431514000"/>
      </c:lineChart>
      <c:catAx>
        <c:axId val="-14315101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1514000"/>
        <c:crosses val="autoZero"/>
        <c:auto val="1"/>
        <c:lblAlgn val="ctr"/>
        <c:lblOffset val="100"/>
        <c:noMultiLvlLbl val="0"/>
      </c:catAx>
      <c:valAx>
        <c:axId val="-1431514000"/>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1510192"/>
        <c:crosses val="autoZero"/>
        <c:crossBetween val="between"/>
        <c:majorUnit val="0.30000000000000004"/>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ANTECEDENTES  ENF. CEREBRO VASCULAR</a:t>
            </a:r>
          </a:p>
        </c:rich>
      </c:tx>
      <c:layout>
        <c:manualLayout>
          <c:xMode val="edge"/>
          <c:yMode val="edge"/>
          <c:x val="0.31255994245524299"/>
          <c:y val="9.0713254631720544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'65'!$B$26:$N$26</c:f>
              <c:strCache>
                <c:ptCount val="13"/>
                <c:pt idx="0">
                  <c:v>-</c:v>
                </c:pt>
                <c:pt idx="1">
                  <c:v>-</c:v>
                </c:pt>
                <c:pt idx="2">
                  <c:v>0,36</c:v>
                </c:pt>
                <c:pt idx="3">
                  <c:v>0,54</c:v>
                </c:pt>
                <c:pt idx="4">
                  <c:v>0,55</c:v>
                </c:pt>
                <c:pt idx="5">
                  <c:v>0,65</c:v>
                </c:pt>
                <c:pt idx="6">
                  <c:v>0,63</c:v>
                </c:pt>
                <c:pt idx="7">
                  <c:v>0,61</c:v>
                </c:pt>
                <c:pt idx="8">
                  <c:v>0,75</c:v>
                </c:pt>
                <c:pt idx="9">
                  <c:v>0,71</c:v>
                </c:pt>
                <c:pt idx="10">
                  <c:v>0,65</c:v>
                </c:pt>
                <c:pt idx="11">
                  <c:v>0,60</c:v>
                </c:pt>
                <c:pt idx="12">
                  <c:v>0,76</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'65'!$B$5:$N$5</c:f>
              <c:numCache>
                <c:formatCode>General</c:formatCode>
                <c:ptCount val="13"/>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numCache>
            </c:numRef>
          </c:cat>
          <c:val>
            <c:numRef>
              <c:f>'65'!$B$26:$N$26</c:f>
              <c:numCache>
                <c:formatCode>0.00</c:formatCode>
                <c:ptCount val="13"/>
                <c:pt idx="0">
                  <c:v>0</c:v>
                </c:pt>
                <c:pt idx="1">
                  <c:v>0</c:v>
                </c:pt>
                <c:pt idx="2">
                  <c:v>0.35678206233830234</c:v>
                </c:pt>
                <c:pt idx="3">
                  <c:v>0.53949491611097067</c:v>
                </c:pt>
                <c:pt idx="4">
                  <c:v>0.54814360115479421</c:v>
                </c:pt>
                <c:pt idx="5">
                  <c:v>0.64736864521074977</c:v>
                </c:pt>
                <c:pt idx="6">
                  <c:v>0.62861136999068035</c:v>
                </c:pt>
                <c:pt idx="7">
                  <c:v>0.61201585011108817</c:v>
                </c:pt>
                <c:pt idx="8">
                  <c:v>0.74933537601946554</c:v>
                </c:pt>
                <c:pt idx="9">
                  <c:v>0.71000616432584895</c:v>
                </c:pt>
                <c:pt idx="10">
                  <c:v>0.64812787387781912</c:v>
                </c:pt>
                <c:pt idx="11">
                  <c:v>0.60078400797002585</c:v>
                </c:pt>
                <c:pt idx="12">
                  <c:v>0.75671929482598055</c:v>
                </c:pt>
              </c:numCache>
            </c:numRef>
          </c:val>
          <c:smooth val="0"/>
          <c:extLst>
            <c:ext xmlns:c16="http://schemas.microsoft.com/office/drawing/2014/chart" uri="{C3380CC4-5D6E-409C-BE32-E72D297353CC}">
              <c16:uniqueId val="{00000001-5F61-41EB-BF80-B26FB0A7977B}"/>
            </c:ext>
          </c:extLst>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1431512368"/>
        <c:axId val="-1431511280"/>
      </c:lineChart>
      <c:catAx>
        <c:axId val="-14315123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1511280"/>
        <c:crosses val="autoZero"/>
        <c:auto val="1"/>
        <c:lblAlgn val="ctr"/>
        <c:lblOffset val="100"/>
        <c:noMultiLvlLbl val="0"/>
      </c:catAx>
      <c:valAx>
        <c:axId val="-1431511280"/>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1512368"/>
        <c:crosses val="autoZero"/>
        <c:crossBetween val="between"/>
        <c:majorUnit val="0.30000000000000004"/>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s-ES" sz="1000"/>
              <a:t>Prevención odontológica en  menores  de  20 años
Servicio  Salud  Aconcagua 2017 - 2022</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s-CL"/>
        </a:p>
      </c:txPr>
    </c:title>
    <c:autoTitleDeleted val="0"/>
    <c:plotArea>
      <c:layout/>
      <c:lineChart>
        <c:grouping val="standard"/>
        <c:varyColors val="0"/>
        <c:ser>
          <c:idx val="5"/>
          <c:order val="0"/>
          <c:tx>
            <c:v>Prestaciones por  hab.</c:v>
          </c:tx>
          <c:spPr>
            <a:ln w="31750" cap="rnd">
              <a:solidFill>
                <a:schemeClr val="accent6"/>
              </a:solidFill>
              <a:round/>
            </a:ln>
            <a:effectLst>
              <a:outerShdw blurRad="40000" dist="23000" dir="5400000" rotWithShape="0">
                <a:srgbClr val="000000">
                  <a:alpha val="35000"/>
                </a:srgbClr>
              </a:outerShdw>
            </a:effectLst>
          </c:spPr>
          <c:marker>
            <c:symbol val="none"/>
          </c:marker>
          <c:cat>
            <c:numRef>
              <c:f>'66'!$C$60:$H$60</c:f>
              <c:numCache>
                <c:formatCode>General</c:formatCode>
                <c:ptCount val="6"/>
                <c:pt idx="0">
                  <c:v>2018</c:v>
                </c:pt>
                <c:pt idx="1">
                  <c:v>2019</c:v>
                </c:pt>
                <c:pt idx="2">
                  <c:v>2020</c:v>
                </c:pt>
                <c:pt idx="3">
                  <c:v>2021</c:v>
                </c:pt>
                <c:pt idx="4">
                  <c:v>2022</c:v>
                </c:pt>
                <c:pt idx="5">
                  <c:v>2023</c:v>
                </c:pt>
              </c:numCache>
            </c:numRef>
          </c:cat>
          <c:val>
            <c:numRef>
              <c:f>'66'!$C$79:$H$79</c:f>
              <c:numCache>
                <c:formatCode>0.00</c:formatCode>
                <c:ptCount val="6"/>
                <c:pt idx="0">
                  <c:v>1.2597926854115729</c:v>
                </c:pt>
                <c:pt idx="1">
                  <c:v>1.4095134903754831</c:v>
                </c:pt>
                <c:pt idx="2">
                  <c:v>0.35978020505260339</c:v>
                </c:pt>
                <c:pt idx="3">
                  <c:v>0.78898664234751359</c:v>
                </c:pt>
                <c:pt idx="4">
                  <c:v>1.2489366284391321</c:v>
                </c:pt>
                <c:pt idx="5">
                  <c:v>1.4815550093705854</c:v>
                </c:pt>
              </c:numCache>
            </c:numRef>
          </c:val>
          <c:smooth val="0"/>
          <c:extLst>
            <c:ext xmlns:c16="http://schemas.microsoft.com/office/drawing/2014/chart" uri="{C3380CC4-5D6E-409C-BE32-E72D297353CC}">
              <c16:uniqueId val="{00000000-F041-4C05-A207-C22A10E69D19}"/>
            </c:ext>
          </c:extLst>
        </c:ser>
        <c:dLbls>
          <c:showLegendKey val="0"/>
          <c:showVal val="0"/>
          <c:showCatName val="0"/>
          <c:showSerName val="0"/>
          <c:showPercent val="0"/>
          <c:showBubbleSize val="0"/>
        </c:dLbls>
        <c:smooth val="0"/>
        <c:axId val="-1431506384"/>
        <c:axId val="-1431522704"/>
      </c:lineChart>
      <c:catAx>
        <c:axId val="-1431506384"/>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1522704"/>
        <c:crosses val="autoZero"/>
        <c:auto val="1"/>
        <c:lblAlgn val="ctr"/>
        <c:lblOffset val="100"/>
        <c:tickLblSkip val="1"/>
        <c:tickMarkSkip val="1"/>
        <c:noMultiLvlLbl val="0"/>
      </c:catAx>
      <c:valAx>
        <c:axId val="-1431522704"/>
        <c:scaling>
          <c:orientation val="minMax"/>
          <c:max val="1.5"/>
          <c:min val="0.30000000000000004"/>
        </c:scaling>
        <c:delete val="0"/>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150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ES"/>
              <a:t>PORCENTAJE DE CONS. MEDICAS DE URGENCIA
 SEGUN PROGRAMA  AÑO 2022</a:t>
            </a:r>
          </a:p>
          <a:p>
            <a:pPr>
              <a:defRPr/>
            </a:pPr>
            <a:endParaRPr lang="es-ES"/>
          </a:p>
        </c:rich>
      </c:tx>
      <c:layout>
        <c:manualLayout>
          <c:xMode val="edge"/>
          <c:yMode val="edge"/>
          <c:x val="0.16972225354728721"/>
          <c:y val="4.870789432123277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L"/>
        </a:p>
      </c:txPr>
    </c:title>
    <c:autoTitleDeleted val="0"/>
    <c:view3D>
      <c:rotX val="30"/>
      <c:hPercent val="65"/>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1909212283045651"/>
          <c:y val="0.42618384401114207"/>
          <c:w val="0.36181575433912438"/>
          <c:h val="0.36768802228413511"/>
        </c:manualLayout>
      </c:layout>
      <c:pie3DChart>
        <c:varyColors val="1"/>
        <c:ser>
          <c:idx val="0"/>
          <c:order val="0"/>
          <c:explosion val="2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89F-4465-8965-54F08ED5D4F9}"/>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968-4C73-AEE7-3B025C3B3A7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968-4C73-AEE7-3B025C3B3A7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8968-4C73-AEE7-3B025C3B3A7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8968-4C73-AEE7-3B025C3B3A71}"/>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L"/>
                </a:p>
              </c:txPr>
              <c:dLblPos val="outEnd"/>
              <c:showLegendKey val="0"/>
              <c:showVal val="0"/>
              <c:showCatName val="1"/>
              <c:showSerName val="0"/>
              <c:showPercent val="1"/>
              <c:showBubbleSize val="0"/>
              <c:extLst>
                <c:ext xmlns:c16="http://schemas.microsoft.com/office/drawing/2014/chart" uri="{C3380CC4-5D6E-409C-BE32-E72D297353CC}">
                  <c16:uniqueId val="{00000001-D89F-4465-8965-54F08ED5D4F9}"/>
                </c:ext>
              </c:extLst>
            </c:dLbl>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L"/>
                </a:p>
              </c:txPr>
              <c:dLblPos val="outEnd"/>
              <c:showLegendKey val="0"/>
              <c:showVal val="0"/>
              <c:showCatName val="1"/>
              <c:showSerName val="0"/>
              <c:showPercent val="1"/>
              <c:showBubbleSize val="0"/>
              <c:extLst>
                <c:ext xmlns:c16="http://schemas.microsoft.com/office/drawing/2014/chart" uri="{C3380CC4-5D6E-409C-BE32-E72D297353CC}">
                  <c16:uniqueId val="{00000001-8968-4C73-AEE7-3B025C3B3A71}"/>
                </c:ext>
              </c:extLst>
            </c:dLbl>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L"/>
                </a:p>
              </c:txPr>
              <c:dLblPos val="outEnd"/>
              <c:showLegendKey val="0"/>
              <c:showVal val="0"/>
              <c:showCatName val="1"/>
              <c:showSerName val="0"/>
              <c:showPercent val="1"/>
              <c:showBubbleSize val="0"/>
              <c:extLst>
                <c:ext xmlns:c16="http://schemas.microsoft.com/office/drawing/2014/chart" uri="{C3380CC4-5D6E-409C-BE32-E72D297353CC}">
                  <c16:uniqueId val="{00000003-8968-4C73-AEE7-3B025C3B3A71}"/>
                </c:ext>
              </c:extLst>
            </c:dLbl>
            <c:dLbl>
              <c:idx val="3"/>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s-CL"/>
                </a:p>
              </c:txPr>
              <c:dLblPos val="outEnd"/>
              <c:showLegendKey val="0"/>
              <c:showVal val="0"/>
              <c:showCatName val="1"/>
              <c:showSerName val="0"/>
              <c:showPercent val="1"/>
              <c:showBubbleSize val="0"/>
              <c:extLst>
                <c:ext xmlns:c16="http://schemas.microsoft.com/office/drawing/2014/chart" uri="{C3380CC4-5D6E-409C-BE32-E72D297353CC}">
                  <c16:uniqueId val="{00000005-8968-4C73-AEE7-3B025C3B3A71}"/>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CL"/>
                </a:p>
              </c:txPr>
              <c:dLblPos val="outEnd"/>
              <c:showLegendKey val="0"/>
              <c:showVal val="0"/>
              <c:showCatName val="1"/>
              <c:showSerName val="0"/>
              <c:showPercent val="1"/>
              <c:showBubbleSize val="0"/>
              <c:extLst>
                <c:ext xmlns:c16="http://schemas.microsoft.com/office/drawing/2014/chart" uri="{C3380CC4-5D6E-409C-BE32-E72D297353CC}">
                  <c16:uniqueId val="{00000007-8968-4C73-AEE7-3B025C3B3A71}"/>
                </c:ext>
              </c:extLst>
            </c:dLbl>
            <c:numFmt formatCode="0%" sourceLinked="0"/>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'67'!$B$38:$B$42</c:f>
              <c:strCache>
                <c:ptCount val="5"/>
                <c:pt idx="0">
                  <c:v> INFANTIL</c:v>
                </c:pt>
                <c:pt idx="1">
                  <c:v> ADOLESCENTE</c:v>
                </c:pt>
                <c:pt idx="2">
                  <c:v> MUJER</c:v>
                </c:pt>
                <c:pt idx="3">
                  <c:v> ADULTO</c:v>
                </c:pt>
                <c:pt idx="4">
                  <c:v> ADULTO MAYOR</c:v>
                </c:pt>
              </c:strCache>
            </c:strRef>
          </c:cat>
          <c:val>
            <c:numRef>
              <c:f>'67'!$L$38:$L$42</c:f>
              <c:numCache>
                <c:formatCode>#,##0</c:formatCode>
                <c:ptCount val="5"/>
                <c:pt idx="0">
                  <c:v>68985</c:v>
                </c:pt>
                <c:pt idx="1">
                  <c:v>50312</c:v>
                </c:pt>
                <c:pt idx="2">
                  <c:v>11669</c:v>
                </c:pt>
                <c:pt idx="3">
                  <c:v>165507</c:v>
                </c:pt>
                <c:pt idx="4">
                  <c:v>48727</c:v>
                </c:pt>
              </c:numCache>
            </c:numRef>
          </c:val>
          <c:extLst>
            <c:ext xmlns:c16="http://schemas.microsoft.com/office/drawing/2014/chart" uri="{C3380CC4-5D6E-409C-BE32-E72D297353CC}">
              <c16:uniqueId val="{00000008-8968-4C73-AEE7-3B025C3B3A71}"/>
            </c:ext>
          </c:extLst>
        </c:ser>
        <c:dLbls>
          <c:dLblPos val="outEnd"/>
          <c:showLegendKey val="0"/>
          <c:showVal val="0"/>
          <c:showCatName val="1"/>
          <c:showSerName val="0"/>
          <c:showPercent val="1"/>
          <c:showBubbleSize val="0"/>
          <c:showLeaderLines val="1"/>
        </c:dLbls>
      </c:pie3D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ES"/>
              <a:t>CATEGORIZACIÓN CONSULTAS URGENCIA  
 AÑO 2022</a:t>
            </a:r>
          </a:p>
        </c:rich>
      </c:tx>
      <c:layout>
        <c:manualLayout>
          <c:xMode val="edge"/>
          <c:yMode val="edge"/>
          <c:x val="0.31631029061552646"/>
          <c:y val="5.80829375204078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0.1573398165161958"/>
          <c:y val="0.22618386471059657"/>
          <c:w val="0.80326476460872043"/>
          <c:h val="0.68956316180195909"/>
        </c:manualLayout>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1-DA06-4AA1-9201-D25D5F554F82}"/>
              </c:ext>
            </c:extLst>
          </c:dPt>
          <c:dPt>
            <c:idx val="2"/>
            <c:invertIfNegative val="0"/>
            <c:bubble3D val="0"/>
            <c:extLst>
              <c:ext xmlns:c16="http://schemas.microsoft.com/office/drawing/2014/chart" uri="{C3380CC4-5D6E-409C-BE32-E72D297353CC}">
                <c16:uniqueId val="{00000003-DA06-4AA1-9201-D25D5F554F82}"/>
              </c:ext>
            </c:extLst>
          </c:dPt>
          <c:dPt>
            <c:idx val="3"/>
            <c:invertIfNegative val="0"/>
            <c:bubble3D val="0"/>
            <c:extLst>
              <c:ext xmlns:c16="http://schemas.microsoft.com/office/drawing/2014/chart" uri="{C3380CC4-5D6E-409C-BE32-E72D297353CC}">
                <c16:uniqueId val="{00000005-DA06-4AA1-9201-D25D5F554F82}"/>
              </c:ext>
            </c:extLst>
          </c:dPt>
          <c:dPt>
            <c:idx val="4"/>
            <c:invertIfNegative val="0"/>
            <c:bubble3D val="0"/>
            <c:extLst>
              <c:ext xmlns:c16="http://schemas.microsoft.com/office/drawing/2014/chart" uri="{C3380CC4-5D6E-409C-BE32-E72D297353CC}">
                <c16:uniqueId val="{00000007-DA06-4AA1-9201-D25D5F554F8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'67'!$B$44:$B$49</c:f>
              <c:strCache>
                <c:ptCount val="6"/>
                <c:pt idx="0">
                  <c:v>C1</c:v>
                </c:pt>
                <c:pt idx="1">
                  <c:v>C2</c:v>
                </c:pt>
                <c:pt idx="2">
                  <c:v>C3</c:v>
                </c:pt>
                <c:pt idx="3">
                  <c:v>C4</c:v>
                </c:pt>
                <c:pt idx="4">
                  <c:v>C5</c:v>
                </c:pt>
                <c:pt idx="5">
                  <c:v>SIN CATEG.</c:v>
                </c:pt>
              </c:strCache>
            </c:strRef>
          </c:cat>
          <c:val>
            <c:numRef>
              <c:f>'67'!$K$87:$K$92</c:f>
              <c:numCache>
                <c:formatCode>0.0000</c:formatCode>
                <c:ptCount val="6"/>
                <c:pt idx="0">
                  <c:v>4.2249771388223308E-3</c:v>
                </c:pt>
                <c:pt idx="1">
                  <c:v>3.8800337998171106E-2</c:v>
                </c:pt>
                <c:pt idx="2">
                  <c:v>0.46512368186500908</c:v>
                </c:pt>
                <c:pt idx="3">
                  <c:v>0.46292437869685499</c:v>
                </c:pt>
                <c:pt idx="4">
                  <c:v>2.8480976027595466E-2</c:v>
                </c:pt>
                <c:pt idx="5">
                  <c:v>4.4564827354701299E-4</c:v>
                </c:pt>
              </c:numCache>
            </c:numRef>
          </c:val>
          <c:extLst>
            <c:ext xmlns:c16="http://schemas.microsoft.com/office/drawing/2014/chart" uri="{C3380CC4-5D6E-409C-BE32-E72D297353CC}">
              <c16:uniqueId val="{00000008-DA06-4AA1-9201-D25D5F554F82}"/>
            </c:ext>
          </c:extLst>
        </c:ser>
        <c:dLbls>
          <c:showLegendKey val="0"/>
          <c:showVal val="0"/>
          <c:showCatName val="0"/>
          <c:showSerName val="0"/>
          <c:showPercent val="0"/>
          <c:showBubbleSize val="0"/>
        </c:dLbls>
        <c:gapWidth val="100"/>
        <c:overlap val="-24"/>
        <c:axId val="-1431520528"/>
        <c:axId val="-1431497136"/>
      </c:barChart>
      <c:catAx>
        <c:axId val="-14315205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1497136"/>
        <c:crosses val="autoZero"/>
        <c:auto val="1"/>
        <c:lblAlgn val="ctr"/>
        <c:lblOffset val="100"/>
        <c:noMultiLvlLbl val="0"/>
      </c:catAx>
      <c:valAx>
        <c:axId val="-1431497136"/>
        <c:scaling>
          <c:orientation val="minMax"/>
          <c:max val="0.70000000000000007"/>
          <c:min val="0"/>
        </c:scaling>
        <c:delete val="0"/>
        <c:axPos val="l"/>
        <c:majorGridlines>
          <c:spPr>
            <a:ln w="9525" cap="flat" cmpd="sng" algn="ctr">
              <a:solidFill>
                <a:schemeClr val="tx1">
                  <a:lumMod val="15000"/>
                  <a:lumOff val="85000"/>
                </a:schemeClr>
              </a:solidFill>
              <a:round/>
            </a:ln>
            <a:effectLst/>
          </c:spPr>
        </c:majorGridlines>
        <c:numFmt formatCode="0.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431520528"/>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1" u="none" strike="noStrike" baseline="0">
                <a:solidFill>
                  <a:srgbClr val="FF0000"/>
                </a:solidFill>
                <a:latin typeface="Arial"/>
                <a:ea typeface="Arial"/>
                <a:cs typeface="Arial"/>
              </a:defRPr>
            </a:pPr>
            <a:r>
              <a:rPr lang="es-ES"/>
              <a:t>INDICE DE CONS. MEDICA  URGENCIA SEGUN PROGRAMA</a:t>
            </a:r>
          </a:p>
        </c:rich>
      </c:tx>
      <c:layout>
        <c:manualLayout>
          <c:xMode val="edge"/>
          <c:yMode val="edge"/>
          <c:x val="0.16759776536312848"/>
          <c:y val="3.0373831775701052E-2"/>
        </c:manualLayout>
      </c:layout>
      <c:overlay val="0"/>
      <c:spPr>
        <a:noFill/>
        <a:ln w="25400">
          <a:noFill/>
        </a:ln>
      </c:sp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8100">
              <a:solidFill>
                <a:srgbClr val="000080"/>
              </a:solidFill>
              <a:prstDash val="solid"/>
            </a:ln>
          </c:spPr>
          <c:marker>
            <c:symbol val="none"/>
          </c:marker>
          <c:cat>
            <c:numRef>
              <c:f>'68'!$J$7:$L$7</c:f>
              <c:numCache>
                <c:formatCode>General</c:formatCode>
                <c:ptCount val="3"/>
                <c:pt idx="0">
                  <c:v>2020</c:v>
                </c:pt>
                <c:pt idx="1">
                  <c:v>2021</c:v>
                </c:pt>
                <c:pt idx="2">
                  <c:v>2022</c:v>
                </c:pt>
              </c:numCache>
            </c:numRef>
          </c:cat>
          <c:val>
            <c:numRef>
              <c:f>'68'!$J$8:$M$8</c:f>
              <c:numCache>
                <c:formatCode>#,##0.00</c:formatCode>
                <c:ptCount val="4"/>
                <c:pt idx="0">
                  <c:v>0.61545677210902083</c:v>
                </c:pt>
                <c:pt idx="1">
                  <c:v>0.7380301676564881</c:v>
                </c:pt>
                <c:pt idx="2">
                  <c:v>1.7013842761112734</c:v>
                </c:pt>
                <c:pt idx="3">
                  <c:v>1.8172269876367984</c:v>
                </c:pt>
              </c:numCache>
            </c:numRef>
          </c:val>
          <c:smooth val="0"/>
          <c:extLst>
            <c:ext xmlns:c16="http://schemas.microsoft.com/office/drawing/2014/chart" uri="{C3380CC4-5D6E-409C-BE32-E72D297353CC}">
              <c16:uniqueId val="{00000000-F080-4F4C-B50B-EFA035D578DA}"/>
            </c:ext>
          </c:extLst>
        </c:ser>
        <c:ser>
          <c:idx val="1"/>
          <c:order val="1"/>
          <c:tx>
            <c:v>ADOLESCENTE</c:v>
          </c:tx>
          <c:spPr>
            <a:ln w="38100">
              <a:solidFill>
                <a:srgbClr val="FF0000"/>
              </a:solidFill>
              <a:prstDash val="solid"/>
            </a:ln>
          </c:spPr>
          <c:marker>
            <c:symbol val="none"/>
          </c:marker>
          <c:cat>
            <c:numRef>
              <c:f>'68'!$J$7:$L$7</c:f>
              <c:numCache>
                <c:formatCode>General</c:formatCode>
                <c:ptCount val="3"/>
                <c:pt idx="0">
                  <c:v>2020</c:v>
                </c:pt>
                <c:pt idx="1">
                  <c:v>2021</c:v>
                </c:pt>
                <c:pt idx="2">
                  <c:v>2022</c:v>
                </c:pt>
              </c:numCache>
            </c:numRef>
          </c:cat>
          <c:val>
            <c:numRef>
              <c:f>'68'!$J$9:$M$9</c:f>
              <c:numCache>
                <c:formatCode>#,##0.00</c:formatCode>
                <c:ptCount val="4"/>
                <c:pt idx="0">
                  <c:v>0.45993170783759268</c:v>
                </c:pt>
                <c:pt idx="1">
                  <c:v>0.55875695683434079</c:v>
                </c:pt>
                <c:pt idx="2">
                  <c:v>1.2126615192761814</c:v>
                </c:pt>
                <c:pt idx="3">
                  <c:v>1.3229795944084239</c:v>
                </c:pt>
              </c:numCache>
            </c:numRef>
          </c:val>
          <c:smooth val="0"/>
          <c:extLst>
            <c:ext xmlns:c16="http://schemas.microsoft.com/office/drawing/2014/chart" uri="{C3380CC4-5D6E-409C-BE32-E72D297353CC}">
              <c16:uniqueId val="{00000001-F080-4F4C-B50B-EFA035D578DA}"/>
            </c:ext>
          </c:extLst>
        </c:ser>
        <c:ser>
          <c:idx val="3"/>
          <c:order val="2"/>
          <c:tx>
            <c:v>ADULTO</c:v>
          </c:tx>
          <c:spPr>
            <a:ln w="25400">
              <a:solidFill>
                <a:srgbClr val="3366FF"/>
              </a:solidFill>
              <a:prstDash val="solid"/>
            </a:ln>
          </c:spPr>
          <c:marker>
            <c:symbol val="none"/>
          </c:marker>
          <c:cat>
            <c:numRef>
              <c:f>'68'!$J$7:$L$7</c:f>
              <c:numCache>
                <c:formatCode>General</c:formatCode>
                <c:ptCount val="3"/>
                <c:pt idx="0">
                  <c:v>2020</c:v>
                </c:pt>
                <c:pt idx="1">
                  <c:v>2021</c:v>
                </c:pt>
                <c:pt idx="2">
                  <c:v>2022</c:v>
                </c:pt>
              </c:numCache>
            </c:numRef>
          </c:cat>
          <c:val>
            <c:numRef>
              <c:f>'68'!$J$11:$M$11</c:f>
              <c:numCache>
                <c:formatCode>#,##0.00</c:formatCode>
                <c:ptCount val="4"/>
                <c:pt idx="0">
                  <c:v>0.62140644434535686</c:v>
                </c:pt>
                <c:pt idx="1">
                  <c:v>0.7081271262830392</c:v>
                </c:pt>
                <c:pt idx="2">
                  <c:v>0.91408751950979827</c:v>
                </c:pt>
                <c:pt idx="3">
                  <c:v>0.9481291888501352</c:v>
                </c:pt>
              </c:numCache>
            </c:numRef>
          </c:val>
          <c:smooth val="0"/>
          <c:extLst>
            <c:ext xmlns:c16="http://schemas.microsoft.com/office/drawing/2014/chart" uri="{C3380CC4-5D6E-409C-BE32-E72D297353CC}">
              <c16:uniqueId val="{00000002-F080-4F4C-B50B-EFA035D578DA}"/>
            </c:ext>
          </c:extLst>
        </c:ser>
        <c:ser>
          <c:idx val="4"/>
          <c:order val="3"/>
          <c:tx>
            <c:v>TOTAL</c:v>
          </c:tx>
          <c:spPr>
            <a:ln w="25400">
              <a:solidFill>
                <a:srgbClr val="333300"/>
              </a:solidFill>
              <a:prstDash val="solid"/>
            </a:ln>
          </c:spPr>
          <c:marker>
            <c:symbol val="none"/>
          </c:marker>
          <c:cat>
            <c:numRef>
              <c:f>'68'!$J$7:$L$7</c:f>
              <c:numCache>
                <c:formatCode>General</c:formatCode>
                <c:ptCount val="3"/>
                <c:pt idx="0">
                  <c:v>2020</c:v>
                </c:pt>
                <c:pt idx="1">
                  <c:v>2021</c:v>
                </c:pt>
                <c:pt idx="2">
                  <c:v>2022</c:v>
                </c:pt>
              </c:numCache>
            </c:numRef>
          </c:cat>
          <c:val>
            <c:numRef>
              <c:f>'68'!$J$13:$M$13</c:f>
              <c:numCache>
                <c:formatCode>#,##0.00</c:formatCode>
                <c:ptCount val="4"/>
                <c:pt idx="0">
                  <c:v>0.65803589703775334</c:v>
                </c:pt>
                <c:pt idx="1">
                  <c:v>0.74913869612919903</c:v>
                </c:pt>
                <c:pt idx="2">
                  <c:v>1.1180300714882234</c:v>
                </c:pt>
                <c:pt idx="3">
                  <c:v>1.185760994007488</c:v>
                </c:pt>
              </c:numCache>
            </c:numRef>
          </c:val>
          <c:smooth val="0"/>
          <c:extLst>
            <c:ext xmlns:c16="http://schemas.microsoft.com/office/drawing/2014/chart" uri="{C3380CC4-5D6E-409C-BE32-E72D297353CC}">
              <c16:uniqueId val="{00000003-F080-4F4C-B50B-EFA035D578DA}"/>
            </c:ext>
          </c:extLst>
        </c:ser>
        <c:ser>
          <c:idx val="2"/>
          <c:order val="4"/>
          <c:tx>
            <c:v>ADULTO  M.</c:v>
          </c:tx>
          <c:spPr>
            <a:ln w="25400">
              <a:solidFill>
                <a:srgbClr val="336666"/>
              </a:solidFill>
              <a:prstDash val="solid"/>
            </a:ln>
          </c:spPr>
          <c:marker>
            <c:symbol val="none"/>
          </c:marker>
          <c:val>
            <c:numRef>
              <c:f>'68'!$J$12:$M$12</c:f>
              <c:numCache>
                <c:formatCode>#,##0.00</c:formatCode>
                <c:ptCount val="4"/>
                <c:pt idx="0">
                  <c:v>0.7901937503373091</c:v>
                </c:pt>
                <c:pt idx="1">
                  <c:v>0.84375647131911369</c:v>
                </c:pt>
                <c:pt idx="2">
                  <c:v>1.0465191366763529</c:v>
                </c:pt>
                <c:pt idx="3">
                  <c:v>1.2003759589232021</c:v>
                </c:pt>
              </c:numCache>
            </c:numRef>
          </c:val>
          <c:smooth val="0"/>
          <c:extLst>
            <c:ext xmlns:c16="http://schemas.microsoft.com/office/drawing/2014/chart" uri="{C3380CC4-5D6E-409C-BE32-E72D297353CC}">
              <c16:uniqueId val="{00000004-F080-4F4C-B50B-EFA035D578DA}"/>
            </c:ext>
          </c:extLst>
        </c:ser>
        <c:dLbls>
          <c:showLegendKey val="0"/>
          <c:showVal val="0"/>
          <c:showCatName val="0"/>
          <c:showSerName val="0"/>
          <c:showPercent val="0"/>
          <c:showBubbleSize val="0"/>
        </c:dLbls>
        <c:smooth val="0"/>
        <c:axId val="-1431517808"/>
        <c:axId val="-1431509648"/>
      </c:lineChart>
      <c:catAx>
        <c:axId val="-1431517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1431509648"/>
        <c:crosses val="autoZero"/>
        <c:auto val="1"/>
        <c:lblAlgn val="ctr"/>
        <c:lblOffset val="100"/>
        <c:tickLblSkip val="1"/>
        <c:tickMarkSkip val="1"/>
        <c:noMultiLvlLbl val="0"/>
      </c:catAx>
      <c:valAx>
        <c:axId val="-1431509648"/>
        <c:scaling>
          <c:orientation val="minMax"/>
          <c:max val="2.25"/>
          <c:min val="0.7500000000000146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1431517808"/>
        <c:crosses val="autoZero"/>
        <c:crossBetween val="between"/>
        <c:majorUnit val="0.25"/>
      </c:valAx>
      <c:spPr>
        <a:gradFill rotWithShape="0">
          <a:gsLst>
            <a:gs pos="0">
              <a:srgbClr val="C0C0C0"/>
            </a:gs>
            <a:gs pos="100000">
              <a:srgbClr val="C0C0C0">
                <a:gamma/>
                <a:tint val="0"/>
                <a:invGamma/>
              </a:srgbClr>
            </a:gs>
          </a:gsLst>
          <a:lin ang="5400000" scaled="1"/>
        </a:gradFill>
        <a:ln w="25400">
          <a:noFill/>
        </a:ln>
      </c:spPr>
    </c:plotArea>
    <c:legend>
      <c:legendPos val="b"/>
      <c:layout>
        <c:manualLayout>
          <c:xMode val="edge"/>
          <c:yMode val="edge"/>
          <c:x val="0.16061452513966482"/>
          <c:y val="0.92990654205607481"/>
          <c:w val="0.7192737430167595"/>
          <c:h val="5.6074766355139763E-2"/>
        </c:manualLayout>
      </c:layout>
      <c:overlay val="0"/>
      <c:spPr>
        <a:noFill/>
        <a:ln w="3175">
          <a:solidFill>
            <a:srgbClr val="000000"/>
          </a:solidFill>
          <a:prstDash val="solid"/>
        </a:ln>
      </c:spPr>
      <c:txPr>
        <a:bodyPr/>
        <a:lstStyle/>
        <a:p>
          <a:pPr>
            <a:defRPr sz="690" b="1" i="1"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
              <a:t>INDICE DE CONS. MEDICA  URGENCIA SEGUN PROGRAMA</a:t>
            </a:r>
          </a:p>
        </c:rich>
      </c:tx>
      <c:layout>
        <c:manualLayout>
          <c:xMode val="edge"/>
          <c:yMode val="edge"/>
          <c:x val="0.16759776536312848"/>
          <c:y val="3.037383177570105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1750" cap="rnd">
              <a:solidFill>
                <a:schemeClr val="accent1"/>
              </a:solidFill>
              <a:round/>
            </a:ln>
            <a:effectLst>
              <a:outerShdw blurRad="40000" dist="23000" dir="5400000" rotWithShape="0">
                <a:srgbClr val="000000">
                  <a:alpha val="35000"/>
                </a:srgbClr>
              </a:outerShdw>
            </a:effectLst>
          </c:spPr>
          <c:marker>
            <c:symbol val="none"/>
          </c:marker>
          <c:cat>
            <c:numRef>
              <c:f>'68'!$J$7:$M$7</c:f>
              <c:numCache>
                <c:formatCode>General</c:formatCode>
                <c:ptCount val="4"/>
                <c:pt idx="0">
                  <c:v>2020</c:v>
                </c:pt>
                <c:pt idx="1">
                  <c:v>2021</c:v>
                </c:pt>
                <c:pt idx="2">
                  <c:v>2022</c:v>
                </c:pt>
                <c:pt idx="3">
                  <c:v>2023</c:v>
                </c:pt>
              </c:numCache>
            </c:numRef>
          </c:cat>
          <c:val>
            <c:numRef>
              <c:f>'68'!$J$8:$M$8</c:f>
              <c:numCache>
                <c:formatCode>#,##0.00</c:formatCode>
                <c:ptCount val="4"/>
                <c:pt idx="0">
                  <c:v>0.61545677210902083</c:v>
                </c:pt>
                <c:pt idx="1">
                  <c:v>0.7380301676564881</c:v>
                </c:pt>
                <c:pt idx="2">
                  <c:v>1.7013842761112734</c:v>
                </c:pt>
                <c:pt idx="3">
                  <c:v>1.8172269876367984</c:v>
                </c:pt>
              </c:numCache>
            </c:numRef>
          </c:val>
          <c:smooth val="0"/>
          <c:extLst>
            <c:ext xmlns:c16="http://schemas.microsoft.com/office/drawing/2014/chart" uri="{C3380CC4-5D6E-409C-BE32-E72D297353CC}">
              <c16:uniqueId val="{00000000-6C35-4A8F-94DD-96FF33E67214}"/>
            </c:ext>
          </c:extLst>
        </c:ser>
        <c:ser>
          <c:idx val="1"/>
          <c:order val="1"/>
          <c:tx>
            <c:v>ADOLESCENTE</c:v>
          </c:tx>
          <c:spPr>
            <a:ln w="31750" cap="rnd">
              <a:solidFill>
                <a:schemeClr val="accent2"/>
              </a:solidFill>
              <a:round/>
            </a:ln>
            <a:effectLst>
              <a:outerShdw blurRad="40000" dist="23000" dir="5400000" rotWithShape="0">
                <a:srgbClr val="000000">
                  <a:alpha val="35000"/>
                </a:srgbClr>
              </a:outerShdw>
            </a:effectLst>
          </c:spPr>
          <c:marker>
            <c:symbol val="none"/>
          </c:marker>
          <c:cat>
            <c:numRef>
              <c:f>'68'!$J$7:$M$7</c:f>
              <c:numCache>
                <c:formatCode>General</c:formatCode>
                <c:ptCount val="4"/>
                <c:pt idx="0">
                  <c:v>2020</c:v>
                </c:pt>
                <c:pt idx="1">
                  <c:v>2021</c:v>
                </c:pt>
                <c:pt idx="2">
                  <c:v>2022</c:v>
                </c:pt>
                <c:pt idx="3">
                  <c:v>2023</c:v>
                </c:pt>
              </c:numCache>
            </c:numRef>
          </c:cat>
          <c:val>
            <c:numRef>
              <c:f>'68'!$J$9:$M$9</c:f>
              <c:numCache>
                <c:formatCode>#,##0.00</c:formatCode>
                <c:ptCount val="4"/>
                <c:pt idx="0">
                  <c:v>0.45993170783759268</c:v>
                </c:pt>
                <c:pt idx="1">
                  <c:v>0.55875695683434079</c:v>
                </c:pt>
                <c:pt idx="2">
                  <c:v>1.2126615192761814</c:v>
                </c:pt>
                <c:pt idx="3">
                  <c:v>1.3229795944084239</c:v>
                </c:pt>
              </c:numCache>
            </c:numRef>
          </c:val>
          <c:smooth val="0"/>
          <c:extLst>
            <c:ext xmlns:c16="http://schemas.microsoft.com/office/drawing/2014/chart" uri="{C3380CC4-5D6E-409C-BE32-E72D297353CC}">
              <c16:uniqueId val="{00000001-6C35-4A8F-94DD-96FF33E67214}"/>
            </c:ext>
          </c:extLst>
        </c:ser>
        <c:ser>
          <c:idx val="3"/>
          <c:order val="2"/>
          <c:tx>
            <c:v>ADULTO</c:v>
          </c:tx>
          <c:spPr>
            <a:ln w="31750" cap="rnd">
              <a:solidFill>
                <a:schemeClr val="accent4"/>
              </a:solidFill>
              <a:round/>
            </a:ln>
            <a:effectLst>
              <a:outerShdw blurRad="40000" dist="23000" dir="5400000" rotWithShape="0">
                <a:srgbClr val="000000">
                  <a:alpha val="35000"/>
                </a:srgbClr>
              </a:outerShdw>
            </a:effectLst>
          </c:spPr>
          <c:marker>
            <c:symbol val="none"/>
          </c:marker>
          <c:cat>
            <c:numRef>
              <c:f>'68'!$J$7:$M$7</c:f>
              <c:numCache>
                <c:formatCode>General</c:formatCode>
                <c:ptCount val="4"/>
                <c:pt idx="0">
                  <c:v>2020</c:v>
                </c:pt>
                <c:pt idx="1">
                  <c:v>2021</c:v>
                </c:pt>
                <c:pt idx="2">
                  <c:v>2022</c:v>
                </c:pt>
                <c:pt idx="3">
                  <c:v>2023</c:v>
                </c:pt>
              </c:numCache>
            </c:numRef>
          </c:cat>
          <c:val>
            <c:numRef>
              <c:f>'68'!$J$11:$M$11</c:f>
              <c:numCache>
                <c:formatCode>#,##0.00</c:formatCode>
                <c:ptCount val="4"/>
                <c:pt idx="0">
                  <c:v>0.62140644434535686</c:v>
                </c:pt>
                <c:pt idx="1">
                  <c:v>0.7081271262830392</c:v>
                </c:pt>
                <c:pt idx="2">
                  <c:v>0.91408751950979827</c:v>
                </c:pt>
                <c:pt idx="3">
                  <c:v>0.9481291888501352</c:v>
                </c:pt>
              </c:numCache>
            </c:numRef>
          </c:val>
          <c:smooth val="0"/>
          <c:extLst>
            <c:ext xmlns:c16="http://schemas.microsoft.com/office/drawing/2014/chart" uri="{C3380CC4-5D6E-409C-BE32-E72D297353CC}">
              <c16:uniqueId val="{00000002-6C35-4A8F-94DD-96FF33E67214}"/>
            </c:ext>
          </c:extLst>
        </c:ser>
        <c:ser>
          <c:idx val="4"/>
          <c:order val="3"/>
          <c:tx>
            <c:v>TOTAL</c:v>
          </c:tx>
          <c:spPr>
            <a:ln w="31750" cap="rnd">
              <a:solidFill>
                <a:schemeClr val="accent5"/>
              </a:solidFill>
              <a:round/>
            </a:ln>
            <a:effectLst>
              <a:outerShdw blurRad="40000" dist="23000" dir="5400000" rotWithShape="0">
                <a:srgbClr val="000000">
                  <a:alpha val="35000"/>
                </a:srgbClr>
              </a:outerShdw>
            </a:effectLst>
          </c:spPr>
          <c:marker>
            <c:symbol val="none"/>
          </c:marker>
          <c:cat>
            <c:numRef>
              <c:f>'68'!$J$7:$M$7</c:f>
              <c:numCache>
                <c:formatCode>General</c:formatCode>
                <c:ptCount val="4"/>
                <c:pt idx="0">
                  <c:v>2020</c:v>
                </c:pt>
                <c:pt idx="1">
                  <c:v>2021</c:v>
                </c:pt>
                <c:pt idx="2">
                  <c:v>2022</c:v>
                </c:pt>
                <c:pt idx="3">
                  <c:v>2023</c:v>
                </c:pt>
              </c:numCache>
            </c:numRef>
          </c:cat>
          <c:val>
            <c:numRef>
              <c:f>'68'!$J$13:$M$13</c:f>
              <c:numCache>
                <c:formatCode>#,##0.00</c:formatCode>
                <c:ptCount val="4"/>
                <c:pt idx="0">
                  <c:v>0.65803589703775334</c:v>
                </c:pt>
                <c:pt idx="1">
                  <c:v>0.74913869612919903</c:v>
                </c:pt>
                <c:pt idx="2">
                  <c:v>1.1180300714882234</c:v>
                </c:pt>
                <c:pt idx="3">
                  <c:v>1.185760994007488</c:v>
                </c:pt>
              </c:numCache>
            </c:numRef>
          </c:val>
          <c:smooth val="0"/>
          <c:extLst>
            <c:ext xmlns:c16="http://schemas.microsoft.com/office/drawing/2014/chart" uri="{C3380CC4-5D6E-409C-BE32-E72D297353CC}">
              <c16:uniqueId val="{00000003-6C35-4A8F-94DD-96FF33E67214}"/>
            </c:ext>
          </c:extLst>
        </c:ser>
        <c:ser>
          <c:idx val="2"/>
          <c:order val="4"/>
          <c:tx>
            <c:v>ADULTO  M.</c:v>
          </c:tx>
          <c:spPr>
            <a:ln w="31750" cap="rnd">
              <a:solidFill>
                <a:schemeClr val="accent3"/>
              </a:solidFill>
              <a:round/>
            </a:ln>
            <a:effectLst>
              <a:outerShdw blurRad="40000" dist="23000" dir="5400000" rotWithShape="0">
                <a:srgbClr val="000000">
                  <a:alpha val="35000"/>
                </a:srgbClr>
              </a:outerShdw>
            </a:effectLst>
          </c:spPr>
          <c:marker>
            <c:symbol val="none"/>
          </c:marker>
          <c:cat>
            <c:numRef>
              <c:f>'68'!$J$7:$M$7</c:f>
              <c:numCache>
                <c:formatCode>General</c:formatCode>
                <c:ptCount val="4"/>
                <c:pt idx="0">
                  <c:v>2020</c:v>
                </c:pt>
                <c:pt idx="1">
                  <c:v>2021</c:v>
                </c:pt>
                <c:pt idx="2">
                  <c:v>2022</c:v>
                </c:pt>
                <c:pt idx="3">
                  <c:v>2023</c:v>
                </c:pt>
              </c:numCache>
            </c:numRef>
          </c:cat>
          <c:val>
            <c:numRef>
              <c:f>'68'!$J$12:$M$12</c:f>
              <c:numCache>
                <c:formatCode>#,##0.00</c:formatCode>
                <c:ptCount val="4"/>
                <c:pt idx="0">
                  <c:v>0.7901937503373091</c:v>
                </c:pt>
                <c:pt idx="1">
                  <c:v>0.84375647131911369</c:v>
                </c:pt>
                <c:pt idx="2">
                  <c:v>1.0465191366763529</c:v>
                </c:pt>
                <c:pt idx="3">
                  <c:v>1.2003759589232021</c:v>
                </c:pt>
              </c:numCache>
            </c:numRef>
          </c:val>
          <c:smooth val="0"/>
          <c:extLst>
            <c:ext xmlns:c16="http://schemas.microsoft.com/office/drawing/2014/chart" uri="{C3380CC4-5D6E-409C-BE32-E72D297353CC}">
              <c16:uniqueId val="{00000004-6C35-4A8F-94DD-96FF33E67214}"/>
            </c:ext>
          </c:extLst>
        </c:ser>
        <c:dLbls>
          <c:showLegendKey val="0"/>
          <c:showVal val="0"/>
          <c:showCatName val="0"/>
          <c:showSerName val="0"/>
          <c:showPercent val="0"/>
          <c:showBubbleSize val="0"/>
        </c:dLbls>
        <c:smooth val="0"/>
        <c:axId val="-1431521072"/>
        <c:axId val="-1431519984"/>
      </c:lineChart>
      <c:catAx>
        <c:axId val="-143152107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1519984"/>
        <c:crosses val="autoZero"/>
        <c:auto val="1"/>
        <c:lblAlgn val="ctr"/>
        <c:lblOffset val="100"/>
        <c:tickLblSkip val="1"/>
        <c:tickMarkSkip val="1"/>
        <c:noMultiLvlLbl val="0"/>
      </c:catAx>
      <c:valAx>
        <c:axId val="-1431519984"/>
        <c:scaling>
          <c:orientation val="minMax"/>
          <c:max val="2"/>
          <c:min val="0.46"/>
        </c:scaling>
        <c:delete val="0"/>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1521072"/>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orientation="landscape" horizontalDpi="300" verticalDpi="300"/>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CONS. MEDICAS DE URGENCIA HOSP. TIPO 2
 SERVICIO DE SALUD ACONCAGUA</a:t>
            </a:r>
          </a:p>
        </c:rich>
      </c:tx>
      <c:layout>
        <c:manualLayout>
          <c:xMode val="edge"/>
          <c:yMode val="edge"/>
          <c:x val="0.16666710411198601"/>
          <c:y val="3.968253968253968E-2"/>
        </c:manualLayout>
      </c:layout>
      <c:overlay val="0"/>
      <c:spPr>
        <a:noFill/>
        <a:ln w="25400">
          <a:noFill/>
        </a:ln>
      </c:sp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8100">
              <a:solidFill>
                <a:srgbClr val="FF0000"/>
              </a:solidFill>
              <a:prstDash val="solid"/>
            </a:ln>
          </c:spPr>
          <c:marker>
            <c:symbol val="none"/>
          </c:marker>
          <c:cat>
            <c:numRef>
              <c:f>'69'!$B$7:$H$7</c:f>
              <c:numCache>
                <c:formatCode>General</c:formatCode>
                <c:ptCount val="7"/>
                <c:pt idx="0">
                  <c:v>2017</c:v>
                </c:pt>
                <c:pt idx="1">
                  <c:v>2018</c:v>
                </c:pt>
                <c:pt idx="2">
                  <c:v>2019</c:v>
                </c:pt>
                <c:pt idx="3">
                  <c:v>2020</c:v>
                </c:pt>
                <c:pt idx="4">
                  <c:v>2021</c:v>
                </c:pt>
                <c:pt idx="5">
                  <c:v>2022</c:v>
                </c:pt>
                <c:pt idx="6">
                  <c:v>2023</c:v>
                </c:pt>
              </c:numCache>
            </c:numRef>
          </c:cat>
          <c:val>
            <c:numRef>
              <c:f>'69'!$B$8:$H$8</c:f>
              <c:numCache>
                <c:formatCode>#,##0</c:formatCode>
                <c:ptCount val="7"/>
                <c:pt idx="0">
                  <c:v>70255</c:v>
                </c:pt>
                <c:pt idx="1">
                  <c:v>66809</c:v>
                </c:pt>
                <c:pt idx="2">
                  <c:v>64708</c:v>
                </c:pt>
                <c:pt idx="3">
                  <c:v>46078</c:v>
                </c:pt>
                <c:pt idx="4">
                  <c:v>53900</c:v>
                </c:pt>
                <c:pt idx="5">
                  <c:v>72890</c:v>
                </c:pt>
                <c:pt idx="6">
                  <c:v>58850</c:v>
                </c:pt>
              </c:numCache>
            </c:numRef>
          </c:val>
          <c:smooth val="0"/>
          <c:extLst>
            <c:ext xmlns:c16="http://schemas.microsoft.com/office/drawing/2014/chart" uri="{C3380CC4-5D6E-409C-BE32-E72D297353CC}">
              <c16:uniqueId val="{00000000-0E86-441B-A68E-871B163FAFE4}"/>
            </c:ext>
          </c:extLst>
        </c:ser>
        <c:ser>
          <c:idx val="2"/>
          <c:order val="1"/>
          <c:tx>
            <c:v>H. LOS ANDES</c:v>
          </c:tx>
          <c:spPr>
            <a:ln w="38100">
              <a:solidFill>
                <a:srgbClr val="333399"/>
              </a:solidFill>
              <a:prstDash val="solid"/>
            </a:ln>
          </c:spPr>
          <c:marker>
            <c:symbol val="none"/>
          </c:marker>
          <c:cat>
            <c:numRef>
              <c:f>'69'!$B$7:$H$7</c:f>
              <c:numCache>
                <c:formatCode>General</c:formatCode>
                <c:ptCount val="7"/>
                <c:pt idx="0">
                  <c:v>2017</c:v>
                </c:pt>
                <c:pt idx="1">
                  <c:v>2018</c:v>
                </c:pt>
                <c:pt idx="2">
                  <c:v>2019</c:v>
                </c:pt>
                <c:pt idx="3">
                  <c:v>2020</c:v>
                </c:pt>
                <c:pt idx="4">
                  <c:v>2021</c:v>
                </c:pt>
                <c:pt idx="5">
                  <c:v>2022</c:v>
                </c:pt>
                <c:pt idx="6">
                  <c:v>2023</c:v>
                </c:pt>
              </c:numCache>
            </c:numRef>
          </c:cat>
          <c:val>
            <c:numRef>
              <c:f>'69'!$B$9:$H$9</c:f>
              <c:numCache>
                <c:formatCode>#,##0</c:formatCode>
                <c:ptCount val="7"/>
                <c:pt idx="0">
                  <c:v>81437</c:v>
                </c:pt>
                <c:pt idx="1">
                  <c:v>74629</c:v>
                </c:pt>
                <c:pt idx="2">
                  <c:v>73920</c:v>
                </c:pt>
                <c:pt idx="3">
                  <c:v>49680</c:v>
                </c:pt>
                <c:pt idx="4">
                  <c:v>53935</c:v>
                </c:pt>
                <c:pt idx="5">
                  <c:v>69128</c:v>
                </c:pt>
                <c:pt idx="6">
                  <c:v>62909</c:v>
                </c:pt>
              </c:numCache>
            </c:numRef>
          </c:val>
          <c:smooth val="0"/>
          <c:extLst>
            <c:ext xmlns:c16="http://schemas.microsoft.com/office/drawing/2014/chart" uri="{C3380CC4-5D6E-409C-BE32-E72D297353CC}">
              <c16:uniqueId val="{00000001-0E86-441B-A68E-871B163FAFE4}"/>
            </c:ext>
          </c:extLst>
        </c:ser>
        <c:dLbls>
          <c:showLegendKey val="0"/>
          <c:showVal val="0"/>
          <c:showCatName val="0"/>
          <c:showSerName val="0"/>
          <c:showPercent val="0"/>
          <c:showBubbleSize val="0"/>
        </c:dLbls>
        <c:smooth val="0"/>
        <c:axId val="-1431505296"/>
        <c:axId val="-1431496592"/>
      </c:lineChart>
      <c:catAx>
        <c:axId val="-1431505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CL"/>
          </a:p>
        </c:txPr>
        <c:crossAx val="-1431496592"/>
        <c:crosses val="autoZero"/>
        <c:auto val="0"/>
        <c:lblAlgn val="ctr"/>
        <c:lblOffset val="100"/>
        <c:tickLblSkip val="1"/>
        <c:tickMarkSkip val="1"/>
        <c:noMultiLvlLbl val="0"/>
      </c:catAx>
      <c:valAx>
        <c:axId val="-1431496592"/>
        <c:scaling>
          <c:orientation val="minMax"/>
          <c:max val="130000"/>
          <c:min val="70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1431505296"/>
        <c:crosses val="autoZero"/>
        <c:crossBetween val="between"/>
        <c:majorUnit val="10000"/>
      </c:valAx>
      <c:spPr>
        <a:noFill/>
        <a:ln w="25400">
          <a:noFill/>
        </a:ln>
      </c:spPr>
    </c:plotArea>
    <c:legend>
      <c:legendPos val="b"/>
      <c:layout>
        <c:manualLayout>
          <c:xMode val="edge"/>
          <c:yMode val="edge"/>
          <c:x val="0.25416710411198579"/>
          <c:y val="0.92063867016622924"/>
          <c:w val="0.50208442694663158"/>
          <c:h val="6.7460734074907533E-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E3E3E3"/>
        </a:gs>
        <a:gs pos="100000">
          <a:srgbClr val="E3E3E3">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80"/>
                </a:solidFill>
                <a:latin typeface="Arial"/>
                <a:ea typeface="Arial"/>
                <a:cs typeface="Arial"/>
              </a:defRPr>
            </a:pPr>
            <a:r>
              <a:rPr lang="es-ES"/>
              <a:t>PERFIL DE  FECUNDIDAD  
SERVICIO DE SALUD  ACONCAGUA</a:t>
            </a:r>
          </a:p>
        </c:rich>
      </c:tx>
      <c:layout>
        <c:manualLayout>
          <c:xMode val="edge"/>
          <c:yMode val="edge"/>
          <c:x val="0.20911016557713938"/>
          <c:y val="4.1841004184100396E-2"/>
        </c:manualLayout>
      </c:layout>
      <c:overlay val="0"/>
      <c:spPr>
        <a:solidFill>
          <a:srgbClr val="E3E3E3"/>
        </a:solidFill>
        <a:ln w="25400">
          <a:noFill/>
        </a:ln>
      </c:sp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38100">
              <a:solidFill>
                <a:srgbClr val="000080"/>
              </a:solidFill>
              <a:prstDash val="solid"/>
            </a:ln>
          </c:spPr>
          <c:marker>
            <c:symbol val="none"/>
          </c:marker>
          <c:cat>
            <c:numRef>
              <c:f>'13'!$H$9:$H$16</c:f>
              <c:numCache>
                <c:formatCode>General</c:formatCode>
                <c:ptCount val="8"/>
                <c:pt idx="0">
                  <c:v>2014</c:v>
                </c:pt>
                <c:pt idx="1">
                  <c:v>2015</c:v>
                </c:pt>
                <c:pt idx="2">
                  <c:v>2016</c:v>
                </c:pt>
                <c:pt idx="3">
                  <c:v>2017</c:v>
                </c:pt>
                <c:pt idx="4">
                  <c:v>2018</c:v>
                </c:pt>
                <c:pt idx="5">
                  <c:v>2019</c:v>
                </c:pt>
                <c:pt idx="6">
                  <c:v>2020</c:v>
                </c:pt>
                <c:pt idx="7">
                  <c:v>2021</c:v>
                </c:pt>
              </c:numCache>
            </c:numRef>
          </c:cat>
          <c:val>
            <c:numRef>
              <c:f>'13'!$I$9:$I$16</c:f>
              <c:numCache>
                <c:formatCode>0.0</c:formatCode>
                <c:ptCount val="8"/>
                <c:pt idx="0">
                  <c:v>51.7</c:v>
                </c:pt>
                <c:pt idx="1">
                  <c:v>54.8</c:v>
                </c:pt>
                <c:pt idx="2">
                  <c:v>52.7</c:v>
                </c:pt>
                <c:pt idx="3">
                  <c:v>47.8</c:v>
                </c:pt>
                <c:pt idx="4">
                  <c:v>43.342088216429964</c:v>
                </c:pt>
                <c:pt idx="5">
                  <c:v>45.068171838640112</c:v>
                </c:pt>
                <c:pt idx="6">
                  <c:v>42</c:v>
                </c:pt>
                <c:pt idx="7">
                  <c:v>37.631588201976889</c:v>
                </c:pt>
              </c:numCache>
            </c:numRef>
          </c:val>
          <c:smooth val="0"/>
          <c:extLst>
            <c:ext xmlns:c16="http://schemas.microsoft.com/office/drawing/2014/chart" uri="{C3380CC4-5D6E-409C-BE32-E72D297353CC}">
              <c16:uniqueId val="{00000000-94AC-48EA-A79F-E5ED22865ED7}"/>
            </c:ext>
          </c:extLst>
        </c:ser>
        <c:dLbls>
          <c:showLegendKey val="0"/>
          <c:showVal val="0"/>
          <c:showCatName val="0"/>
          <c:showSerName val="0"/>
          <c:showPercent val="0"/>
          <c:showBubbleSize val="0"/>
        </c:dLbls>
        <c:smooth val="0"/>
        <c:axId val="-1444139152"/>
        <c:axId val="-1444138608"/>
      </c:lineChart>
      <c:catAx>
        <c:axId val="-1444139152"/>
        <c:scaling>
          <c:orientation val="minMax"/>
        </c:scaling>
        <c:delete val="0"/>
        <c:axPos val="b"/>
        <c:title>
          <c:tx>
            <c:rich>
              <a:bodyPr/>
              <a:lstStyle/>
              <a:p>
                <a:pPr>
                  <a:defRPr sz="575" b="1" i="0" u="none" strike="noStrike" baseline="0">
                    <a:solidFill>
                      <a:srgbClr val="000080"/>
                    </a:solidFill>
                    <a:latin typeface="Arial"/>
                    <a:ea typeface="Arial"/>
                    <a:cs typeface="Arial"/>
                  </a:defRPr>
                </a:pPr>
                <a:r>
                  <a:rPr lang="es-ES"/>
                  <a:t>Tasa o/oo</a:t>
                </a:r>
              </a:p>
            </c:rich>
          </c:tx>
          <c:layout>
            <c:manualLayout>
              <c:xMode val="edge"/>
              <c:yMode val="edge"/>
              <c:x val="2.6915113871635612E-2"/>
              <c:y val="0.1548117154811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1444138608"/>
        <c:crosses val="autoZero"/>
        <c:auto val="1"/>
        <c:lblAlgn val="ctr"/>
        <c:lblOffset val="100"/>
        <c:tickLblSkip val="1"/>
        <c:tickMarkSkip val="1"/>
        <c:noMultiLvlLbl val="0"/>
      </c:catAx>
      <c:valAx>
        <c:axId val="-1444138608"/>
        <c:scaling>
          <c:orientation val="minMax"/>
          <c:max val="60"/>
          <c:min val="48"/>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25" b="1" i="1" u="none" strike="noStrike" baseline="0">
                <a:solidFill>
                  <a:srgbClr val="000080"/>
                </a:solidFill>
                <a:latin typeface="Arial"/>
                <a:ea typeface="Arial"/>
                <a:cs typeface="Arial"/>
              </a:defRPr>
            </a:pPr>
            <a:endParaRPr lang="es-CL"/>
          </a:p>
        </c:txPr>
        <c:crossAx val="-1444139152"/>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4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s-ES"/>
              <a:t>PORCENTAJE DE CONS. SEGUN ESTABLECIMIENTOS
SERVICIO DE SALUD ACONCAGUA
AÑO 2013</a:t>
            </a:r>
          </a:p>
        </c:rich>
      </c:tx>
      <c:layout>
        <c:manualLayout>
          <c:xMode val="edge"/>
          <c:yMode val="edge"/>
          <c:x val="0.11464990443073596"/>
          <c:y val="3.3426183844011144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spPr>
            <a:solidFill>
              <a:srgbClr val="69FFFF"/>
            </a:solidFill>
            <a:ln w="12700">
              <a:solidFill>
                <a:srgbClr val="000000"/>
              </a:solidFill>
              <a:prstDash val="solid"/>
            </a:ln>
          </c:spPr>
          <c:explosion val="25"/>
          <c:dLbls>
            <c:dLbl>
              <c:idx val="0"/>
              <c:layout>
                <c:manualLayout>
                  <c:x val="5.2837199979336837E-3"/>
                  <c:y val="3.0545624693849079E-3"/>
                </c:manualLayout>
              </c:layout>
              <c:tx>
                <c:rich>
                  <a:bodyPr/>
                  <a:lstStyle/>
                  <a:p>
                    <a:pPr>
                      <a:defRPr sz="700" b="1" i="0" u="none" strike="noStrike" baseline="0">
                        <a:solidFill>
                          <a:srgbClr val="FFFFFF"/>
                        </a:solidFill>
                        <a:latin typeface="Arial"/>
                        <a:ea typeface="Arial"/>
                        <a:cs typeface="Arial"/>
                      </a:defRPr>
                    </a:pPr>
                    <a:r>
                      <a:rPr lang="en-US"/>
                      <a:t>H.SAN  FELIPE
25%</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830-4CBF-962B-0870715F5687}"/>
                </c:ext>
              </c:extLst>
            </c:dLbl>
            <c:dLbl>
              <c:idx val="1"/>
              <c:layout>
                <c:manualLayout>
                  <c:x val="4.6862007545592034E-2"/>
                  <c:y val="-9.9814152757367727E-2"/>
                </c:manualLayout>
              </c:layout>
              <c:tx>
                <c:rich>
                  <a:bodyPr/>
                  <a:lstStyle/>
                  <a:p>
                    <a:pPr>
                      <a:defRPr sz="700" b="1" i="0" u="none" strike="noStrike" baseline="0">
                        <a:solidFill>
                          <a:srgbClr val="FFFFFF"/>
                        </a:solidFill>
                        <a:latin typeface="Arial"/>
                        <a:ea typeface="Arial"/>
                        <a:cs typeface="Arial"/>
                      </a:defRPr>
                    </a:pPr>
                    <a:r>
                      <a:rPr lang="en-US"/>
                      <a:t>H.LOS ANDES
29%</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830-4CBF-962B-0870715F5687}"/>
                </c:ext>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830-4CBF-962B-0870715F5687}"/>
                </c:ext>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830-4CBF-962B-0870715F5687}"/>
                </c:ext>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830-4CBF-962B-0870715F5687}"/>
                </c:ext>
              </c:extLst>
            </c:dLbl>
            <c:numFmt formatCode="0%" sourceLinked="0"/>
            <c:spPr>
              <a:solidFill>
                <a:srgbClr val="FF0000"/>
              </a:solidFill>
              <a:ln w="25400">
                <a:noFill/>
              </a:ln>
            </c:spPr>
            <c:txPr>
              <a:bodyPr/>
              <a:lstStyle/>
              <a:p>
                <a:pPr algn="ctr" rtl="0">
                  <a:defRPr sz="70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'69'!$H$8:$H$15</c:f>
              <c:numCache>
                <c:formatCode>#,##0</c:formatCode>
                <c:ptCount val="8"/>
                <c:pt idx="0">
                  <c:v>58850</c:v>
                </c:pt>
                <c:pt idx="1">
                  <c:v>62909</c:v>
                </c:pt>
                <c:pt idx="2">
                  <c:v>36940</c:v>
                </c:pt>
                <c:pt idx="3">
                  <c:v>5398</c:v>
                </c:pt>
                <c:pt idx="4">
                  <c:v>20354</c:v>
                </c:pt>
                <c:pt idx="5">
                  <c:v>23506</c:v>
                </c:pt>
                <c:pt idx="6">
                  <c:v>52690</c:v>
                </c:pt>
                <c:pt idx="7">
                  <c:v>84247</c:v>
                </c:pt>
              </c:numCache>
            </c:numRef>
          </c:val>
          <c:extLst>
            <c:ext xmlns:c16="http://schemas.microsoft.com/office/drawing/2014/chart" uri="{C3380CC4-5D6E-409C-BE32-E72D297353CC}">
              <c16:uniqueId val="{00000005-E830-4CBF-962B-0870715F5687}"/>
            </c:ext>
          </c:extLst>
        </c:ser>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s-ES" sz="1200"/>
              <a:t>TENDENCIA CONS. MEDICAS DE URGENCIA HOSP. TIPO 2
 SERVICIO DE SALUD ACONCAGUA</a:t>
            </a:r>
          </a:p>
        </c:rich>
      </c:tx>
      <c:layout>
        <c:manualLayout>
          <c:xMode val="edge"/>
          <c:yMode val="edge"/>
          <c:x val="0.16666710411198601"/>
          <c:y val="3.96825396825396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1750" cap="rnd">
              <a:solidFill>
                <a:schemeClr val="accent2"/>
              </a:solidFill>
              <a:round/>
            </a:ln>
            <a:effectLst>
              <a:outerShdw blurRad="40000" dist="23000" dir="5400000" rotWithShape="0">
                <a:srgbClr val="000000">
                  <a:alpha val="35000"/>
                </a:srgbClr>
              </a:outerShdw>
            </a:effectLst>
          </c:spPr>
          <c:marker>
            <c:symbol val="none"/>
          </c:marker>
          <c:cat>
            <c:numRef>
              <c:f>'69'!$B$7:$H$7</c:f>
              <c:numCache>
                <c:formatCode>General</c:formatCode>
                <c:ptCount val="7"/>
                <c:pt idx="0">
                  <c:v>2017</c:v>
                </c:pt>
                <c:pt idx="1">
                  <c:v>2018</c:v>
                </c:pt>
                <c:pt idx="2">
                  <c:v>2019</c:v>
                </c:pt>
                <c:pt idx="3">
                  <c:v>2020</c:v>
                </c:pt>
                <c:pt idx="4">
                  <c:v>2021</c:v>
                </c:pt>
                <c:pt idx="5">
                  <c:v>2022</c:v>
                </c:pt>
                <c:pt idx="6">
                  <c:v>2023</c:v>
                </c:pt>
              </c:numCache>
            </c:numRef>
          </c:cat>
          <c:val>
            <c:numRef>
              <c:f>'69'!$B$8:$H$8</c:f>
              <c:numCache>
                <c:formatCode>#,##0</c:formatCode>
                <c:ptCount val="7"/>
                <c:pt idx="0">
                  <c:v>70255</c:v>
                </c:pt>
                <c:pt idx="1">
                  <c:v>66809</c:v>
                </c:pt>
                <c:pt idx="2">
                  <c:v>64708</c:v>
                </c:pt>
                <c:pt idx="3">
                  <c:v>46078</c:v>
                </c:pt>
                <c:pt idx="4">
                  <c:v>53900</c:v>
                </c:pt>
                <c:pt idx="5">
                  <c:v>72890</c:v>
                </c:pt>
                <c:pt idx="6">
                  <c:v>58850</c:v>
                </c:pt>
              </c:numCache>
            </c:numRef>
          </c:val>
          <c:smooth val="0"/>
          <c:extLst>
            <c:ext xmlns:c16="http://schemas.microsoft.com/office/drawing/2014/chart" uri="{C3380CC4-5D6E-409C-BE32-E72D297353CC}">
              <c16:uniqueId val="{00000000-B178-4A0C-A358-DE4B6C18CF5B}"/>
            </c:ext>
          </c:extLst>
        </c:ser>
        <c:ser>
          <c:idx val="2"/>
          <c:order val="1"/>
          <c:tx>
            <c:v>H. LOS ANDES</c:v>
          </c:tx>
          <c:spPr>
            <a:ln w="31750" cap="rnd">
              <a:solidFill>
                <a:schemeClr val="accent3"/>
              </a:solidFill>
              <a:round/>
            </a:ln>
            <a:effectLst>
              <a:outerShdw blurRad="40000" dist="23000" dir="5400000" rotWithShape="0">
                <a:srgbClr val="000000">
                  <a:alpha val="35000"/>
                </a:srgbClr>
              </a:outerShdw>
            </a:effectLst>
          </c:spPr>
          <c:marker>
            <c:symbol val="none"/>
          </c:marker>
          <c:cat>
            <c:numRef>
              <c:f>'69'!$B$7:$H$7</c:f>
              <c:numCache>
                <c:formatCode>General</c:formatCode>
                <c:ptCount val="7"/>
                <c:pt idx="0">
                  <c:v>2017</c:v>
                </c:pt>
                <c:pt idx="1">
                  <c:v>2018</c:v>
                </c:pt>
                <c:pt idx="2">
                  <c:v>2019</c:v>
                </c:pt>
                <c:pt idx="3">
                  <c:v>2020</c:v>
                </c:pt>
                <c:pt idx="4">
                  <c:v>2021</c:v>
                </c:pt>
                <c:pt idx="5">
                  <c:v>2022</c:v>
                </c:pt>
                <c:pt idx="6">
                  <c:v>2023</c:v>
                </c:pt>
              </c:numCache>
            </c:numRef>
          </c:cat>
          <c:val>
            <c:numRef>
              <c:f>'69'!$B$9:$H$9</c:f>
              <c:numCache>
                <c:formatCode>#,##0</c:formatCode>
                <c:ptCount val="7"/>
                <c:pt idx="0">
                  <c:v>81437</c:v>
                </c:pt>
                <c:pt idx="1">
                  <c:v>74629</c:v>
                </c:pt>
                <c:pt idx="2">
                  <c:v>73920</c:v>
                </c:pt>
                <c:pt idx="3">
                  <c:v>49680</c:v>
                </c:pt>
                <c:pt idx="4">
                  <c:v>53935</c:v>
                </c:pt>
                <c:pt idx="5">
                  <c:v>69128</c:v>
                </c:pt>
                <c:pt idx="6">
                  <c:v>62909</c:v>
                </c:pt>
              </c:numCache>
            </c:numRef>
          </c:val>
          <c:smooth val="0"/>
          <c:extLst>
            <c:ext xmlns:c16="http://schemas.microsoft.com/office/drawing/2014/chart" uri="{C3380CC4-5D6E-409C-BE32-E72D297353CC}">
              <c16:uniqueId val="{00000001-B178-4A0C-A358-DE4B6C18CF5B}"/>
            </c:ext>
          </c:extLst>
        </c:ser>
        <c:dLbls>
          <c:showLegendKey val="0"/>
          <c:showVal val="0"/>
          <c:showCatName val="0"/>
          <c:showSerName val="0"/>
          <c:showPercent val="0"/>
          <c:showBubbleSize val="0"/>
        </c:dLbls>
        <c:smooth val="0"/>
        <c:axId val="-1431503120"/>
        <c:axId val="-1431518352"/>
      </c:lineChart>
      <c:catAx>
        <c:axId val="-143150312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1518352"/>
        <c:crosses val="autoZero"/>
        <c:auto val="0"/>
        <c:lblAlgn val="ctr"/>
        <c:lblOffset val="100"/>
        <c:tickLblSkip val="1"/>
        <c:tickMarkSkip val="1"/>
        <c:noMultiLvlLbl val="0"/>
      </c:catAx>
      <c:valAx>
        <c:axId val="-1431518352"/>
        <c:scaling>
          <c:orientation val="minMax"/>
          <c:max val="100000"/>
          <c:min val="4500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1503120"/>
        <c:crosses val="autoZero"/>
        <c:crossBetween val="between"/>
        <c:majorUnit val="1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s-ES" sz="1200"/>
              <a:t>PORCENTAJE DE CONS. URGENCIA SEGUN ESTABLECIMIENTOS
SERVICIO DE SALUD ACONCAGUA
AÑO 2022</a:t>
            </a:r>
          </a:p>
        </c:rich>
      </c:tx>
      <c:layout>
        <c:manualLayout>
          <c:xMode val="edge"/>
          <c:yMode val="edge"/>
          <c:x val="8.7494480705186783E-2"/>
          <c:y val="1.4856198530739214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L"/>
        </a:p>
      </c:tx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explosion val="25"/>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0120-42AE-BB5F-39D889F88AC5}"/>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0120-42AE-BB5F-39D889F88AC5}"/>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0120-42AE-BB5F-39D889F88AC5}"/>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0120-42AE-BB5F-39D889F88AC5}"/>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0120-42AE-BB5F-39D889F88AC5}"/>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0120-42AE-BB5F-39D889F88AC5}"/>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120-42AE-BB5F-39D889F88AC5}"/>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0120-42AE-BB5F-39D889F88AC5}"/>
              </c:ext>
            </c:extLst>
          </c:dPt>
          <c:dLbls>
            <c:dLbl>
              <c:idx val="0"/>
              <c:layout>
                <c:manualLayout>
                  <c:x val="5.2837199979336837E-3"/>
                  <c:y val="3.0545624693849079E-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H.SAN  FELIPE
22,6%</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20-42AE-BB5F-39D889F88AC5}"/>
                </c:ext>
              </c:extLst>
            </c:dLbl>
            <c:dLbl>
              <c:idx val="1"/>
              <c:layout>
                <c:manualLayout>
                  <c:x val="4.6862007545592034E-2"/>
                  <c:y val="-9.9814152757367727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r>
                      <a:rPr lang="en-US"/>
                      <a:t>H.LOS ANDES
21,4%</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120-42AE-BB5F-39D889F88AC5}"/>
                </c:ext>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120-42AE-BB5F-39D889F88AC5}"/>
                </c:ext>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120-42AE-BB5F-39D889F88AC5}"/>
                </c:ext>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120-42AE-BB5F-39D889F88AC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'69'!$H$8:$H$15</c:f>
              <c:numCache>
                <c:formatCode>#,##0</c:formatCode>
                <c:ptCount val="8"/>
                <c:pt idx="0">
                  <c:v>58850</c:v>
                </c:pt>
                <c:pt idx="1">
                  <c:v>62909</c:v>
                </c:pt>
                <c:pt idx="2">
                  <c:v>36940</c:v>
                </c:pt>
                <c:pt idx="3">
                  <c:v>5398</c:v>
                </c:pt>
                <c:pt idx="4">
                  <c:v>20354</c:v>
                </c:pt>
                <c:pt idx="5">
                  <c:v>23506</c:v>
                </c:pt>
                <c:pt idx="6">
                  <c:v>52690</c:v>
                </c:pt>
                <c:pt idx="7">
                  <c:v>84247</c:v>
                </c:pt>
              </c:numCache>
            </c:numRef>
          </c:val>
          <c:extLst>
            <c:ext xmlns:c16="http://schemas.microsoft.com/office/drawing/2014/chart" uri="{C3380CC4-5D6E-409C-BE32-E72D297353CC}">
              <c16:uniqueId val="{00000005-230B-4775-9613-367F356DD887}"/>
            </c:ext>
          </c:extLst>
        </c:ser>
        <c:dLbls>
          <c:showLegendKey val="0"/>
          <c:showVal val="0"/>
          <c:showCatName val="1"/>
          <c:showSerName val="0"/>
          <c:showPercent val="1"/>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898360705188562"/>
          <c:y val="0.30894390705430996"/>
          <c:w val="0.46332104563958648"/>
          <c:h val="0.38482486668169508"/>
        </c:manualLayout>
      </c:layout>
      <c:pie3DChart>
        <c:varyColors val="0"/>
        <c:ser>
          <c:idx val="0"/>
          <c:order val="0"/>
          <c:spPr>
            <a:solidFill>
              <a:srgbClr val="FF0000"/>
            </a:solidFill>
            <a:ln w="12700">
              <a:solidFill>
                <a:srgbClr val="000000"/>
              </a:solidFill>
              <a:prstDash val="solid"/>
            </a:ln>
          </c:spPr>
          <c:dPt>
            <c:idx val="1"/>
            <c:bubble3D val="0"/>
            <c:spPr>
              <a:solidFill>
                <a:srgbClr val="FFFF00"/>
              </a:solidFill>
              <a:ln w="12700">
                <a:solidFill>
                  <a:srgbClr val="000000"/>
                </a:solidFill>
                <a:prstDash val="solid"/>
              </a:ln>
            </c:spPr>
            <c:extLst>
              <c:ext xmlns:c16="http://schemas.microsoft.com/office/drawing/2014/chart" uri="{C3380CC4-5D6E-409C-BE32-E72D297353CC}">
                <c16:uniqueId val="{00000001-2E94-4765-B81A-58CD9639B421}"/>
              </c:ext>
            </c:extLst>
          </c:dPt>
          <c:dPt>
            <c:idx val="2"/>
            <c:bubble3D val="0"/>
            <c:spPr>
              <a:solidFill>
                <a:srgbClr val="3366FF"/>
              </a:solidFill>
              <a:ln w="12700">
                <a:solidFill>
                  <a:srgbClr val="000000"/>
                </a:solidFill>
                <a:prstDash val="solid"/>
              </a:ln>
            </c:spPr>
            <c:extLst>
              <c:ext xmlns:c16="http://schemas.microsoft.com/office/drawing/2014/chart" uri="{C3380CC4-5D6E-409C-BE32-E72D297353CC}">
                <c16:uniqueId val="{00000003-2E94-4765-B81A-58CD9639B421}"/>
              </c:ext>
            </c:extLst>
          </c:dPt>
          <c:dLbls>
            <c:dLbl>
              <c:idx val="0"/>
              <c:layout>
                <c:manualLayout>
                  <c:x val="5.9762721857258158E-2"/>
                  <c:y val="-0.17909885132582842"/>
                </c:manualLayout>
              </c:layout>
              <c:tx>
                <c:rich>
                  <a:bodyPr/>
                  <a:lstStyle/>
                  <a:p>
                    <a:pPr>
                      <a:defRPr sz="800" b="1" i="0" u="none" strike="noStrike" baseline="0">
                        <a:solidFill>
                          <a:srgbClr val="FF0000"/>
                        </a:solidFill>
                        <a:latin typeface="Arial"/>
                        <a:ea typeface="Arial"/>
                        <a:cs typeface="Arial"/>
                      </a:defRPr>
                    </a:pPr>
                    <a:r>
                      <a:rPr lang="en-US"/>
                      <a:t>MAYOR  NO AMBULATORIAS
47,7%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E94-4765-B81A-58CD9639B421}"/>
                </c:ext>
              </c:extLst>
            </c:dLbl>
            <c:dLbl>
              <c:idx val="1"/>
              <c:layout>
                <c:manualLayout>
                  <c:x val="4.2898356568734405E-2"/>
                  <c:y val="0.10165526757965852"/>
                </c:manualLayout>
              </c:layout>
              <c:tx>
                <c:rich>
                  <a:bodyPr/>
                  <a:lstStyle/>
                  <a:p>
                    <a:pPr>
                      <a:defRPr sz="800" b="1" i="0" u="none" strike="noStrike" baseline="0">
                        <a:solidFill>
                          <a:srgbClr val="FF0000"/>
                        </a:solidFill>
                        <a:latin typeface="Arial"/>
                        <a:ea typeface="Arial"/>
                        <a:cs typeface="Arial"/>
                      </a:defRPr>
                    </a:pPr>
                    <a:r>
                      <a:rPr lang="en-US"/>
                      <a:t>MAYOR AMBULATORIAS
7,6%</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E94-4765-B81A-58CD9639B421}"/>
                </c:ext>
              </c:extLst>
            </c:dLbl>
            <c:dLbl>
              <c:idx val="2"/>
              <c:layout>
                <c:manualLayout>
                  <c:x val="-9.3993287291149585E-2"/>
                  <c:y val="-0.19150753935700726"/>
                </c:manualLayout>
              </c:layout>
              <c:tx>
                <c:rich>
                  <a:bodyPr/>
                  <a:lstStyle/>
                  <a:p>
                    <a:pPr>
                      <a:defRPr sz="1850" b="0" i="0" u="none" strike="noStrike" baseline="0">
                        <a:solidFill>
                          <a:srgbClr val="000000"/>
                        </a:solidFill>
                        <a:latin typeface="Arial"/>
                        <a:ea typeface="Arial"/>
                        <a:cs typeface="Arial"/>
                      </a:defRPr>
                    </a:pPr>
                    <a:r>
                      <a:rPr lang="en-US" sz="1075" b="1" i="0" strike="noStrike">
                        <a:solidFill>
                          <a:srgbClr val="FF0000"/>
                        </a:solidFill>
                        <a:latin typeface="Arial"/>
                        <a:cs typeface="Arial"/>
                      </a:rPr>
                      <a:t> </a:t>
                    </a:r>
                    <a:r>
                      <a:rPr lang="en-US" sz="925" b="1" i="0" strike="noStrike">
                        <a:solidFill>
                          <a:srgbClr val="FF0000"/>
                        </a:solidFill>
                        <a:latin typeface="Arial"/>
                        <a:cs typeface="Arial"/>
                      </a:rPr>
                      <a:t>MENORES</a:t>
                    </a:r>
                  </a:p>
                  <a:p>
                    <a:pPr>
                      <a:defRPr sz="1850" b="0" i="0" u="none" strike="noStrike" baseline="0">
                        <a:solidFill>
                          <a:srgbClr val="000000"/>
                        </a:solidFill>
                        <a:latin typeface="Arial"/>
                        <a:ea typeface="Arial"/>
                        <a:cs typeface="Arial"/>
                      </a:defRPr>
                    </a:pPr>
                    <a:r>
                      <a:rPr lang="en-US" sz="925" b="1" i="0" strike="noStrike">
                        <a:solidFill>
                          <a:srgbClr val="FF0000"/>
                        </a:solidFill>
                        <a:latin typeface="Arial"/>
                        <a:cs typeface="Arial"/>
                      </a:rPr>
                      <a:t>44,7%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E94-4765-B81A-58CD9639B421}"/>
                </c:ext>
              </c:extLst>
            </c:dLbl>
            <c:numFmt formatCode="0%" sourceLinked="0"/>
            <c:spPr>
              <a:solidFill>
                <a:srgbClr val="C0C0C0"/>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'70'!$B$13:$B$15</c:f>
              <c:strCache>
                <c:ptCount val="3"/>
                <c:pt idx="0">
                  <c:v>NO AMBULATORIAS  MAYORES</c:v>
                </c:pt>
                <c:pt idx="1">
                  <c:v>MAYOR AMBULATORIAS</c:v>
                </c:pt>
                <c:pt idx="2">
                  <c:v> MENORES</c:v>
                </c:pt>
              </c:strCache>
            </c:strRef>
          </c:cat>
          <c:val>
            <c:numRef>
              <c:f>'70'!$J$13:$J$15</c:f>
              <c:numCache>
                <c:formatCode>#,##0</c:formatCode>
                <c:ptCount val="3"/>
                <c:pt idx="0">
                  <c:v>9398</c:v>
                </c:pt>
                <c:pt idx="1">
                  <c:v>3647</c:v>
                </c:pt>
                <c:pt idx="2">
                  <c:v>8173</c:v>
                </c:pt>
              </c:numCache>
            </c:numRef>
          </c:val>
          <c:extLst>
            <c:ext xmlns:c16="http://schemas.microsoft.com/office/drawing/2014/chart" uri="{C3380CC4-5D6E-409C-BE32-E72D297353CC}">
              <c16:uniqueId val="{00000005-2E94-4765-B81A-58CD9639B421}"/>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perspective val="0"/>
    </c:view3D>
    <c:floor>
      <c:thickness val="0"/>
    </c:floor>
    <c:sideWall>
      <c:thickness val="0"/>
    </c:sideWall>
    <c:backWall>
      <c:thickness val="0"/>
    </c:backWall>
    <c:plotArea>
      <c:layout>
        <c:manualLayout>
          <c:layoutTarget val="inner"/>
          <c:xMode val="edge"/>
          <c:yMode val="edge"/>
          <c:x val="0.22987012987012986"/>
          <c:y val="0.26685393258426982"/>
          <c:w val="0.54155844155844168"/>
          <c:h val="0.46629213483146065"/>
        </c:manualLayout>
      </c:layout>
      <c:pie3DChart>
        <c:varyColors val="1"/>
        <c:ser>
          <c:idx val="0"/>
          <c:order val="0"/>
          <c:tx>
            <c:v>Electivas</c:v>
          </c:tx>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14FA-4E24-85AD-9899E9824AB8}"/>
              </c:ext>
            </c:extLst>
          </c:dPt>
          <c:dLbls>
            <c:dLbl>
              <c:idx val="0"/>
              <c:layout>
                <c:manualLayout>
                  <c:x val="0.15036056856529986"/>
                  <c:y val="-0.3942425314813176"/>
                </c:manualLayout>
              </c:layout>
              <c:tx>
                <c:rich>
                  <a:bodyPr/>
                  <a:lstStyle/>
                  <a:p>
                    <a:pPr>
                      <a:defRPr sz="1050" b="1" i="0" u="none" strike="noStrike" baseline="0">
                        <a:solidFill>
                          <a:srgbClr val="FF0000"/>
                        </a:solidFill>
                        <a:latin typeface="Arial"/>
                        <a:ea typeface="Arial"/>
                        <a:cs typeface="Arial"/>
                      </a:defRPr>
                    </a:pPr>
                    <a:r>
                      <a:rPr lang="en-US"/>
                      <a:t>ELECTIVAS
83,9%</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4FA-4E24-85AD-9899E9824AB8}"/>
                </c:ext>
              </c:extLst>
            </c:dLbl>
            <c:dLbl>
              <c:idx val="1"/>
              <c:layout>
                <c:manualLayout>
                  <c:x val="-2.9490677301700952E-2"/>
                  <c:y val="-0.12137308679111752"/>
                </c:manualLayout>
              </c:layout>
              <c:tx>
                <c:rich>
                  <a:bodyPr/>
                  <a:lstStyle/>
                  <a:p>
                    <a:pPr>
                      <a:defRPr sz="1200" b="1" i="0" u="none" strike="noStrike" baseline="0">
                        <a:solidFill>
                          <a:srgbClr val="FF0000"/>
                        </a:solidFill>
                        <a:latin typeface="Arial"/>
                        <a:ea typeface="Arial"/>
                        <a:cs typeface="Arial"/>
                      </a:defRPr>
                    </a:pPr>
                    <a:r>
                      <a:rPr lang="en-US"/>
                      <a:t>URGENCIAS
16,1%</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4FA-4E24-85AD-9899E9824AB8}"/>
                </c:ext>
              </c:extLst>
            </c:dLbl>
            <c:dLbl>
              <c:idx val="2"/>
              <c:delete val="1"/>
              <c:extLst>
                <c:ext xmlns:c15="http://schemas.microsoft.com/office/drawing/2012/chart" uri="{CE6537A1-D6FC-4f65-9D91-7224C49458BB}"/>
                <c:ext xmlns:c16="http://schemas.microsoft.com/office/drawing/2014/chart" uri="{C3380CC4-5D6E-409C-BE32-E72D297353CC}">
                  <c16:uniqueId val="{00000003-14FA-4E24-85AD-9899E9824AB8}"/>
                </c:ext>
              </c:extLst>
            </c:dLbl>
            <c:dLbl>
              <c:idx val="18"/>
              <c:layout>
                <c:manualLayout>
                  <c:xMode val="edge"/>
                  <c:yMode val="edge"/>
                  <c:x val="0.24025974025974026"/>
                  <c:y val="0.52808988764044962"/>
                </c:manualLayout>
              </c:layout>
              <c:tx>
                <c:rich>
                  <a:bodyPr/>
                  <a:lstStyle/>
                  <a:p>
                    <a:pPr>
                      <a:defRPr sz="1200" b="1" i="0" u="none" strike="noStrike" baseline="0">
                        <a:solidFill>
                          <a:srgbClr val="FF0000"/>
                        </a:solidFill>
                        <a:latin typeface="Arial"/>
                        <a:ea typeface="Arial"/>
                        <a:cs typeface="Arial"/>
                      </a:defRPr>
                    </a:pPr>
                    <a:r>
                      <a:t>URGENCIA
45%</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FA-4E24-85AD-9899E9824AB8}"/>
                </c:ext>
              </c:extLst>
            </c:dLbl>
            <c:dLbl>
              <c:idx val="25"/>
              <c:layout>
                <c:manualLayout>
                  <c:xMode val="edge"/>
                  <c:yMode val="edge"/>
                  <c:x val="0.21948051948051947"/>
                  <c:y val="0.55617977528090001"/>
                </c:manualLayout>
              </c:layout>
              <c:tx>
                <c:rich>
                  <a:bodyPr/>
                  <a:lstStyle/>
                  <a:p>
                    <a:pPr>
                      <a:defRPr sz="1100" b="1" i="0" u="none" strike="noStrike" baseline="0">
                        <a:solidFill>
                          <a:srgbClr val="FF0000"/>
                        </a:solidFill>
                        <a:latin typeface="Arial"/>
                        <a:ea typeface="Arial"/>
                        <a:cs typeface="Arial"/>
                      </a:defRPr>
                    </a:pPr>
                    <a:r>
                      <a:t>CONSULTORIO
17%</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4FA-4E24-85AD-9899E9824AB8}"/>
                </c:ext>
              </c:extLst>
            </c:dLbl>
            <c:numFmt formatCode="0%" sourceLinked="0"/>
            <c:spPr>
              <a:solidFill>
                <a:srgbClr val="FFFFFF"/>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('70'!$A$8,'70'!$A$10)</c:f>
              <c:strCache>
                <c:ptCount val="2"/>
                <c:pt idx="0">
                  <c:v> ELECTIVAS MAYORES  NO  AMBULATORIAS</c:v>
                </c:pt>
                <c:pt idx="1">
                  <c:v>URGENCIAS  NO  AMBULATORIAS</c:v>
                </c:pt>
              </c:strCache>
            </c:strRef>
          </c:cat>
          <c:val>
            <c:numRef>
              <c:f>'70'!$L$9:$L$9</c:f>
              <c:numCache>
                <c:formatCode>#,##0</c:formatCode>
                <c:ptCount val="1"/>
                <c:pt idx="0">
                  <c:v>10328</c:v>
                </c:pt>
              </c:numCache>
            </c:numRef>
          </c:val>
          <c:extLst>
            <c:ext xmlns:c16="http://schemas.microsoft.com/office/drawing/2014/chart" uri="{C3380CC4-5D6E-409C-BE32-E72D297353CC}">
              <c16:uniqueId val="{00000006-14FA-4E24-85AD-9899E9824AB8}"/>
            </c:ext>
          </c:extLst>
        </c:ser>
        <c:ser>
          <c:idx val="1"/>
          <c:order val="1"/>
          <c:tx>
            <c:v>Urgencia</c:v>
          </c:tx>
          <c:spPr>
            <a:solidFill>
              <a:srgbClr val="802060"/>
            </a:solidFill>
            <a:ln w="12700">
              <a:solidFill>
                <a:srgbClr val="000000"/>
              </a:solidFill>
              <a:prstDash val="solid"/>
            </a:ln>
          </c:spPr>
          <c:dPt>
            <c:idx val="0"/>
            <c:bubble3D val="0"/>
            <c:spPr>
              <a:solidFill>
                <a:srgbClr val="8080FF"/>
              </a:solidFill>
              <a:ln w="12700">
                <a:solidFill>
                  <a:srgbClr val="000000"/>
                </a:solidFill>
                <a:prstDash val="solid"/>
              </a:ln>
            </c:spPr>
            <c:extLst>
              <c:ext xmlns:c16="http://schemas.microsoft.com/office/drawing/2014/chart" uri="{C3380CC4-5D6E-409C-BE32-E72D297353CC}">
                <c16:uniqueId val="{00000008-14FA-4E24-85AD-9899E9824AB8}"/>
              </c:ext>
            </c:extLst>
          </c:dPt>
          <c:dLbls>
            <c:numFmt formatCode="0%" sourceLinked="0"/>
            <c:spPr>
              <a:noFill/>
              <a:ln w="25400">
                <a:noFill/>
              </a:ln>
            </c:spPr>
            <c:txPr>
              <a:bodyPr/>
              <a:lstStyle/>
              <a:p>
                <a:pPr>
                  <a:defRPr sz="1875"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'70'!$L$11:$L$12</c:f>
              <c:numCache>
                <c:formatCode>#,##0</c:formatCode>
                <c:ptCount val="2"/>
                <c:pt idx="0">
                  <c:v>2717</c:v>
                </c:pt>
              </c:numCache>
            </c:numRef>
          </c:val>
          <c:extLst>
            <c:ext xmlns:c16="http://schemas.microsoft.com/office/drawing/2014/chart" uri="{C3380CC4-5D6E-409C-BE32-E72D297353CC}">
              <c16:uniqueId val="{00000009-14FA-4E24-85AD-9899E9824AB8}"/>
            </c:ext>
          </c:extLst>
        </c:ser>
        <c:dLbls>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6898360705188562"/>
          <c:y val="0.30894390705430996"/>
          <c:w val="0.46332104563958648"/>
          <c:h val="0.38482486668169508"/>
        </c:manualLayout>
      </c:layout>
      <c:pie3D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p3d/>
            </c:spPr>
            <c:extLst>
              <c:ext xmlns:c16="http://schemas.microsoft.com/office/drawing/2014/chart" uri="{C3380CC4-5D6E-409C-BE32-E72D297353CC}">
                <c16:uniqueId val="{00000004-1B28-4C69-BEB7-9F99EDE8E609}"/>
              </c:ext>
            </c:extLst>
          </c:dPt>
          <c:dPt>
            <c:idx val="1"/>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p3d/>
            </c:spPr>
            <c:extLst>
              <c:ext xmlns:c16="http://schemas.microsoft.com/office/drawing/2014/chart" uri="{C3380CC4-5D6E-409C-BE32-E72D297353CC}">
                <c16:uniqueId val="{00000001-1B28-4C69-BEB7-9F99EDE8E609}"/>
              </c:ext>
            </c:extLst>
          </c:dPt>
          <c:dPt>
            <c:idx val="2"/>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p3d/>
            </c:spPr>
            <c:extLst>
              <c:ext xmlns:c16="http://schemas.microsoft.com/office/drawing/2014/chart" uri="{C3380CC4-5D6E-409C-BE32-E72D297353CC}">
                <c16:uniqueId val="{00000003-1B28-4C69-BEB7-9F99EDE8E609}"/>
              </c:ext>
            </c:extLst>
          </c:dPt>
          <c:dLbls>
            <c:dLbl>
              <c:idx val="0"/>
              <c:layout>
                <c:manualLayout>
                  <c:x val="5.9762721857258158E-2"/>
                  <c:y val="-0.1790988513258284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r>
                      <a:rPr lang="en-US"/>
                      <a:t>MAYOR  NO AMBULATORIAS
47,7%</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L"/>
                </a:p>
              </c:tx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B28-4C69-BEB7-9F99EDE8E609}"/>
                </c:ext>
              </c:extLst>
            </c:dLbl>
            <c:dLbl>
              <c:idx val="1"/>
              <c:layout>
                <c:manualLayout>
                  <c:x val="4.2898356568734405E-2"/>
                  <c:y val="0.1016552675796585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r>
                      <a:rPr lang="en-US"/>
                      <a:t>MAYOR AMBULATORIAS
7,6%</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L"/>
                </a:p>
              </c:tx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B28-4C69-BEB7-9F99EDE8E609}"/>
                </c:ext>
              </c:extLst>
            </c:dLbl>
            <c:dLbl>
              <c:idx val="2"/>
              <c:layout>
                <c:manualLayout>
                  <c:x val="-9.3993287291149585E-2"/>
                  <c:y val="-0.19150753935700726"/>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r>
                      <a:rPr lang="en-US"/>
                      <a:t> MENORES</a:t>
                    </a:r>
                  </a:p>
                  <a:p>
                    <a:pPr>
                      <a:defRPr/>
                    </a:pPr>
                    <a:r>
                      <a:rPr lang="en-US"/>
                      <a:t>44,7%</a:t>
                    </a: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L"/>
                </a:p>
              </c:txPr>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B28-4C69-BEB7-9F99EDE8E60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L"/>
              </a:p>
            </c:txPr>
            <c:dLblPos val="ct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'70'!$B$13:$B$15</c:f>
              <c:strCache>
                <c:ptCount val="3"/>
                <c:pt idx="0">
                  <c:v>NO AMBULATORIAS  MAYORES</c:v>
                </c:pt>
                <c:pt idx="1">
                  <c:v>MAYOR AMBULATORIAS</c:v>
                </c:pt>
                <c:pt idx="2">
                  <c:v> MENORES</c:v>
                </c:pt>
              </c:strCache>
            </c:strRef>
          </c:cat>
          <c:val>
            <c:numRef>
              <c:f>'70'!$J$13:$J$15</c:f>
              <c:numCache>
                <c:formatCode>#,##0</c:formatCode>
                <c:ptCount val="3"/>
                <c:pt idx="0">
                  <c:v>9398</c:v>
                </c:pt>
                <c:pt idx="1">
                  <c:v>3647</c:v>
                </c:pt>
                <c:pt idx="2">
                  <c:v>8173</c:v>
                </c:pt>
              </c:numCache>
            </c:numRef>
          </c:val>
          <c:extLst>
            <c:ext xmlns:c16="http://schemas.microsoft.com/office/drawing/2014/chart" uri="{C3380CC4-5D6E-409C-BE32-E72D297353CC}">
              <c16:uniqueId val="{00000005-1B28-4C69-BEB7-9F99EDE8E609}"/>
            </c:ext>
          </c:extLst>
        </c:ser>
        <c:dLbls>
          <c:showLegendKey val="0"/>
          <c:showVal val="0"/>
          <c:showCatName val="1"/>
          <c:showSerName val="0"/>
          <c:showPercent val="1"/>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22"/>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2987012987012986"/>
          <c:y val="0.26685393258426982"/>
          <c:w val="0.54155844155844168"/>
          <c:h val="0.46629213483146065"/>
        </c:manualLayout>
      </c:layout>
      <c:pie3DChart>
        <c:varyColors val="1"/>
        <c:ser>
          <c:idx val="1"/>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p3d/>
            </c:spPr>
            <c:extLst>
              <c:ext xmlns:c16="http://schemas.microsoft.com/office/drawing/2014/chart" uri="{C3380CC4-5D6E-409C-BE32-E72D297353CC}">
                <c16:uniqueId val="{00000001-4379-4A59-9C25-1B189040BB6C}"/>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p3d/>
            </c:spPr>
            <c:extLst>
              <c:ext xmlns:c16="http://schemas.microsoft.com/office/drawing/2014/chart" uri="{C3380CC4-5D6E-409C-BE32-E72D297353CC}">
                <c16:uniqueId val="{00000002-4379-4A59-9C25-1B189040BB6C}"/>
              </c:ext>
            </c:extLst>
          </c:dPt>
          <c:dLbls>
            <c:dLbl>
              <c:idx val="0"/>
              <c:layout>
                <c:manualLayout>
                  <c:x val="0.24336797900262466"/>
                  <c:y val="-4.0492399722583672E-2"/>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accent1">
                            <a:lumMod val="50000"/>
                          </a:schemeClr>
                        </a:solidFill>
                        <a:latin typeface="+mn-lt"/>
                        <a:ea typeface="+mn-ea"/>
                        <a:cs typeface="+mn-cs"/>
                      </a:defRPr>
                    </a:pPr>
                    <a:r>
                      <a:rPr lang="en-US" sz="900" baseline="0">
                        <a:solidFill>
                          <a:schemeClr val="accent1">
                            <a:lumMod val="50000"/>
                          </a:schemeClr>
                        </a:solidFill>
                      </a:rPr>
                      <a:t>Electiva </a:t>
                    </a:r>
                    <a:fld id="{BF4CF427-BE39-4517-AECB-0A9BABBC1BB3}" type="PERCENTAGE">
                      <a:rPr lang="en-US" sz="900" baseline="0">
                        <a:solidFill>
                          <a:schemeClr val="accent1">
                            <a:lumMod val="50000"/>
                          </a:schemeClr>
                        </a:solidFill>
                      </a:rPr>
                      <a:pPr>
                        <a:defRPr sz="900">
                          <a:solidFill>
                            <a:schemeClr val="accent1">
                              <a:lumMod val="50000"/>
                            </a:schemeClr>
                          </a:solidFill>
                        </a:defRPr>
                      </a:pPr>
                      <a:t>[PORCENTAJE]</a:t>
                    </a:fld>
                    <a:endParaRPr lang="en-US" sz="900" baseline="0">
                      <a:solidFill>
                        <a:schemeClr val="accent1">
                          <a:lumMod val="50000"/>
                        </a:schemeClr>
                      </a:solidFill>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lumMod val="50000"/>
                        </a:schemeClr>
                      </a:solidFill>
                      <a:latin typeface="+mn-lt"/>
                      <a:ea typeface="+mn-ea"/>
                      <a:cs typeface="+mn-cs"/>
                    </a:defRPr>
                  </a:pPr>
                  <a:endParaRPr lang="es-CL"/>
                </a:p>
              </c:txPr>
              <c:dLblPos val="bestFit"/>
              <c:showLegendKey val="0"/>
              <c:showVal val="0"/>
              <c:showCatName val="0"/>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379-4A59-9C25-1B189040BB6C}"/>
                </c:ext>
              </c:extLst>
            </c:dLbl>
            <c:dLbl>
              <c:idx val="1"/>
              <c:layout>
                <c:manualLayout>
                  <c:x val="-0.11776469479776569"/>
                  <c:y val="-0.10069151526545839"/>
                </c:manualLayout>
              </c:layout>
              <c:tx>
                <c:rich>
                  <a:bodyPr/>
                  <a:lstStyle/>
                  <a:p>
                    <a:r>
                      <a:rPr lang="en-US"/>
                      <a:t>Urgencia</a:t>
                    </a:r>
                    <a:r>
                      <a:rPr lang="en-US" baseline="0"/>
                      <a:t> </a:t>
                    </a:r>
                    <a:fld id="{21FAFD9F-1BBD-498D-9808-BC56B8800BE5}" type="PERCENTAGE">
                      <a:rPr lang="en-US"/>
                      <a:pPr/>
                      <a:t>[PORCENTAJE]</a:t>
                    </a:fld>
                    <a:endParaRPr lang="en-US" baseline="0"/>
                  </a:p>
                </c:rich>
              </c:tx>
              <c:dLblPos val="bestFit"/>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4379-4A59-9C25-1B189040BB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L"/>
              </a:p>
            </c:txPr>
            <c:dLblPos val="ct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('70'!$A$9,'70'!$A$11)</c:f>
              <c:strCache>
                <c:ptCount val="2"/>
                <c:pt idx="0">
                  <c:v> ELECTIVAS MAYORES  AMBULATORIAS</c:v>
                </c:pt>
                <c:pt idx="1">
                  <c:v>URGENCIAS  AMBULATORIAS</c:v>
                </c:pt>
              </c:strCache>
            </c:strRef>
          </c:cat>
          <c:val>
            <c:numRef>
              <c:f>('70'!$L$9,'70'!$L$11)</c:f>
              <c:numCache>
                <c:formatCode>#,##0</c:formatCode>
                <c:ptCount val="2"/>
                <c:pt idx="0">
                  <c:v>10328</c:v>
                </c:pt>
                <c:pt idx="1">
                  <c:v>2717</c:v>
                </c:pt>
              </c:numCache>
            </c:numRef>
          </c:val>
          <c:extLst>
            <c:ext xmlns:c16="http://schemas.microsoft.com/office/drawing/2014/chart" uri="{C3380CC4-5D6E-409C-BE32-E72D297353CC}">
              <c16:uniqueId val="{00000003-4379-4A59-9C25-1B189040BB6C}"/>
            </c:ext>
          </c:extLst>
        </c:ser>
        <c:ser>
          <c:idx val="0"/>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p3d/>
            </c:spPr>
            <c:extLst>
              <c:ext xmlns:c16="http://schemas.microsoft.com/office/drawing/2014/chart" uri="{C3380CC4-5D6E-409C-BE32-E72D297353CC}">
                <c16:uniqueId val="{00000005-4379-4A59-9C25-1B189040BB6C}"/>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p3d/>
            </c:spPr>
            <c:extLst>
              <c:ext xmlns:c16="http://schemas.microsoft.com/office/drawing/2014/chart" uri="{C3380CC4-5D6E-409C-BE32-E72D297353CC}">
                <c16:uniqueId val="{00000006-4379-4A59-9C25-1B189040BB6C}"/>
              </c:ext>
            </c:extLst>
          </c:dPt>
          <c:dLbls>
            <c:dLbl>
              <c:idx val="0"/>
              <c:layout>
                <c:manualLayout>
                  <c:x val="0.22100394373780199"/>
                  <c:y val="-0.14394666668188222"/>
                </c:manualLayout>
              </c:layout>
              <c:tx>
                <c:rich>
                  <a:bodyPr/>
                  <a:lstStyle/>
                  <a:p>
                    <a:r>
                      <a:rPr lang="es-ES"/>
                      <a:t>Electivas 79%</a:t>
                    </a:r>
                  </a:p>
                </c:rich>
              </c:tx>
              <c:dLblPos val="bestFit"/>
              <c:showLegendKey val="0"/>
              <c:showVal val="0"/>
              <c:showCatName val="0"/>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5-4379-4A59-9C25-1B189040BB6C}"/>
                </c:ext>
              </c:extLst>
            </c:dLbl>
            <c:dLbl>
              <c:idx val="1"/>
              <c:delete val="1"/>
              <c:extLst>
                <c:ext xmlns:c15="http://schemas.microsoft.com/office/drawing/2012/chart" uri="{CE6537A1-D6FC-4f65-9D91-7224C49458BB}"/>
                <c:ext xmlns:c16="http://schemas.microsoft.com/office/drawing/2014/chart" uri="{C3380CC4-5D6E-409C-BE32-E72D297353CC}">
                  <c16:uniqueId val="{00000006-4379-4A59-9C25-1B189040BB6C}"/>
                </c:ext>
              </c:extLst>
            </c:dLbl>
            <c:dLbl>
              <c:idx val="2"/>
              <c:tx>
                <c:rich>
                  <a:bodyPr/>
                  <a:lstStyle/>
                  <a:p>
                    <a:r>
                      <a:rPr lang="es-ES"/>
                      <a:t>Urgencias</a:t>
                    </a:r>
                  </a:p>
                  <a:p>
                    <a:r>
                      <a:rPr lang="es-ES"/>
                      <a:t>23%</a:t>
                    </a:r>
                  </a:p>
                </c:rich>
              </c:tx>
              <c:dLblPos val="ctr"/>
              <c:showLegendKey val="0"/>
              <c:showVal val="0"/>
              <c:showCatName val="0"/>
              <c:showSerName val="0"/>
              <c:showPercent val="1"/>
              <c:showBubbleSize val="0"/>
              <c:extLst>
                <c:ext xmlns:c15="http://schemas.microsoft.com/office/drawing/2012/chart" uri="{CE6537A1-D6FC-4f65-9D91-7224C49458BB}">
                  <c15:showDataLabelsRange val="0"/>
                </c:ext>
                <c:ext xmlns:c16="http://schemas.microsoft.com/office/drawing/2014/chart" uri="{C3380CC4-5D6E-409C-BE32-E72D297353CC}">
                  <c16:uniqueId val="{00000007-4379-4A59-9C25-1B189040BB6C}"/>
                </c:ext>
              </c:extLst>
            </c:dLbl>
            <c:dLbl>
              <c:idx val="25"/>
              <c:delete val="1"/>
              <c:extLst>
                <c:ext xmlns:c15="http://schemas.microsoft.com/office/drawing/2012/chart" uri="{CE6537A1-D6FC-4f65-9D91-7224C49458BB}"/>
                <c:ext xmlns:c16="http://schemas.microsoft.com/office/drawing/2014/chart" uri="{C3380CC4-5D6E-409C-BE32-E72D297353CC}">
                  <c16:uniqueId val="{00000008-4379-4A59-9C25-1B189040BB6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s-CL"/>
              </a:p>
            </c:txPr>
            <c:dLblPos val="ct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('70'!$A$9,'70'!$A$11)</c:f>
              <c:strCache>
                <c:ptCount val="2"/>
                <c:pt idx="0">
                  <c:v> ELECTIVAS MAYORES  AMBULATORIAS</c:v>
                </c:pt>
                <c:pt idx="1">
                  <c:v>URGENCIAS  AMBULATORIAS</c:v>
                </c:pt>
              </c:strCache>
            </c:strRef>
          </c:cat>
          <c:val>
            <c:numRef>
              <c:f>('70'!$L$9,'70'!$L$11)</c:f>
              <c:numCache>
                <c:formatCode>#,##0</c:formatCode>
                <c:ptCount val="2"/>
                <c:pt idx="0">
                  <c:v>10328</c:v>
                </c:pt>
                <c:pt idx="1">
                  <c:v>2717</c:v>
                </c:pt>
              </c:numCache>
            </c:numRef>
          </c:val>
          <c:extLst>
            <c:ext xmlns:c16="http://schemas.microsoft.com/office/drawing/2014/chart" uri="{C3380CC4-5D6E-409C-BE32-E72D297353CC}">
              <c16:uniqueId val="{00000009-4379-4A59-9C25-1B189040BB6C}"/>
            </c:ext>
          </c:extLst>
        </c:ser>
        <c:dLbls>
          <c:dLblPos val="ctr"/>
          <c:showLegendKey val="0"/>
          <c:showVal val="0"/>
          <c:showCatName val="0"/>
          <c:showSerName val="0"/>
          <c:showPercent val="1"/>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s-ES" sz="1000"/>
              <a:t>PERFIL DE INT. QUIR. MAYORES 
ELECTIVAS Y URGENCIA</a:t>
            </a:r>
          </a:p>
        </c:rich>
      </c:tx>
      <c:layout>
        <c:manualLayout>
          <c:xMode val="edge"/>
          <c:yMode val="edge"/>
          <c:x val="0.26888958880139985"/>
          <c:y val="4.2194092827004523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0.12666694155152294"/>
          <c:y val="0.24050732012840362"/>
          <c:w val="0.84222404996538625"/>
          <c:h val="0.61603629366220691"/>
        </c:manualLayout>
      </c:layout>
      <c:lineChart>
        <c:grouping val="standard"/>
        <c:varyColors val="0"/>
        <c:ser>
          <c:idx val="0"/>
          <c:order val="0"/>
          <c:spPr>
            <a:ln w="31750" cap="rnd">
              <a:solidFill>
                <a:schemeClr val="accent1"/>
              </a:solidFill>
              <a:round/>
            </a:ln>
            <a:effectLst>
              <a:outerShdw blurRad="40000" dist="23000" dir="5400000" rotWithShape="0">
                <a:srgbClr val="000000">
                  <a:alpha val="35000"/>
                </a:srgbClr>
              </a:outerShdw>
            </a:effectLst>
          </c:spPr>
          <c:marker>
            <c:symbol val="none"/>
          </c:marker>
          <c:cat>
            <c:numRef>
              <c:f>'71'!$A$10:$A$20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'71'!$H$10:$H$20</c:f>
              <c:numCache>
                <c:formatCode>#,##0</c:formatCode>
                <c:ptCount val="11"/>
                <c:pt idx="0">
                  <c:v>9244</c:v>
                </c:pt>
                <c:pt idx="1">
                  <c:v>9546</c:v>
                </c:pt>
                <c:pt idx="2">
                  <c:v>9277</c:v>
                </c:pt>
                <c:pt idx="3">
                  <c:v>9632</c:v>
                </c:pt>
                <c:pt idx="4">
                  <c:v>10128</c:v>
                </c:pt>
                <c:pt idx="5">
                  <c:v>10010</c:v>
                </c:pt>
                <c:pt idx="6">
                  <c:v>10311</c:v>
                </c:pt>
                <c:pt idx="7">
                  <c:v>5435</c:v>
                </c:pt>
                <c:pt idx="8">
                  <c:v>5855</c:v>
                </c:pt>
                <c:pt idx="9">
                  <c:v>8196</c:v>
                </c:pt>
                <c:pt idx="10">
                  <c:v>10328</c:v>
                </c:pt>
              </c:numCache>
            </c:numRef>
          </c:val>
          <c:smooth val="0"/>
          <c:extLst>
            <c:ext xmlns:c16="http://schemas.microsoft.com/office/drawing/2014/chart" uri="{C3380CC4-5D6E-409C-BE32-E72D297353CC}">
              <c16:uniqueId val="{00000000-EFA8-43F5-A337-DABBFD6D667F}"/>
            </c:ext>
          </c:extLst>
        </c:ser>
        <c:ser>
          <c:idx val="1"/>
          <c:order val="1"/>
          <c:spPr>
            <a:ln w="31750" cap="rnd">
              <a:solidFill>
                <a:schemeClr val="accent2"/>
              </a:solidFill>
              <a:round/>
            </a:ln>
            <a:effectLst>
              <a:outerShdw blurRad="40000" dist="23000" dir="5400000" rotWithShape="0">
                <a:srgbClr val="000000">
                  <a:alpha val="35000"/>
                </a:srgbClr>
              </a:outerShdw>
            </a:effectLst>
          </c:spPr>
          <c:marker>
            <c:symbol val="none"/>
          </c:marker>
          <c:cat>
            <c:numRef>
              <c:f>'71'!$A$10:$A$20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'71'!$I$10:$I$20</c:f>
              <c:numCache>
                <c:formatCode>#,##0</c:formatCode>
                <c:ptCount val="11"/>
                <c:pt idx="0">
                  <c:v>3303</c:v>
                </c:pt>
                <c:pt idx="1">
                  <c:v>3419</c:v>
                </c:pt>
                <c:pt idx="2">
                  <c:v>3415</c:v>
                </c:pt>
                <c:pt idx="3">
                  <c:v>3053</c:v>
                </c:pt>
                <c:pt idx="4">
                  <c:v>2505</c:v>
                </c:pt>
                <c:pt idx="5">
                  <c:v>2885</c:v>
                </c:pt>
                <c:pt idx="6">
                  <c:v>2771</c:v>
                </c:pt>
                <c:pt idx="7">
                  <c:v>2978</c:v>
                </c:pt>
                <c:pt idx="8">
                  <c:v>2792</c:v>
                </c:pt>
                <c:pt idx="9">
                  <c:v>2775</c:v>
                </c:pt>
                <c:pt idx="10">
                  <c:v>2717</c:v>
                </c:pt>
              </c:numCache>
            </c:numRef>
          </c:val>
          <c:smooth val="0"/>
          <c:extLst>
            <c:ext xmlns:c16="http://schemas.microsoft.com/office/drawing/2014/chart" uri="{C3380CC4-5D6E-409C-BE32-E72D297353CC}">
              <c16:uniqueId val="{00000001-EFA8-43F5-A337-DABBFD6D667F}"/>
            </c:ext>
          </c:extLst>
        </c:ser>
        <c:dLbls>
          <c:showLegendKey val="0"/>
          <c:showVal val="0"/>
          <c:showCatName val="0"/>
          <c:showSerName val="0"/>
          <c:showPercent val="0"/>
          <c:showBubbleSize val="0"/>
        </c:dLbls>
        <c:smooth val="0"/>
        <c:axId val="-1430940960"/>
        <c:axId val="-1430927904"/>
      </c:lineChart>
      <c:catAx>
        <c:axId val="-143094096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Numero</a:t>
                </a:r>
              </a:p>
            </c:rich>
          </c:tx>
          <c:layout>
            <c:manualLayout>
              <c:xMode val="edge"/>
              <c:yMode val="edge"/>
              <c:x val="5.1111111111111114E-2"/>
              <c:y val="0.1265827214636072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27904"/>
        <c:crosses val="autoZero"/>
        <c:auto val="1"/>
        <c:lblAlgn val="ctr"/>
        <c:lblOffset val="100"/>
        <c:tickLblSkip val="1"/>
        <c:tickMarkSkip val="1"/>
        <c:noMultiLvlLbl val="0"/>
      </c:catAx>
      <c:valAx>
        <c:axId val="-1430927904"/>
        <c:scaling>
          <c:orientation val="minMax"/>
          <c:min val="100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40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s-ES" sz="1000"/>
              <a:t>TASA INT. QUIR. MAYORES  HABITANTE/AÑO</a:t>
            </a:r>
          </a:p>
        </c:rich>
      </c:tx>
      <c:layout>
        <c:manualLayout>
          <c:xMode val="edge"/>
          <c:yMode val="edge"/>
          <c:x val="0.18181841460504841"/>
          <c:y val="4.2016806722689079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1750" cap="rnd">
              <a:solidFill>
                <a:schemeClr val="accent1"/>
              </a:solidFill>
              <a:round/>
            </a:ln>
            <a:effectLst>
              <a:outerShdw blurRad="40000" dist="23000" dir="5400000" rotWithShape="0">
                <a:srgbClr val="000000">
                  <a:alpha val="35000"/>
                </a:srgbClr>
              </a:outerShdw>
            </a:effectLst>
          </c:spPr>
          <c:marker>
            <c:symbol val="none"/>
          </c:marker>
          <c:cat>
            <c:numRef>
              <c:f>'71'!$A$10:$A$20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'71'!$N$10:$N$19</c:f>
              <c:numCache>
                <c:formatCode>0.00</c:formatCode>
                <c:ptCount val="10"/>
                <c:pt idx="0">
                  <c:v>3.5468040778271028</c:v>
                </c:pt>
                <c:pt idx="1">
                  <c:v>3.6233341810300654</c:v>
                </c:pt>
                <c:pt idx="2">
                  <c:v>3.4829326164982204</c:v>
                </c:pt>
                <c:pt idx="3">
                  <c:v>3.5774906310007091</c:v>
                </c:pt>
                <c:pt idx="4">
                  <c:v>3.7173384033209396</c:v>
                </c:pt>
                <c:pt idx="5">
                  <c:v>3.6259707893821722</c:v>
                </c:pt>
                <c:pt idx="6">
                  <c:v>3.6862257209965792</c:v>
                </c:pt>
                <c:pt idx="7">
                  <c:v>1.9180141583676233</c:v>
                </c:pt>
                <c:pt idx="8">
                  <c:v>2.045815076486579</c:v>
                </c:pt>
                <c:pt idx="9">
                  <c:v>3.5508125818684402</c:v>
                </c:pt>
              </c:numCache>
            </c:numRef>
          </c:val>
          <c:smooth val="0"/>
          <c:extLst>
            <c:ext xmlns:c16="http://schemas.microsoft.com/office/drawing/2014/chart" uri="{C3380CC4-5D6E-409C-BE32-E72D297353CC}">
              <c16:uniqueId val="{00000000-D113-4A86-B490-4E5EED4E4A72}"/>
            </c:ext>
          </c:extLst>
        </c:ser>
        <c:ser>
          <c:idx val="1"/>
          <c:order val="1"/>
          <c:spPr>
            <a:ln w="31750" cap="rnd">
              <a:solidFill>
                <a:schemeClr val="accent2"/>
              </a:solidFill>
              <a:round/>
            </a:ln>
            <a:effectLst>
              <a:outerShdw blurRad="40000" dist="23000" dir="5400000" rotWithShape="0">
                <a:srgbClr val="000000">
                  <a:alpha val="35000"/>
                </a:srgbClr>
              </a:outerShdw>
            </a:effectLst>
          </c:spPr>
          <c:marker>
            <c:symbol val="none"/>
          </c:marker>
          <c:cat>
            <c:numRef>
              <c:f>'71'!$A$10:$A$20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'71'!$O$10:$O$19</c:f>
              <c:numCache>
                <c:formatCode>0.00</c:formatCode>
                <c:ptCount val="10"/>
                <c:pt idx="0">
                  <c:v>1.2673186790418565</c:v>
                </c:pt>
                <c:pt idx="1">
                  <c:v>1.2977351314625805</c:v>
                </c:pt>
                <c:pt idx="2">
                  <c:v>1.2821186682485095</c:v>
                </c:pt>
                <c:pt idx="3">
                  <c:v>1.1339367625046892</c:v>
                </c:pt>
                <c:pt idx="4">
                  <c:v>0.91942463470763758</c:v>
                </c:pt>
                <c:pt idx="5">
                  <c:v>1.045047525211545</c:v>
                </c:pt>
                <c:pt idx="6">
                  <c:v>0.99064411530225183</c:v>
                </c:pt>
                <c:pt idx="7">
                  <c:v>1.050937656599592</c:v>
                </c:pt>
                <c:pt idx="8">
                  <c:v>0.97556203134936437</c:v>
                </c:pt>
                <c:pt idx="9">
                  <c:v>0.93411674912243903</c:v>
                </c:pt>
              </c:numCache>
            </c:numRef>
          </c:val>
          <c:smooth val="0"/>
          <c:extLst>
            <c:ext xmlns:c16="http://schemas.microsoft.com/office/drawing/2014/chart" uri="{C3380CC4-5D6E-409C-BE32-E72D297353CC}">
              <c16:uniqueId val="{00000001-D113-4A86-B490-4E5EED4E4A72}"/>
            </c:ext>
          </c:extLst>
        </c:ser>
        <c:dLbls>
          <c:showLegendKey val="0"/>
          <c:showVal val="0"/>
          <c:showCatName val="0"/>
          <c:showSerName val="0"/>
          <c:showPercent val="0"/>
          <c:showBubbleSize val="0"/>
        </c:dLbls>
        <c:smooth val="0"/>
        <c:axId val="-1430942048"/>
        <c:axId val="-1430932800"/>
      </c:lineChart>
      <c:catAx>
        <c:axId val="-143094204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a:t>
                </a:r>
              </a:p>
            </c:rich>
          </c:tx>
          <c:layout>
            <c:manualLayout>
              <c:xMode val="edge"/>
              <c:yMode val="edge"/>
              <c:x val="3.1042128603105092E-2"/>
              <c:y val="0.1134458192725909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32800"/>
        <c:crosses val="autoZero"/>
        <c:auto val="1"/>
        <c:lblAlgn val="ctr"/>
        <c:lblOffset val="100"/>
        <c:tickLblSkip val="1"/>
        <c:tickMarkSkip val="1"/>
        <c:noMultiLvlLbl val="0"/>
      </c:catAx>
      <c:valAx>
        <c:axId val="-1430932800"/>
        <c:scaling>
          <c:orientation val="minMax"/>
          <c:min val="0.5"/>
        </c:scaling>
        <c:delete val="0"/>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42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5" footer="0.5"/>
    <c:pageSetup paperSize="304" orientation="landscape" horizontalDpi="300" verticalDpi="30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s-ES" sz="1200"/>
              <a:t>TASA INT. QUIR. MAYORES  HABITANTE/AÑO
HOSPITAL SAN  FELIPE</a:t>
            </a:r>
          </a:p>
        </c:rich>
      </c:tx>
      <c:layout>
        <c:manualLayout>
          <c:xMode val="edge"/>
          <c:yMode val="edge"/>
          <c:x val="0.18181841460504841"/>
          <c:y val="4.201680672268907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1750" cap="rnd">
              <a:solidFill>
                <a:schemeClr val="accent1"/>
              </a:solidFill>
              <a:round/>
            </a:ln>
            <a:effectLst>
              <a:outerShdw blurRad="40000" dist="23000" dir="5400000" rotWithShape="0">
                <a:srgbClr val="000000">
                  <a:alpha val="35000"/>
                </a:srgbClr>
              </a:outerShdw>
            </a:effectLst>
          </c:spPr>
          <c:marker>
            <c:symbol val="none"/>
          </c:marker>
          <c:cat>
            <c:numRef>
              <c:f>'71'!$A$10:$A$20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'71'!$Q$10:$Q$19</c:f>
              <c:numCache>
                <c:formatCode>0.00</c:formatCode>
                <c:ptCount val="10"/>
                <c:pt idx="0">
                  <c:v>4.6104416271942048</c:v>
                </c:pt>
                <c:pt idx="1">
                  <c:v>4.880506394522671</c:v>
                </c:pt>
                <c:pt idx="2">
                  <c:v>4.8965341054245082</c:v>
                </c:pt>
                <c:pt idx="3">
                  <c:v>4.8503785805125785</c:v>
                </c:pt>
                <c:pt idx="4">
                  <c:v>5.0854085716425237</c:v>
                </c:pt>
                <c:pt idx="5">
                  <c:v>5.1036826637332329</c:v>
                </c:pt>
                <c:pt idx="6">
                  <c:v>4.9220154511442589</c:v>
                </c:pt>
                <c:pt idx="7">
                  <c:v>2.5795315609042744</c:v>
                </c:pt>
                <c:pt idx="8">
                  <c:v>2.6113914240070861</c:v>
                </c:pt>
                <c:pt idx="9">
                  <c:v>4.8589731629194262</c:v>
                </c:pt>
              </c:numCache>
            </c:numRef>
          </c:val>
          <c:smooth val="0"/>
          <c:extLst>
            <c:ext xmlns:c16="http://schemas.microsoft.com/office/drawing/2014/chart" uri="{C3380CC4-5D6E-409C-BE32-E72D297353CC}">
              <c16:uniqueId val="{00000000-B215-4AC0-AA1E-41AA3A2AA168}"/>
            </c:ext>
          </c:extLst>
        </c:ser>
        <c:ser>
          <c:idx val="1"/>
          <c:order val="1"/>
          <c:spPr>
            <a:ln w="31750" cap="rnd">
              <a:solidFill>
                <a:schemeClr val="accent2"/>
              </a:solidFill>
              <a:round/>
            </a:ln>
            <a:effectLst>
              <a:outerShdw blurRad="40000" dist="23000" dir="5400000" rotWithShape="0">
                <a:srgbClr val="000000">
                  <a:alpha val="35000"/>
                </a:srgbClr>
              </a:outerShdw>
            </a:effectLst>
          </c:spPr>
          <c:marker>
            <c:symbol val="none"/>
          </c:marker>
          <c:cat>
            <c:numRef>
              <c:f>'71'!$A$10:$A$20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'71'!$R$10:$R$19</c:f>
              <c:numCache>
                <c:formatCode>0.00</c:formatCode>
                <c:ptCount val="10"/>
                <c:pt idx="0">
                  <c:v>1.3530927835051547</c:v>
                </c:pt>
                <c:pt idx="1">
                  <c:v>1.2969900529647331</c:v>
                </c:pt>
                <c:pt idx="2">
                  <c:v>1.0678702205569275</c:v>
                </c:pt>
                <c:pt idx="3">
                  <c:v>0.90791944952119463</c:v>
                </c:pt>
                <c:pt idx="4">
                  <c:v>0.64566051236822619</c:v>
                </c:pt>
                <c:pt idx="5">
                  <c:v>0.85786527000180601</c:v>
                </c:pt>
                <c:pt idx="6">
                  <c:v>0.83248303451403405</c:v>
                </c:pt>
                <c:pt idx="7">
                  <c:v>0.83906695754321203</c:v>
                </c:pt>
                <c:pt idx="8">
                  <c:v>0.78610632206633657</c:v>
                </c:pt>
                <c:pt idx="9">
                  <c:v>0.73856392076375277</c:v>
                </c:pt>
              </c:numCache>
            </c:numRef>
          </c:val>
          <c:smooth val="0"/>
          <c:extLst>
            <c:ext xmlns:c16="http://schemas.microsoft.com/office/drawing/2014/chart" uri="{C3380CC4-5D6E-409C-BE32-E72D297353CC}">
              <c16:uniqueId val="{00000001-B215-4AC0-AA1E-41AA3A2AA168}"/>
            </c:ext>
          </c:extLst>
        </c:ser>
        <c:dLbls>
          <c:showLegendKey val="0"/>
          <c:showVal val="0"/>
          <c:showCatName val="0"/>
          <c:showSerName val="0"/>
          <c:showPercent val="0"/>
          <c:showBubbleSize val="0"/>
        </c:dLbls>
        <c:smooth val="0"/>
        <c:axId val="-1430917568"/>
        <c:axId val="-1430920832"/>
      </c:lineChart>
      <c:catAx>
        <c:axId val="-14309175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a:t>
                </a:r>
              </a:p>
            </c:rich>
          </c:tx>
          <c:layout>
            <c:manualLayout>
              <c:xMode val="edge"/>
              <c:yMode val="edge"/>
              <c:x val="3.1042128603105092E-2"/>
              <c:y val="0.1134458192725909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20832"/>
        <c:crosses val="autoZero"/>
        <c:auto val="1"/>
        <c:lblAlgn val="ctr"/>
        <c:lblOffset val="100"/>
        <c:tickLblSkip val="1"/>
        <c:tickMarkSkip val="1"/>
        <c:noMultiLvlLbl val="0"/>
      </c:catAx>
      <c:valAx>
        <c:axId val="-1430920832"/>
        <c:scaling>
          <c:orientation val="minMax"/>
          <c:min val="0.5"/>
        </c:scaling>
        <c:delete val="0"/>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17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DE  FECUNDIDAD   SEGÚN COMUNAS  AÑO 2013
SERVICIO DE SALUD ACONCAGUA</a:t>
            </a:r>
          </a:p>
        </c:rich>
      </c:tx>
      <c:layout>
        <c:manualLayout>
          <c:xMode val="edge"/>
          <c:yMode val="edge"/>
          <c:x val="0.18969072164948453"/>
          <c:y val="4.2372881355935817E-2"/>
        </c:manualLayout>
      </c:layout>
      <c:overlay val="0"/>
      <c:spPr>
        <a:noFill/>
        <a:ln w="25400">
          <a:noFill/>
        </a:ln>
      </c:sp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31.26219668999569</c:v>
                </c:pt>
                <c:pt idx="1">
                  <c:v>27.3037110075587</c:v>
                </c:pt>
                <c:pt idx="2">
                  <c:v>30.277388619109683</c:v>
                </c:pt>
                <c:pt idx="3">
                  <c:v>19.798214696771012</c:v>
                </c:pt>
                <c:pt idx="4">
                  <c:v>36.087754335817259</c:v>
                </c:pt>
                <c:pt idx="5">
                  <c:v>32.721442536533438</c:v>
                </c:pt>
                <c:pt idx="6">
                  <c:v>33.574253633223492</c:v>
                </c:pt>
                <c:pt idx="7">
                  <c:v>24.460987808375648</c:v>
                </c:pt>
                <c:pt idx="8">
                  <c:v>35.373009765685254</c:v>
                </c:pt>
                <c:pt idx="9">
                  <c:v>27.785687958612137</c:v>
                </c:pt>
              </c:numCache>
            </c:numRef>
          </c:val>
          <c:extLst>
            <c:ext xmlns:c16="http://schemas.microsoft.com/office/drawing/2014/chart" uri="{C3380CC4-5D6E-409C-BE32-E72D297353CC}">
              <c16:uniqueId val="{00000000-5682-45F8-851D-E4B24E38A0D9}"/>
            </c:ext>
          </c:extLst>
        </c:ser>
        <c:dLbls>
          <c:showLegendKey val="0"/>
          <c:showVal val="0"/>
          <c:showCatName val="0"/>
          <c:showSerName val="0"/>
          <c:showPercent val="0"/>
          <c:showBubbleSize val="0"/>
        </c:dLbls>
        <c:gapWidth val="150"/>
        <c:axId val="-1443021408"/>
        <c:axId val="-1443016512"/>
      </c:barChart>
      <c:catAx>
        <c:axId val="-14430214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1443016512"/>
        <c:crosses val="autoZero"/>
        <c:auto val="0"/>
        <c:lblAlgn val="ctr"/>
        <c:lblOffset val="100"/>
        <c:tickLblSkip val="1"/>
        <c:tickMarkSkip val="1"/>
        <c:noMultiLvlLbl val="0"/>
      </c:catAx>
      <c:valAx>
        <c:axId val="-1443016512"/>
        <c:scaling>
          <c:orientation val="minMax"/>
          <c:min val="3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1443021408"/>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s-ES" sz="1400"/>
              <a:t>TASA INT. QUIR. MAYORES  HABITANTE/AÑO
HOSPITAL LOS  ANDES</a:t>
            </a:r>
          </a:p>
        </c:rich>
      </c:tx>
      <c:layout>
        <c:manualLayout>
          <c:xMode val="edge"/>
          <c:yMode val="edge"/>
          <c:x val="0.18181841460504841"/>
          <c:y val="4.201680672268907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1750" cap="rnd">
              <a:solidFill>
                <a:schemeClr val="accent1"/>
              </a:solidFill>
              <a:round/>
            </a:ln>
            <a:effectLst>
              <a:outerShdw blurRad="40000" dist="23000" dir="5400000" rotWithShape="0">
                <a:srgbClr val="000000">
                  <a:alpha val="35000"/>
                </a:srgbClr>
              </a:outerShdw>
            </a:effectLst>
          </c:spPr>
          <c:marker>
            <c:symbol val="none"/>
          </c:marker>
          <c:cat>
            <c:numRef>
              <c:f>'71'!$A$10:$A$20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'71'!$T$10:$T$19</c:f>
              <c:numCache>
                <c:formatCode>0.00</c:formatCode>
                <c:ptCount val="10"/>
                <c:pt idx="0">
                  <c:v>3.6879313404122191</c:v>
                </c:pt>
                <c:pt idx="1">
                  <c:v>3.5827098919368243</c:v>
                </c:pt>
                <c:pt idx="2">
                  <c:v>3.2219755725469779</c:v>
                </c:pt>
                <c:pt idx="3">
                  <c:v>3.4997198778305894</c:v>
                </c:pt>
                <c:pt idx="4">
                  <c:v>3.5858103342053802</c:v>
                </c:pt>
                <c:pt idx="5">
                  <c:v>3.3423213845123541</c:v>
                </c:pt>
                <c:pt idx="6">
                  <c:v>3.6816379070414698</c:v>
                </c:pt>
                <c:pt idx="7">
                  <c:v>1.8947296125548372</c:v>
                </c:pt>
                <c:pt idx="8">
                  <c:v>2.1704016050600199</c:v>
                </c:pt>
                <c:pt idx="9">
                  <c:v>3.4120954516550084</c:v>
                </c:pt>
              </c:numCache>
            </c:numRef>
          </c:val>
          <c:smooth val="0"/>
          <c:extLst>
            <c:ext xmlns:c16="http://schemas.microsoft.com/office/drawing/2014/chart" uri="{C3380CC4-5D6E-409C-BE32-E72D297353CC}">
              <c16:uniqueId val="{00000000-4DA9-4E4A-8036-FD984FB767BE}"/>
            </c:ext>
          </c:extLst>
        </c:ser>
        <c:ser>
          <c:idx val="1"/>
          <c:order val="1"/>
          <c:spPr>
            <a:ln w="31750" cap="rnd">
              <a:solidFill>
                <a:schemeClr val="accent2"/>
              </a:solidFill>
              <a:round/>
            </a:ln>
            <a:effectLst>
              <a:outerShdw blurRad="40000" dist="23000" dir="5400000" rotWithShape="0">
                <a:srgbClr val="000000">
                  <a:alpha val="35000"/>
                </a:srgbClr>
              </a:outerShdw>
            </a:effectLst>
          </c:spPr>
          <c:marker>
            <c:symbol val="none"/>
          </c:marker>
          <c:cat>
            <c:numRef>
              <c:f>'71'!$A$10:$A$20</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'71'!$U$10:$U$19</c:f>
              <c:numCache>
                <c:formatCode>0.00</c:formatCode>
                <c:ptCount val="10"/>
                <c:pt idx="0">
                  <c:v>1.6333734906003978</c:v>
                </c:pt>
                <c:pt idx="1">
                  <c:v>1.7668790985499214</c:v>
                </c:pt>
                <c:pt idx="2">
                  <c:v>1.9741109192724748</c:v>
                </c:pt>
                <c:pt idx="3">
                  <c:v>1.7846493051162957</c:v>
                </c:pt>
                <c:pt idx="4">
                  <c:v>1.5437913515540596</c:v>
                </c:pt>
                <c:pt idx="5">
                  <c:v>1.6213739381763066</c:v>
                </c:pt>
                <c:pt idx="6">
                  <c:v>1.5159685499582523</c:v>
                </c:pt>
                <c:pt idx="7">
                  <c:v>1.6552055700071258</c:v>
                </c:pt>
                <c:pt idx="8">
                  <c:v>1.5285476247152039</c:v>
                </c:pt>
                <c:pt idx="9">
                  <c:v>1.4784631346430603</c:v>
                </c:pt>
              </c:numCache>
            </c:numRef>
          </c:val>
          <c:smooth val="0"/>
          <c:extLst>
            <c:ext xmlns:c16="http://schemas.microsoft.com/office/drawing/2014/chart" uri="{C3380CC4-5D6E-409C-BE32-E72D297353CC}">
              <c16:uniqueId val="{00000001-4DA9-4E4A-8036-FD984FB767BE}"/>
            </c:ext>
          </c:extLst>
        </c:ser>
        <c:dLbls>
          <c:showLegendKey val="0"/>
          <c:showVal val="0"/>
          <c:showCatName val="0"/>
          <c:showSerName val="0"/>
          <c:showPercent val="0"/>
          <c:showBubbleSize val="0"/>
        </c:dLbls>
        <c:smooth val="0"/>
        <c:axId val="-1430932256"/>
        <c:axId val="-1430925728"/>
      </c:lineChart>
      <c:catAx>
        <c:axId val="-14309322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a:t>
                </a:r>
              </a:p>
            </c:rich>
          </c:tx>
          <c:layout>
            <c:manualLayout>
              <c:xMode val="edge"/>
              <c:yMode val="edge"/>
              <c:x val="3.1042128603105092E-2"/>
              <c:y val="0.1134458192725909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crossAx val="-1430925728"/>
        <c:crosses val="autoZero"/>
        <c:auto val="1"/>
        <c:lblAlgn val="ctr"/>
        <c:lblOffset val="100"/>
        <c:tickLblSkip val="1"/>
        <c:tickMarkSkip val="1"/>
        <c:noMultiLvlLbl val="0"/>
      </c:catAx>
      <c:valAx>
        <c:axId val="-1430925728"/>
        <c:scaling>
          <c:orientation val="minMax"/>
          <c:min val="1"/>
        </c:scaling>
        <c:delete val="0"/>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crossAx val="-1430932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s-ES" sz="1000"/>
              <a:t>TASA EX. DE DIAGNOSTICO HABITANTE /AÑO
SERVICIO SALUD  ACONCAGUA
2013 - 2022</a:t>
            </a:r>
          </a:p>
        </c:rich>
      </c:tx>
      <c:layout>
        <c:manualLayout>
          <c:xMode val="edge"/>
          <c:yMode val="edge"/>
          <c:x val="0.22795741346528611"/>
          <c:y val="3.9215686274509803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8.0744609182579072E-2"/>
          <c:y val="0.14248448355720242"/>
          <c:w val="0.91065530566379427"/>
          <c:h val="0.74771488858010382"/>
        </c:manualLayout>
      </c:layout>
      <c:lineChart>
        <c:grouping val="standard"/>
        <c:varyColors val="0"/>
        <c:ser>
          <c:idx val="0"/>
          <c:order val="0"/>
          <c:spPr>
            <a:ln w="31750" cap="rnd">
              <a:solidFill>
                <a:schemeClr val="accent1"/>
              </a:solidFill>
              <a:round/>
            </a:ln>
            <a:effectLst>
              <a:outerShdw blurRad="40000" dist="23000" dir="5400000" rotWithShape="0">
                <a:srgbClr val="000000">
                  <a:alpha val="35000"/>
                </a:srgbClr>
              </a:outerShdw>
            </a:effectLst>
          </c:spPr>
          <c:marker>
            <c:symbol val="none"/>
          </c:marker>
          <c:cat>
            <c:numRef>
              <c:f>'73'!$A$10:$A$19</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'73'!$P$10:$P$19</c:f>
              <c:numCache>
                <c:formatCode>General</c:formatCode>
                <c:ptCount val="10"/>
                <c:pt idx="0">
                  <c:v>437.45899343511275</c:v>
                </c:pt>
                <c:pt idx="1">
                  <c:v>458.71653653889223</c:v>
                </c:pt>
                <c:pt idx="2">
                  <c:v>447.32388232290623</c:v>
                </c:pt>
                <c:pt idx="3">
                  <c:v>433.30126764696047</c:v>
                </c:pt>
                <c:pt idx="4">
                  <c:v>386.20569419312687</c:v>
                </c:pt>
                <c:pt idx="5">
                  <c:v>492.72885997449868</c:v>
                </c:pt>
                <c:pt idx="6" formatCode="0.0">
                  <c:v>512.03680863158127</c:v>
                </c:pt>
                <c:pt idx="7" formatCode="0.0">
                  <c:v>470.15026502826737</c:v>
                </c:pt>
                <c:pt idx="8" formatCode="0.0">
                  <c:v>614.72847089736331</c:v>
                </c:pt>
                <c:pt idx="9" formatCode="0.0">
                  <c:v>673.95715508675903</c:v>
                </c:pt>
              </c:numCache>
            </c:numRef>
          </c:val>
          <c:smooth val="0"/>
          <c:extLst>
            <c:ext xmlns:c16="http://schemas.microsoft.com/office/drawing/2014/chart" uri="{C3380CC4-5D6E-409C-BE32-E72D297353CC}">
              <c16:uniqueId val="{00000000-242F-404E-BFB4-D92DA75CB1CC}"/>
            </c:ext>
          </c:extLst>
        </c:ser>
        <c:dLbls>
          <c:showLegendKey val="0"/>
          <c:showVal val="0"/>
          <c:showCatName val="0"/>
          <c:showSerName val="0"/>
          <c:showPercent val="0"/>
          <c:showBubbleSize val="0"/>
        </c:dLbls>
        <c:smooth val="0"/>
        <c:axId val="-1430944224"/>
        <c:axId val="-1430931712"/>
      </c:lineChart>
      <c:catAx>
        <c:axId val="-1430944224"/>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31712"/>
        <c:crosses val="autoZero"/>
        <c:auto val="1"/>
        <c:lblAlgn val="ctr"/>
        <c:lblOffset val="100"/>
        <c:tickLblSkip val="1"/>
        <c:tickMarkSkip val="1"/>
        <c:noMultiLvlLbl val="0"/>
      </c:catAx>
      <c:valAx>
        <c:axId val="-1430931712"/>
        <c:scaling>
          <c:orientation val="minMax"/>
          <c:max val="700"/>
          <c:min val="360"/>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44224"/>
        <c:crosses val="autoZero"/>
        <c:crossBetween val="between"/>
        <c:majorUnit val="50"/>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5" footer="0.5"/>
    <c:pageSetup paperSize="304" orientation="landscape" horizontalDpi="300" verticalDpi="300"/>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r>
              <a:rPr lang="es-ES" sz="1000"/>
              <a:t>TASA  EX.   IMAGENOLOGIA  HABITANTE /AÑO
SERVICIO SALUD  ACONCAGUA
2013 - 2022</a:t>
            </a:r>
          </a:p>
        </c:rich>
      </c:tx>
      <c:layout>
        <c:manualLayout>
          <c:xMode val="edge"/>
          <c:yMode val="edge"/>
          <c:x val="0.22580682633877217"/>
          <c:y val="3.9215686274509803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6.2365722374249012E-2"/>
          <c:y val="0.24705976968355417"/>
          <c:w val="0.92903420916122559"/>
          <c:h val="0.64313971790642122"/>
        </c:manualLayout>
      </c:layout>
      <c:lineChart>
        <c:grouping val="standard"/>
        <c:varyColors val="0"/>
        <c:ser>
          <c:idx val="0"/>
          <c:order val="0"/>
          <c:spPr>
            <a:ln w="31750" cap="rnd">
              <a:solidFill>
                <a:schemeClr val="accent1"/>
              </a:solidFill>
              <a:round/>
            </a:ln>
            <a:effectLst>
              <a:outerShdw blurRad="40000" dist="23000" dir="5400000" rotWithShape="0">
                <a:srgbClr val="000000">
                  <a:alpha val="35000"/>
                </a:srgbClr>
              </a:outerShdw>
            </a:effectLst>
          </c:spPr>
          <c:marker>
            <c:symbol val="none"/>
          </c:marker>
          <c:cat>
            <c:numRef>
              <c:f>'73'!$A$10:$A$19</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'73'!$Q$10:$Q$19</c:f>
              <c:numCache>
                <c:formatCode>0.0</c:formatCode>
                <c:ptCount val="10"/>
                <c:pt idx="0">
                  <c:v>47.530397615000638</c:v>
                </c:pt>
                <c:pt idx="1">
                  <c:v>46.940510667694028</c:v>
                </c:pt>
                <c:pt idx="2">
                  <c:v>45.666701707489224</c:v>
                </c:pt>
                <c:pt idx="3">
                  <c:v>46.740999632296955</c:v>
                </c:pt>
                <c:pt idx="4">
                  <c:v>48.658300697735022</c:v>
                </c:pt>
                <c:pt idx="5">
                  <c:v>46.479077315405128</c:v>
                </c:pt>
                <c:pt idx="6">
                  <c:v>49.943335585609745</c:v>
                </c:pt>
                <c:pt idx="7">
                  <c:v>32.83209700528645</c:v>
                </c:pt>
                <c:pt idx="8">
                  <c:v>41.659503693298952</c:v>
                </c:pt>
                <c:pt idx="9">
                  <c:v>47.195758828039317</c:v>
                </c:pt>
              </c:numCache>
            </c:numRef>
          </c:val>
          <c:smooth val="0"/>
          <c:extLst>
            <c:ext xmlns:c16="http://schemas.microsoft.com/office/drawing/2014/chart" uri="{C3380CC4-5D6E-409C-BE32-E72D297353CC}">
              <c16:uniqueId val="{00000000-AAF8-4C21-9400-9EE81EAD25F5}"/>
            </c:ext>
          </c:extLst>
        </c:ser>
        <c:dLbls>
          <c:showLegendKey val="0"/>
          <c:showVal val="0"/>
          <c:showCatName val="0"/>
          <c:showSerName val="0"/>
          <c:showPercent val="0"/>
          <c:showBubbleSize val="0"/>
        </c:dLbls>
        <c:smooth val="0"/>
        <c:axId val="-1430939328"/>
        <c:axId val="-1430924640"/>
      </c:lineChart>
      <c:catAx>
        <c:axId val="-1430939328"/>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24640"/>
        <c:crosses val="autoZero"/>
        <c:auto val="1"/>
        <c:lblAlgn val="ctr"/>
        <c:lblOffset val="100"/>
        <c:tickLblSkip val="1"/>
        <c:tickMarkSkip val="1"/>
        <c:noMultiLvlLbl val="0"/>
      </c:catAx>
      <c:valAx>
        <c:axId val="-1430924640"/>
        <c:scaling>
          <c:orientation val="minMax"/>
          <c:max val="52"/>
          <c:min val="32"/>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39328"/>
        <c:crosses val="autoZero"/>
        <c:crossBetween val="between"/>
        <c:majorUnit val="4"/>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paperSize="304" orientation="landscape" horizontalDpi="300" verticalDpi="300"/>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
              <a:t>Numero  de Egresos  y  Promedio  de  Camas
Servicio de  Salud  Aconcagua
</a:t>
            </a:r>
          </a:p>
        </c:rich>
      </c:tx>
      <c:layout>
        <c:manualLayout>
          <c:xMode val="edge"/>
          <c:yMode val="edge"/>
          <c:x val="0.19720803338691473"/>
          <c:y val="3.832752613240417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0.10471222034559829"/>
          <c:y val="0.3101045296167248"/>
          <c:w val="0.81182209856701015"/>
          <c:h val="0.4425087108013937"/>
        </c:manualLayout>
      </c:layout>
      <c:lineChart>
        <c:grouping val="standard"/>
        <c:varyColors val="0"/>
        <c:ser>
          <c:idx val="1"/>
          <c:order val="0"/>
          <c:tx>
            <c:v>N° de  Egresos</c:v>
          </c:tx>
          <c:spPr>
            <a:ln w="31750" cap="rnd">
              <a:solidFill>
                <a:schemeClr val="accent2"/>
              </a:solidFill>
              <a:round/>
            </a:ln>
            <a:effectLst>
              <a:outerShdw blurRad="40000" dist="23000" dir="5400000" rotWithShape="0">
                <a:srgbClr val="000000">
                  <a:alpha val="35000"/>
                </a:srgbClr>
              </a:outerShdw>
            </a:effectLst>
          </c:spPr>
          <c:marker>
            <c:symbol val="none"/>
          </c:marker>
          <c:cat>
            <c:numRef>
              <c:f>'83'!$B$9:$B$17</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'83'!$E$9:$E$18</c:f>
              <c:numCache>
                <c:formatCode>#,##0</c:formatCode>
                <c:ptCount val="10"/>
                <c:pt idx="0">
                  <c:v>24626</c:v>
                </c:pt>
                <c:pt idx="1">
                  <c:v>23665</c:v>
                </c:pt>
                <c:pt idx="2">
                  <c:v>23155</c:v>
                </c:pt>
                <c:pt idx="3">
                  <c:v>23436</c:v>
                </c:pt>
                <c:pt idx="4">
                  <c:v>23706</c:v>
                </c:pt>
                <c:pt idx="5">
                  <c:v>22872</c:v>
                </c:pt>
                <c:pt idx="6">
                  <c:v>17330</c:v>
                </c:pt>
                <c:pt idx="7">
                  <c:v>16627</c:v>
                </c:pt>
                <c:pt idx="8">
                  <c:v>18238</c:v>
                </c:pt>
                <c:pt idx="9">
                  <c:v>19685</c:v>
                </c:pt>
              </c:numCache>
            </c:numRef>
          </c:val>
          <c:smooth val="0"/>
          <c:extLst>
            <c:ext xmlns:c16="http://schemas.microsoft.com/office/drawing/2014/chart" uri="{C3380CC4-5D6E-409C-BE32-E72D297353CC}">
              <c16:uniqueId val="{00000000-7421-4246-99E2-DEBF062A4D03}"/>
            </c:ext>
          </c:extLst>
        </c:ser>
        <c:dLbls>
          <c:showLegendKey val="0"/>
          <c:showVal val="0"/>
          <c:showCatName val="0"/>
          <c:showSerName val="0"/>
          <c:showPercent val="0"/>
          <c:showBubbleSize val="0"/>
        </c:dLbls>
        <c:marker val="1"/>
        <c:smooth val="0"/>
        <c:axId val="-1430931168"/>
        <c:axId val="-1430942592"/>
      </c:lineChart>
      <c:lineChart>
        <c:grouping val="standard"/>
        <c:varyColors val="0"/>
        <c:ser>
          <c:idx val="0"/>
          <c:order val="1"/>
          <c:tx>
            <c:v>Promedio  de  Camas</c:v>
          </c:tx>
          <c:spPr>
            <a:ln w="31750" cap="rnd">
              <a:solidFill>
                <a:schemeClr val="accent1"/>
              </a:solidFill>
              <a:round/>
            </a:ln>
            <a:effectLst>
              <a:outerShdw blurRad="40000" dist="23000" dir="5400000" rotWithShape="0">
                <a:srgbClr val="000000">
                  <a:alpha val="35000"/>
                </a:srgbClr>
              </a:outerShdw>
            </a:effectLst>
          </c:spPr>
          <c:marker>
            <c:symbol val="none"/>
          </c:marker>
          <c:cat>
            <c:numRef>
              <c:f>'83'!$C$9:$C$18</c:f>
              <c:numCache>
                <c:formatCode>#,##0</c:formatCode>
                <c:ptCount val="10"/>
                <c:pt idx="0">
                  <c:v>829</c:v>
                </c:pt>
                <c:pt idx="1">
                  <c:v>829</c:v>
                </c:pt>
                <c:pt idx="2">
                  <c:v>829</c:v>
                </c:pt>
                <c:pt idx="3">
                  <c:v>829</c:v>
                </c:pt>
                <c:pt idx="4">
                  <c:v>829</c:v>
                </c:pt>
                <c:pt idx="5">
                  <c:v>817</c:v>
                </c:pt>
                <c:pt idx="6">
                  <c:v>817</c:v>
                </c:pt>
                <c:pt idx="7">
                  <c:v>817</c:v>
                </c:pt>
                <c:pt idx="8">
                  <c:v>808</c:v>
                </c:pt>
                <c:pt idx="9">
                  <c:v>808</c:v>
                </c:pt>
              </c:numCache>
            </c:numRef>
          </c:cat>
          <c:val>
            <c:numRef>
              <c:f>'83'!$D$9:$D$18</c:f>
              <c:numCache>
                <c:formatCode>#,##0</c:formatCode>
                <c:ptCount val="10"/>
                <c:pt idx="0">
                  <c:v>786</c:v>
                </c:pt>
                <c:pt idx="1">
                  <c:v>786</c:v>
                </c:pt>
                <c:pt idx="2">
                  <c:v>773</c:v>
                </c:pt>
                <c:pt idx="3">
                  <c:v>772.67945205479452</c:v>
                </c:pt>
                <c:pt idx="4">
                  <c:v>746.32876712328766</c:v>
                </c:pt>
                <c:pt idx="5">
                  <c:v>736.09315068493152</c:v>
                </c:pt>
                <c:pt idx="6">
                  <c:v>721.28493150684926</c:v>
                </c:pt>
                <c:pt idx="7">
                  <c:v>700.2383561643835</c:v>
                </c:pt>
                <c:pt idx="8">
                  <c:v>707.27397260273972</c:v>
                </c:pt>
                <c:pt idx="9">
                  <c:v>697.80273972602731</c:v>
                </c:pt>
              </c:numCache>
            </c:numRef>
          </c:val>
          <c:smooth val="0"/>
          <c:extLst>
            <c:ext xmlns:c16="http://schemas.microsoft.com/office/drawing/2014/chart" uri="{C3380CC4-5D6E-409C-BE32-E72D297353CC}">
              <c16:uniqueId val="{00000001-7421-4246-99E2-DEBF062A4D03}"/>
            </c:ext>
          </c:extLst>
        </c:ser>
        <c:dLbls>
          <c:showLegendKey val="0"/>
          <c:showVal val="0"/>
          <c:showCatName val="0"/>
          <c:showSerName val="0"/>
          <c:showPercent val="0"/>
          <c:showBubbleSize val="0"/>
        </c:dLbls>
        <c:marker val="1"/>
        <c:smooth val="0"/>
        <c:axId val="-1430927360"/>
        <c:axId val="-1430918112"/>
      </c:lineChart>
      <c:catAx>
        <c:axId val="-143093116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Egresos</a:t>
                </a:r>
              </a:p>
            </c:rich>
          </c:tx>
          <c:layout>
            <c:manualLayout>
              <c:xMode val="edge"/>
              <c:yMode val="edge"/>
              <c:x val="3.1413586166223216E-2"/>
              <c:y val="0.2229965156794425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42592"/>
        <c:crosses val="autoZero"/>
        <c:auto val="0"/>
        <c:lblAlgn val="ctr"/>
        <c:lblOffset val="100"/>
        <c:tickLblSkip val="1"/>
        <c:tickMarkSkip val="1"/>
        <c:noMultiLvlLbl val="0"/>
      </c:catAx>
      <c:valAx>
        <c:axId val="-1430942592"/>
        <c:scaling>
          <c:orientation val="minMax"/>
          <c:max val="26000"/>
          <c:min val="1600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31168"/>
        <c:crosses val="autoZero"/>
        <c:crossBetween val="between"/>
        <c:majorUnit val="2000"/>
        <c:minorUnit val="2000"/>
      </c:valAx>
      <c:catAx>
        <c:axId val="-1430927360"/>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Prom. Camas</a:t>
                </a:r>
              </a:p>
            </c:rich>
          </c:tx>
          <c:layout>
            <c:manualLayout>
              <c:xMode val="edge"/>
              <c:yMode val="edge"/>
              <c:x val="0.84991414666651277"/>
              <c:y val="0.2020905923344954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0" sourceLinked="1"/>
        <c:majorTickMark val="none"/>
        <c:minorTickMark val="none"/>
        <c:tickLblPos val="nextTo"/>
        <c:crossAx val="-1430918112"/>
        <c:crosses val="autoZero"/>
        <c:auto val="0"/>
        <c:lblAlgn val="ctr"/>
        <c:lblOffset val="100"/>
        <c:noMultiLvlLbl val="0"/>
      </c:catAx>
      <c:valAx>
        <c:axId val="-1430918112"/>
        <c:scaling>
          <c:orientation val="minMax"/>
          <c:min val="650"/>
        </c:scaling>
        <c:delete val="0"/>
        <c:axPos val="r"/>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27360"/>
        <c:crosses val="max"/>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
              <a:t>Indice  Ocupacional y Promedio  dias estada
Servicio de  Salud  Aconcagua
</a:t>
            </a:r>
          </a:p>
        </c:rich>
      </c:tx>
      <c:layout>
        <c:manualLayout>
          <c:xMode val="edge"/>
          <c:yMode val="edge"/>
          <c:x val="0.20000036837500573"/>
          <c:y val="3.87323943661971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8.4210670591198231E-2"/>
          <c:y val="0.31338028169016968"/>
          <c:w val="0.81403648238158965"/>
          <c:h val="0.43661971830988522"/>
        </c:manualLayout>
      </c:layout>
      <c:lineChart>
        <c:grouping val="standard"/>
        <c:varyColors val="0"/>
        <c:ser>
          <c:idx val="1"/>
          <c:order val="0"/>
          <c:tx>
            <c:v>indice</c:v>
          </c:tx>
          <c:spPr>
            <a:ln w="31750" cap="rnd">
              <a:solidFill>
                <a:schemeClr val="accent2"/>
              </a:solidFill>
              <a:round/>
            </a:ln>
            <a:effectLst>
              <a:outerShdw blurRad="40000" dist="23000" dir="5400000" rotWithShape="0">
                <a:srgbClr val="000000">
                  <a:alpha val="35000"/>
                </a:srgbClr>
              </a:outerShdw>
            </a:effectLst>
          </c:spPr>
          <c:marker>
            <c:symbol val="none"/>
          </c:marker>
          <c:cat>
            <c:numRef>
              <c:f>'83'!$B$9:$B$17</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'83'!$F$9:$F$17</c:f>
              <c:numCache>
                <c:formatCode>#,##0.0</c:formatCode>
                <c:ptCount val="9"/>
                <c:pt idx="0">
                  <c:v>80.434570516662248</c:v>
                </c:pt>
                <c:pt idx="1">
                  <c:v>79.143192610942137</c:v>
                </c:pt>
                <c:pt idx="2">
                  <c:v>79.169135044821019</c:v>
                </c:pt>
                <c:pt idx="3">
                  <c:v>79.112724640149906</c:v>
                </c:pt>
                <c:pt idx="4">
                  <c:v>82.204696655945725</c:v>
                </c:pt>
                <c:pt idx="5">
                  <c:v>83.510725458066432</c:v>
                </c:pt>
                <c:pt idx="6">
                  <c:v>74.851878736285244</c:v>
                </c:pt>
                <c:pt idx="7">
                  <c:v>76.989248995150888</c:v>
                </c:pt>
                <c:pt idx="8">
                  <c:v>76.989248995150888</c:v>
                </c:pt>
              </c:numCache>
            </c:numRef>
          </c:val>
          <c:smooth val="0"/>
          <c:extLst>
            <c:ext xmlns:c16="http://schemas.microsoft.com/office/drawing/2014/chart" uri="{C3380CC4-5D6E-409C-BE32-E72D297353CC}">
              <c16:uniqueId val="{00000000-2693-4FDE-991D-B5721F985ED6}"/>
            </c:ext>
          </c:extLst>
        </c:ser>
        <c:dLbls>
          <c:showLegendKey val="0"/>
          <c:showVal val="0"/>
          <c:showCatName val="0"/>
          <c:showSerName val="0"/>
          <c:showPercent val="0"/>
          <c:showBubbleSize val="0"/>
        </c:dLbls>
        <c:marker val="1"/>
        <c:smooth val="0"/>
        <c:axId val="-1430918656"/>
        <c:axId val="-1430914848"/>
      </c:lineChart>
      <c:lineChart>
        <c:grouping val="standard"/>
        <c:varyColors val="0"/>
        <c:ser>
          <c:idx val="0"/>
          <c:order val="1"/>
          <c:tx>
            <c:v>Promedio</c:v>
          </c:tx>
          <c:spPr>
            <a:ln w="31750" cap="rnd">
              <a:solidFill>
                <a:schemeClr val="accent1"/>
              </a:solidFill>
              <a:round/>
            </a:ln>
            <a:effectLst>
              <a:outerShdw blurRad="40000" dist="23000" dir="5400000" rotWithShape="0">
                <a:srgbClr val="000000">
                  <a:alpha val="35000"/>
                </a:srgbClr>
              </a:outerShdw>
            </a:effectLst>
          </c:spPr>
          <c:marker>
            <c:symbol val="none"/>
          </c:marker>
          <c:cat>
            <c:numRef>
              <c:f>'83'!$G$9:$G$17</c:f>
              <c:numCache>
                <c:formatCode>0.00</c:formatCode>
                <c:ptCount val="9"/>
                <c:pt idx="0">
                  <c:v>9.6418419556566235</c:v>
                </c:pt>
                <c:pt idx="1">
                  <c:v>9.5555884217198397</c:v>
                </c:pt>
                <c:pt idx="2">
                  <c:v>13.571928309220471</c:v>
                </c:pt>
                <c:pt idx="3">
                  <c:v>11.470558115719406</c:v>
                </c:pt>
                <c:pt idx="4">
                  <c:v>9.7483337551674687</c:v>
                </c:pt>
                <c:pt idx="5">
                  <c:v>9.3189052116124511</c:v>
                </c:pt>
                <c:pt idx="6">
                  <c:v>9.7656664743219856</c:v>
                </c:pt>
                <c:pt idx="7">
                  <c:v>10.615865760510014</c:v>
                </c:pt>
                <c:pt idx="8">
                  <c:v>10.615865760510014</c:v>
                </c:pt>
              </c:numCache>
            </c:numRef>
          </c:cat>
          <c:val>
            <c:numRef>
              <c:f>'83'!$G$9:$G$17</c:f>
              <c:numCache>
                <c:formatCode>0.00</c:formatCode>
                <c:ptCount val="9"/>
                <c:pt idx="0">
                  <c:v>9.6418419556566235</c:v>
                </c:pt>
                <c:pt idx="1">
                  <c:v>9.5555884217198397</c:v>
                </c:pt>
                <c:pt idx="2">
                  <c:v>13.571928309220471</c:v>
                </c:pt>
                <c:pt idx="3">
                  <c:v>11.470558115719406</c:v>
                </c:pt>
                <c:pt idx="4">
                  <c:v>9.7483337551674687</c:v>
                </c:pt>
                <c:pt idx="5">
                  <c:v>9.3189052116124511</c:v>
                </c:pt>
                <c:pt idx="6">
                  <c:v>9.7656664743219856</c:v>
                </c:pt>
                <c:pt idx="7">
                  <c:v>10.615865760510014</c:v>
                </c:pt>
                <c:pt idx="8">
                  <c:v>10.615865760510014</c:v>
                </c:pt>
              </c:numCache>
            </c:numRef>
          </c:val>
          <c:smooth val="0"/>
          <c:extLst>
            <c:ext xmlns:c16="http://schemas.microsoft.com/office/drawing/2014/chart" uri="{C3380CC4-5D6E-409C-BE32-E72D297353CC}">
              <c16:uniqueId val="{00000001-2693-4FDE-991D-B5721F985ED6}"/>
            </c:ext>
          </c:extLst>
        </c:ser>
        <c:dLbls>
          <c:showLegendKey val="0"/>
          <c:showVal val="0"/>
          <c:showCatName val="0"/>
          <c:showSerName val="0"/>
          <c:showPercent val="0"/>
          <c:showBubbleSize val="0"/>
        </c:dLbls>
        <c:marker val="1"/>
        <c:smooth val="0"/>
        <c:axId val="-1430913760"/>
        <c:axId val="-1430938784"/>
      </c:lineChart>
      <c:catAx>
        <c:axId val="-143091865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I. Ocup.</a:t>
                </a:r>
              </a:p>
            </c:rich>
          </c:tx>
          <c:layout>
            <c:manualLayout>
              <c:xMode val="edge"/>
              <c:yMode val="edge"/>
              <c:x val="1.4035087719298246E-2"/>
              <c:y val="0.2253521126760563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14848"/>
        <c:crosses val="autoZero"/>
        <c:auto val="0"/>
        <c:lblAlgn val="ctr"/>
        <c:lblOffset val="100"/>
        <c:tickLblSkip val="1"/>
        <c:tickMarkSkip val="1"/>
        <c:noMultiLvlLbl val="0"/>
      </c:catAx>
      <c:valAx>
        <c:axId val="-1430914848"/>
        <c:scaling>
          <c:orientation val="minMax"/>
          <c:max val="85"/>
          <c:min val="70"/>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18656"/>
        <c:crosses val="autoZero"/>
        <c:crossBetween val="between"/>
        <c:majorUnit val="5"/>
        <c:minorUnit val="5"/>
      </c:valAx>
      <c:catAx>
        <c:axId val="-1430913760"/>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Pro. dias</a:t>
                </a:r>
              </a:p>
            </c:rich>
          </c:tx>
          <c:layout>
            <c:manualLayout>
              <c:xMode val="edge"/>
              <c:yMode val="edge"/>
              <c:x val="0.8701769120965448"/>
              <c:y val="0.204225352112682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0.00" sourceLinked="1"/>
        <c:majorTickMark val="none"/>
        <c:minorTickMark val="none"/>
        <c:tickLblPos val="nextTo"/>
        <c:crossAx val="-1430938784"/>
        <c:crosses val="autoZero"/>
        <c:auto val="0"/>
        <c:lblAlgn val="ctr"/>
        <c:lblOffset val="100"/>
        <c:noMultiLvlLbl val="0"/>
      </c:catAx>
      <c:valAx>
        <c:axId val="-1430938784"/>
        <c:scaling>
          <c:orientation val="minMax"/>
          <c:max val="20"/>
          <c:min val="0"/>
        </c:scaling>
        <c:delete val="0"/>
        <c:axPos val="r"/>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13760"/>
        <c:crosses val="max"/>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
              <a:t>Numero  de Egresos  y  Promedio  de  Camas
Hospital  San  Camilo
</a:t>
            </a:r>
          </a:p>
        </c:rich>
      </c:tx>
      <c:layout>
        <c:manualLayout>
          <c:xMode val="edge"/>
          <c:yMode val="edge"/>
          <c:x val="0.21568661760417202"/>
          <c:y val="3.606557377049180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9.8039372126762739E-2"/>
          <c:y val="0.29180327868852457"/>
          <c:w val="0.82189673632933091"/>
          <c:h val="0.47213114754098329"/>
        </c:manualLayout>
      </c:layout>
      <c:lineChart>
        <c:grouping val="standard"/>
        <c:varyColors val="0"/>
        <c:ser>
          <c:idx val="1"/>
          <c:order val="0"/>
          <c:tx>
            <c:strRef>
              <c:f>'84'!$E$8</c:f>
              <c:strCache>
                <c:ptCount val="1"/>
                <c:pt idx="0">
                  <c:v>EGRESOS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cat>
            <c:numRef>
              <c:f>'84'!$B$9:$B$18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'84'!$E$9:$E$18</c:f>
              <c:numCache>
                <c:formatCode>#,##0</c:formatCode>
                <c:ptCount val="10"/>
                <c:pt idx="0">
                  <c:v>11948</c:v>
                </c:pt>
                <c:pt idx="1">
                  <c:v>11421</c:v>
                </c:pt>
                <c:pt idx="2">
                  <c:v>10752</c:v>
                </c:pt>
                <c:pt idx="3">
                  <c:v>11194</c:v>
                </c:pt>
                <c:pt idx="4">
                  <c:v>11761</c:v>
                </c:pt>
                <c:pt idx="5">
                  <c:v>11046</c:v>
                </c:pt>
                <c:pt idx="6">
                  <c:v>8460</c:v>
                </c:pt>
                <c:pt idx="7">
                  <c:v>7961</c:v>
                </c:pt>
                <c:pt idx="8">
                  <c:v>9257</c:v>
                </c:pt>
                <c:pt idx="9">
                  <c:v>9775</c:v>
                </c:pt>
              </c:numCache>
            </c:numRef>
          </c:val>
          <c:smooth val="0"/>
          <c:extLst>
            <c:ext xmlns:c16="http://schemas.microsoft.com/office/drawing/2014/chart" uri="{C3380CC4-5D6E-409C-BE32-E72D297353CC}">
              <c16:uniqueId val="{00000000-D659-46B7-A3C7-CD936A9DE077}"/>
            </c:ext>
          </c:extLst>
        </c:ser>
        <c:dLbls>
          <c:showLegendKey val="0"/>
          <c:showVal val="0"/>
          <c:showCatName val="0"/>
          <c:showSerName val="0"/>
          <c:showPercent val="0"/>
          <c:showBubbleSize val="0"/>
        </c:dLbls>
        <c:marker val="1"/>
        <c:smooth val="0"/>
        <c:axId val="-1430913216"/>
        <c:axId val="-1430929536"/>
      </c:lineChart>
      <c:lineChart>
        <c:grouping val="standard"/>
        <c:varyColors val="0"/>
        <c:ser>
          <c:idx val="0"/>
          <c:order val="1"/>
          <c:tx>
            <c:v>Indice Ocupacional</c:v>
          </c:tx>
          <c:spPr>
            <a:ln w="31750" cap="rnd">
              <a:solidFill>
                <a:schemeClr val="accent1"/>
              </a:solidFill>
              <a:round/>
            </a:ln>
            <a:effectLst>
              <a:outerShdw blurRad="40000" dist="23000" dir="5400000" rotWithShape="0">
                <a:srgbClr val="000000">
                  <a:alpha val="35000"/>
                </a:srgbClr>
              </a:outerShdw>
            </a:effectLst>
          </c:spPr>
          <c:marker>
            <c:symbol val="none"/>
          </c:marker>
          <c:cat>
            <c:numRef>
              <c:f>'84'!$C$9:$C$18</c:f>
              <c:numCache>
                <c:formatCode>General</c:formatCode>
                <c:ptCount val="10"/>
                <c:pt idx="0">
                  <c:v>234</c:v>
                </c:pt>
                <c:pt idx="1">
                  <c:v>234</c:v>
                </c:pt>
                <c:pt idx="2">
                  <c:v>234</c:v>
                </c:pt>
                <c:pt idx="3">
                  <c:v>234</c:v>
                </c:pt>
                <c:pt idx="4">
                  <c:v>234</c:v>
                </c:pt>
                <c:pt idx="5">
                  <c:v>225</c:v>
                </c:pt>
                <c:pt idx="6">
                  <c:v>225</c:v>
                </c:pt>
                <c:pt idx="7">
                  <c:v>225</c:v>
                </c:pt>
                <c:pt idx="8">
                  <c:v>221</c:v>
                </c:pt>
                <c:pt idx="9">
                  <c:v>221</c:v>
                </c:pt>
              </c:numCache>
            </c:numRef>
          </c:cat>
          <c:val>
            <c:numRef>
              <c:f>'84'!$D$9:$D$18</c:f>
              <c:numCache>
                <c:formatCode>General</c:formatCode>
                <c:ptCount val="10"/>
                <c:pt idx="0">
                  <c:v>233</c:v>
                </c:pt>
                <c:pt idx="1">
                  <c:v>233</c:v>
                </c:pt>
                <c:pt idx="2">
                  <c:v>233</c:v>
                </c:pt>
                <c:pt idx="3">
                  <c:v>232</c:v>
                </c:pt>
                <c:pt idx="4">
                  <c:v>222</c:v>
                </c:pt>
                <c:pt idx="5" formatCode="0">
                  <c:v>225</c:v>
                </c:pt>
                <c:pt idx="6" formatCode="0">
                  <c:v>224</c:v>
                </c:pt>
                <c:pt idx="7" formatCode="0">
                  <c:v>225</c:v>
                </c:pt>
                <c:pt idx="8" formatCode="0">
                  <c:v>222.74794520547945</c:v>
                </c:pt>
                <c:pt idx="9" formatCode="0">
                  <c:v>218.84931506849315</c:v>
                </c:pt>
              </c:numCache>
            </c:numRef>
          </c:val>
          <c:smooth val="0"/>
          <c:extLst>
            <c:ext xmlns:c16="http://schemas.microsoft.com/office/drawing/2014/chart" uri="{C3380CC4-5D6E-409C-BE32-E72D297353CC}">
              <c16:uniqueId val="{00000001-D659-46B7-A3C7-CD936A9DE077}"/>
            </c:ext>
          </c:extLst>
        </c:ser>
        <c:dLbls>
          <c:showLegendKey val="0"/>
          <c:showVal val="0"/>
          <c:showCatName val="0"/>
          <c:showSerName val="0"/>
          <c:showPercent val="0"/>
          <c:showBubbleSize val="0"/>
        </c:dLbls>
        <c:marker val="1"/>
        <c:smooth val="0"/>
        <c:axId val="-1430912672"/>
        <c:axId val="-1430935520"/>
      </c:lineChart>
      <c:catAx>
        <c:axId val="-143091321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Egresos</a:t>
                </a:r>
              </a:p>
            </c:rich>
          </c:tx>
          <c:layout>
            <c:manualLayout>
              <c:xMode val="edge"/>
              <c:yMode val="edge"/>
              <c:x val="2.4509803921568631E-2"/>
              <c:y val="0.2032786885245904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29536"/>
        <c:crosses val="autoZero"/>
        <c:auto val="0"/>
        <c:lblAlgn val="ctr"/>
        <c:lblOffset val="100"/>
        <c:tickLblSkip val="1"/>
        <c:tickMarkSkip val="1"/>
        <c:noMultiLvlLbl val="0"/>
      </c:catAx>
      <c:valAx>
        <c:axId val="-1430929536"/>
        <c:scaling>
          <c:orientation val="minMax"/>
          <c:max val="12000"/>
          <c:min val="750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13216"/>
        <c:crosses val="autoZero"/>
        <c:crossBetween val="between"/>
        <c:majorUnit val="300"/>
        <c:minorUnit val="300"/>
      </c:valAx>
      <c:catAx>
        <c:axId val="-1430912672"/>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Prom. Camas</a:t>
                </a:r>
              </a:p>
            </c:rich>
          </c:tx>
          <c:layout>
            <c:manualLayout>
              <c:xMode val="edge"/>
              <c:yMode val="edge"/>
              <c:x val="0.86601444427289764"/>
              <c:y val="0.1901639344262324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crossAx val="-1430935520"/>
        <c:crosses val="autoZero"/>
        <c:auto val="0"/>
        <c:lblAlgn val="ctr"/>
        <c:lblOffset val="100"/>
        <c:noMultiLvlLbl val="0"/>
      </c:catAx>
      <c:valAx>
        <c:axId val="-1430935520"/>
        <c:scaling>
          <c:orientation val="minMax"/>
          <c:max val="240"/>
          <c:min val="210"/>
        </c:scaling>
        <c:delete val="0"/>
        <c:axPos val="r"/>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12672"/>
        <c:crosses val="max"/>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
              <a:t>Indice  Ocupacional y Promedio  dias estada
Hospital  San  Camilo
</a:t>
            </a:r>
          </a:p>
        </c:rich>
      </c:tx>
      <c:layout>
        <c:manualLayout>
          <c:xMode val="edge"/>
          <c:yMode val="edge"/>
          <c:x val="0.22003318550698694"/>
          <c:y val="3.654485049833887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7.8817860378598989E-2"/>
          <c:y val="0.29568154277658909"/>
          <c:w val="0.83579772776472661"/>
          <c:h val="0.46511703358115125"/>
        </c:manualLayout>
      </c:layout>
      <c:lineChart>
        <c:grouping val="standard"/>
        <c:varyColors val="0"/>
        <c:ser>
          <c:idx val="1"/>
          <c:order val="0"/>
          <c:tx>
            <c:strRef>
              <c:f>'84'!$F$7</c:f>
              <c:strCache>
                <c:ptCount val="1"/>
                <c:pt idx="0">
                  <c:v>INDICE</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cat>
            <c:numRef>
              <c:f>'84'!$B$9:$B$18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'84'!$F$9:$F$18</c:f>
              <c:numCache>
                <c:formatCode>#,##0.0</c:formatCode>
                <c:ptCount val="10"/>
                <c:pt idx="0">
                  <c:v>69.898782801324415</c:v>
                </c:pt>
                <c:pt idx="1">
                  <c:v>64.493501618730349</c:v>
                </c:pt>
                <c:pt idx="2">
                  <c:v>62.549711730791856</c:v>
                </c:pt>
                <c:pt idx="3">
                  <c:v>65.759969724206442</c:v>
                </c:pt>
                <c:pt idx="4">
                  <c:v>70.390661632240068</c:v>
                </c:pt>
                <c:pt idx="5">
                  <c:v>72.046730907451845</c:v>
                </c:pt>
                <c:pt idx="6">
                  <c:v>61.376666013328105</c:v>
                </c:pt>
                <c:pt idx="7">
                  <c:v>60.72190459936855</c:v>
                </c:pt>
                <c:pt idx="8">
                  <c:v>68.506697169846134</c:v>
                </c:pt>
                <c:pt idx="9">
                  <c:v>72.339759639459189</c:v>
                </c:pt>
              </c:numCache>
            </c:numRef>
          </c:val>
          <c:smooth val="0"/>
          <c:extLst>
            <c:ext xmlns:c16="http://schemas.microsoft.com/office/drawing/2014/chart" uri="{C3380CC4-5D6E-409C-BE32-E72D297353CC}">
              <c16:uniqueId val="{00000000-5A2B-4A75-83B8-420E41999A62}"/>
            </c:ext>
          </c:extLst>
        </c:ser>
        <c:dLbls>
          <c:showLegendKey val="0"/>
          <c:showVal val="0"/>
          <c:showCatName val="0"/>
          <c:showSerName val="0"/>
          <c:showPercent val="0"/>
          <c:showBubbleSize val="0"/>
        </c:dLbls>
        <c:marker val="1"/>
        <c:smooth val="0"/>
        <c:axId val="-1430926272"/>
        <c:axId val="-1430938240"/>
      </c:lineChart>
      <c:lineChart>
        <c:grouping val="standard"/>
        <c:varyColors val="0"/>
        <c:ser>
          <c:idx val="0"/>
          <c:order val="1"/>
          <c:tx>
            <c:v>Promedio</c:v>
          </c:tx>
          <c:spPr>
            <a:ln w="31750" cap="rnd">
              <a:solidFill>
                <a:schemeClr val="accent1"/>
              </a:solidFill>
              <a:round/>
            </a:ln>
            <a:effectLst>
              <a:outerShdw blurRad="40000" dist="23000" dir="5400000" rotWithShape="0">
                <a:srgbClr val="000000">
                  <a:alpha val="35000"/>
                </a:srgbClr>
              </a:outerShdw>
            </a:effectLst>
          </c:spPr>
          <c:marker>
            <c:symbol val="none"/>
          </c:marker>
          <c:cat>
            <c:numRef>
              <c:f>'84'!$G$9:$G$18</c:f>
              <c:numCache>
                <c:formatCode>0.00</c:formatCode>
                <c:ptCount val="10"/>
                <c:pt idx="0">
                  <c:v>5.0907264814194848</c:v>
                </c:pt>
                <c:pt idx="1">
                  <c:v>4.7750634795552056</c:v>
                </c:pt>
                <c:pt idx="2">
                  <c:v>5.0465959821428568</c:v>
                </c:pt>
                <c:pt idx="3">
                  <c:v>5.1546364123637662</c:v>
                </c:pt>
                <c:pt idx="4">
                  <c:v>4.85069296828501</c:v>
                </c:pt>
                <c:pt idx="5">
                  <c:v>5.4436900235379326</c:v>
                </c:pt>
                <c:pt idx="6">
                  <c:v>5.949290780141844</c:v>
                </c:pt>
                <c:pt idx="7">
                  <c:v>6.3628941087803037</c:v>
                </c:pt>
                <c:pt idx="8">
                  <c:v>5.824781246624176</c:v>
                </c:pt>
                <c:pt idx="9">
                  <c:v>6.1207161125319693</c:v>
                </c:pt>
              </c:numCache>
            </c:numRef>
          </c:cat>
          <c:val>
            <c:numRef>
              <c:f>'84'!$G$9:$G$18</c:f>
              <c:numCache>
                <c:formatCode>0.00</c:formatCode>
                <c:ptCount val="10"/>
                <c:pt idx="0">
                  <c:v>5.0907264814194848</c:v>
                </c:pt>
                <c:pt idx="1">
                  <c:v>4.7750634795552056</c:v>
                </c:pt>
                <c:pt idx="2">
                  <c:v>5.0465959821428568</c:v>
                </c:pt>
                <c:pt idx="3">
                  <c:v>5.1546364123637662</c:v>
                </c:pt>
                <c:pt idx="4">
                  <c:v>4.85069296828501</c:v>
                </c:pt>
                <c:pt idx="5">
                  <c:v>5.4436900235379326</c:v>
                </c:pt>
                <c:pt idx="6">
                  <c:v>5.949290780141844</c:v>
                </c:pt>
                <c:pt idx="7">
                  <c:v>6.3628941087803037</c:v>
                </c:pt>
                <c:pt idx="8">
                  <c:v>5.824781246624176</c:v>
                </c:pt>
                <c:pt idx="9">
                  <c:v>6.1207161125319693</c:v>
                </c:pt>
              </c:numCache>
            </c:numRef>
          </c:val>
          <c:smooth val="0"/>
          <c:extLst>
            <c:ext xmlns:c16="http://schemas.microsoft.com/office/drawing/2014/chart" uri="{C3380CC4-5D6E-409C-BE32-E72D297353CC}">
              <c16:uniqueId val="{00000001-5A2B-4A75-83B8-420E41999A62}"/>
            </c:ext>
          </c:extLst>
        </c:ser>
        <c:dLbls>
          <c:showLegendKey val="0"/>
          <c:showVal val="0"/>
          <c:showCatName val="0"/>
          <c:showSerName val="0"/>
          <c:showPercent val="0"/>
          <c:showBubbleSize val="0"/>
        </c:dLbls>
        <c:marker val="1"/>
        <c:smooth val="0"/>
        <c:axId val="-1430915392"/>
        <c:axId val="-1430937152"/>
      </c:lineChart>
      <c:catAx>
        <c:axId val="-143092627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I. Ocup.</a:t>
                </a:r>
              </a:p>
            </c:rich>
          </c:tx>
          <c:layout>
            <c:manualLayout>
              <c:xMode val="edge"/>
              <c:yMode val="edge"/>
              <c:x val="9.8522167487693664E-3"/>
              <c:y val="0.205980415238792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38240"/>
        <c:crosses val="autoZero"/>
        <c:auto val="0"/>
        <c:lblAlgn val="ctr"/>
        <c:lblOffset val="100"/>
        <c:tickLblSkip val="1"/>
        <c:tickMarkSkip val="1"/>
        <c:noMultiLvlLbl val="0"/>
      </c:catAx>
      <c:valAx>
        <c:axId val="-1430938240"/>
        <c:scaling>
          <c:orientation val="minMax"/>
          <c:max val="74"/>
          <c:min val="60"/>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26272"/>
        <c:crosses val="autoZero"/>
        <c:crossBetween val="between"/>
        <c:majorUnit val="2"/>
        <c:minorUnit val="2"/>
      </c:valAx>
      <c:catAx>
        <c:axId val="-1430915392"/>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Pro. dias</a:t>
                </a:r>
              </a:p>
            </c:rich>
          </c:tx>
          <c:layout>
            <c:manualLayout>
              <c:xMode val="edge"/>
              <c:yMode val="edge"/>
              <c:x val="0.88998495877670458"/>
              <c:y val="0.1926913786939423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0.00" sourceLinked="1"/>
        <c:majorTickMark val="none"/>
        <c:minorTickMark val="none"/>
        <c:tickLblPos val="nextTo"/>
        <c:crossAx val="-1430937152"/>
        <c:crosses val="autoZero"/>
        <c:auto val="0"/>
        <c:lblAlgn val="ctr"/>
        <c:lblOffset val="100"/>
        <c:noMultiLvlLbl val="0"/>
      </c:catAx>
      <c:valAx>
        <c:axId val="-1430937152"/>
        <c:scaling>
          <c:orientation val="minMax"/>
          <c:max val="6.5"/>
          <c:min val="4.5"/>
        </c:scaling>
        <c:delete val="0"/>
        <c:axPos val="r"/>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15392"/>
        <c:crosses val="max"/>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
              <a:t>Numero  de Egresos  y  Promedio  de  Camas
Hospital  Los  Andes
</a:t>
            </a:r>
          </a:p>
        </c:rich>
      </c:tx>
      <c:layout>
        <c:manualLayout>
          <c:xMode val="edge"/>
          <c:yMode val="edge"/>
          <c:x val="0.21322314049587687"/>
          <c:y val="3.606557377049180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9.9173553719008253E-2"/>
          <c:y val="0.29180327868852457"/>
          <c:w val="0.81983471074380165"/>
          <c:h val="0.47213114754098329"/>
        </c:manualLayout>
      </c:layout>
      <c:lineChart>
        <c:grouping val="standard"/>
        <c:varyColors val="0"/>
        <c:ser>
          <c:idx val="1"/>
          <c:order val="0"/>
          <c:tx>
            <c:v>N° de  Egresos</c:v>
          </c:tx>
          <c:spPr>
            <a:ln w="31750" cap="rnd">
              <a:solidFill>
                <a:schemeClr val="accent2"/>
              </a:solidFill>
              <a:round/>
            </a:ln>
            <a:effectLst>
              <a:outerShdw blurRad="40000" dist="23000" dir="5400000" rotWithShape="0">
                <a:srgbClr val="000000">
                  <a:alpha val="35000"/>
                </a:srgbClr>
              </a:outerShdw>
            </a:effectLst>
          </c:spPr>
          <c:marker>
            <c:symbol val="none"/>
          </c:marker>
          <c:cat>
            <c:numRef>
              <c:f>'85'!$B$9:$B$17</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'85'!$E$9:$E$17</c:f>
              <c:numCache>
                <c:formatCode>#,##0</c:formatCode>
                <c:ptCount val="9"/>
                <c:pt idx="0">
                  <c:v>9671</c:v>
                </c:pt>
                <c:pt idx="1">
                  <c:v>9361</c:v>
                </c:pt>
                <c:pt idx="2">
                  <c:v>9344</c:v>
                </c:pt>
                <c:pt idx="3">
                  <c:v>9208</c:v>
                </c:pt>
                <c:pt idx="4">
                  <c:v>9081</c:v>
                </c:pt>
                <c:pt idx="5">
                  <c:v>9086</c:v>
                </c:pt>
                <c:pt idx="6">
                  <c:v>6807</c:v>
                </c:pt>
                <c:pt idx="7">
                  <c:v>6862</c:v>
                </c:pt>
                <c:pt idx="8">
                  <c:v>7211</c:v>
                </c:pt>
              </c:numCache>
            </c:numRef>
          </c:val>
          <c:smooth val="0"/>
          <c:extLst>
            <c:ext xmlns:c16="http://schemas.microsoft.com/office/drawing/2014/chart" uri="{C3380CC4-5D6E-409C-BE32-E72D297353CC}">
              <c16:uniqueId val="{00000000-0C7E-4AD9-A3EE-9007D10D5D44}"/>
            </c:ext>
          </c:extLst>
        </c:ser>
        <c:dLbls>
          <c:showLegendKey val="0"/>
          <c:showVal val="0"/>
          <c:showCatName val="0"/>
          <c:showSerName val="0"/>
          <c:showPercent val="0"/>
          <c:showBubbleSize val="0"/>
        </c:dLbls>
        <c:marker val="1"/>
        <c:smooth val="0"/>
        <c:axId val="-1430943136"/>
        <c:axId val="-1430936608"/>
      </c:lineChart>
      <c:lineChart>
        <c:grouping val="standard"/>
        <c:varyColors val="0"/>
        <c:ser>
          <c:idx val="0"/>
          <c:order val="1"/>
          <c:tx>
            <c:v>Promedio  de  Camas</c:v>
          </c:tx>
          <c:spPr>
            <a:ln w="31750" cap="rnd">
              <a:solidFill>
                <a:schemeClr val="accent1"/>
              </a:solidFill>
              <a:round/>
            </a:ln>
            <a:effectLst>
              <a:outerShdw blurRad="40000" dist="23000" dir="5400000" rotWithShape="0">
                <a:srgbClr val="000000">
                  <a:alpha val="35000"/>
                </a:srgbClr>
              </a:outerShdw>
            </a:effectLst>
          </c:spPr>
          <c:marker>
            <c:symbol val="none"/>
          </c:marker>
          <c:cat>
            <c:numRef>
              <c:f>'85'!$C$9:$C$17</c:f>
              <c:numCache>
                <c:formatCode>General</c:formatCode>
                <c:ptCount val="9"/>
                <c:pt idx="0">
                  <c:v>168</c:v>
                </c:pt>
                <c:pt idx="1">
                  <c:v>168</c:v>
                </c:pt>
                <c:pt idx="2">
                  <c:v>168</c:v>
                </c:pt>
                <c:pt idx="3">
                  <c:v>168</c:v>
                </c:pt>
                <c:pt idx="4">
                  <c:v>168</c:v>
                </c:pt>
                <c:pt idx="5">
                  <c:v>168</c:v>
                </c:pt>
                <c:pt idx="6">
                  <c:v>168</c:v>
                </c:pt>
                <c:pt idx="7">
                  <c:v>168</c:v>
                </c:pt>
                <c:pt idx="8">
                  <c:v>168</c:v>
                </c:pt>
              </c:numCache>
            </c:numRef>
          </c:cat>
          <c:val>
            <c:numRef>
              <c:f>'85'!$D$9:$D$17</c:f>
              <c:numCache>
                <c:formatCode>General</c:formatCode>
                <c:ptCount val="9"/>
                <c:pt idx="0">
                  <c:v>160</c:v>
                </c:pt>
                <c:pt idx="1">
                  <c:v>160</c:v>
                </c:pt>
                <c:pt idx="2">
                  <c:v>153</c:v>
                </c:pt>
                <c:pt idx="3" formatCode="0">
                  <c:v>163.67945205479452</c:v>
                </c:pt>
                <c:pt idx="4" formatCode="0">
                  <c:v>164.0958904109589</c:v>
                </c:pt>
                <c:pt idx="5" formatCode="0">
                  <c:v>164.07671232876712</c:v>
                </c:pt>
                <c:pt idx="6" formatCode="0">
                  <c:v>156.75342465753425</c:v>
                </c:pt>
                <c:pt idx="7" formatCode="0">
                  <c:v>153.68493150684932</c:v>
                </c:pt>
                <c:pt idx="8" formatCode="0">
                  <c:v>157.13424657534247</c:v>
                </c:pt>
              </c:numCache>
            </c:numRef>
          </c:val>
          <c:smooth val="0"/>
          <c:extLst>
            <c:ext xmlns:c16="http://schemas.microsoft.com/office/drawing/2014/chart" uri="{C3380CC4-5D6E-409C-BE32-E72D297353CC}">
              <c16:uniqueId val="{00000001-0C7E-4AD9-A3EE-9007D10D5D44}"/>
            </c:ext>
          </c:extLst>
        </c:ser>
        <c:dLbls>
          <c:showLegendKey val="0"/>
          <c:showVal val="0"/>
          <c:showCatName val="0"/>
          <c:showSerName val="0"/>
          <c:showPercent val="0"/>
          <c:showBubbleSize val="0"/>
        </c:dLbls>
        <c:marker val="1"/>
        <c:smooth val="0"/>
        <c:axId val="-1430934432"/>
        <c:axId val="-1430933888"/>
      </c:lineChart>
      <c:catAx>
        <c:axId val="-1430943136"/>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Egresos</a:t>
                </a:r>
              </a:p>
            </c:rich>
          </c:tx>
          <c:layout>
            <c:manualLayout>
              <c:xMode val="edge"/>
              <c:yMode val="edge"/>
              <c:x val="2.644628099173554E-2"/>
              <c:y val="0.2032786885245904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36608"/>
        <c:crosses val="autoZero"/>
        <c:auto val="0"/>
        <c:lblAlgn val="ctr"/>
        <c:lblOffset val="100"/>
        <c:tickLblSkip val="1"/>
        <c:tickMarkSkip val="1"/>
        <c:noMultiLvlLbl val="0"/>
      </c:catAx>
      <c:valAx>
        <c:axId val="-1430936608"/>
        <c:scaling>
          <c:orientation val="minMax"/>
          <c:max val="10500"/>
          <c:min val="650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43136"/>
        <c:crosses val="autoZero"/>
        <c:crossBetween val="between"/>
        <c:majorUnit val="500"/>
        <c:minorUnit val="500"/>
      </c:valAx>
      <c:catAx>
        <c:axId val="-1430934432"/>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Camas</a:t>
                </a:r>
              </a:p>
            </c:rich>
          </c:tx>
          <c:layout>
            <c:manualLayout>
              <c:xMode val="edge"/>
              <c:yMode val="edge"/>
              <c:x val="0.90247933884297449"/>
              <c:y val="0.1901639344262324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crossAx val="-1430933888"/>
        <c:crosses val="autoZero"/>
        <c:auto val="0"/>
        <c:lblAlgn val="ctr"/>
        <c:lblOffset val="100"/>
        <c:noMultiLvlLbl val="0"/>
      </c:catAx>
      <c:valAx>
        <c:axId val="-1430933888"/>
        <c:scaling>
          <c:orientation val="minMax"/>
          <c:max val="220"/>
          <c:min val="100"/>
        </c:scaling>
        <c:delete val="0"/>
        <c:axPos val="r"/>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30934432"/>
        <c:crosses val="max"/>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
              <a:t>Indice  Ocupacional y Promedio  dias estada
Hospital  Los  Andes</a:t>
            </a:r>
          </a:p>
        </c:rich>
      </c:tx>
      <c:layout>
        <c:manualLayout>
          <c:xMode val="edge"/>
          <c:yMode val="edge"/>
          <c:x val="0.21594684385383414"/>
          <c:y val="3.654485049833887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7.9734219269103124E-2"/>
          <c:y val="0.29568154277658909"/>
          <c:w val="0.83388704318936879"/>
          <c:h val="0.46511703358115125"/>
        </c:manualLayout>
      </c:layout>
      <c:lineChart>
        <c:grouping val="standard"/>
        <c:varyColors val="0"/>
        <c:ser>
          <c:idx val="1"/>
          <c:order val="0"/>
          <c:tx>
            <c:v>indice</c:v>
          </c:tx>
          <c:spPr>
            <a:ln w="31750" cap="rnd">
              <a:solidFill>
                <a:schemeClr val="accent2"/>
              </a:solidFill>
              <a:round/>
            </a:ln>
            <a:effectLst>
              <a:outerShdw blurRad="40000" dist="23000" dir="5400000" rotWithShape="0">
                <a:srgbClr val="000000">
                  <a:alpha val="35000"/>
                </a:srgbClr>
              </a:outerShdw>
            </a:effectLst>
          </c:spPr>
          <c:marker>
            <c:symbol val="none"/>
          </c:marker>
          <c:cat>
            <c:numRef>
              <c:f>'85'!$B$9:$B$17</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'85'!$F$9:$F$17</c:f>
              <c:numCache>
                <c:formatCode>#,##0.0</c:formatCode>
                <c:ptCount val="9"/>
                <c:pt idx="0">
                  <c:v>78.718246380770282</c:v>
                </c:pt>
                <c:pt idx="1">
                  <c:v>80.627072862173904</c:v>
                </c:pt>
                <c:pt idx="2">
                  <c:v>87.477343287331976</c:v>
                </c:pt>
                <c:pt idx="3">
                  <c:v>82.351070418291684</c:v>
                </c:pt>
                <c:pt idx="4">
                  <c:v>86.102345771767261</c:v>
                </c:pt>
                <c:pt idx="5">
                  <c:v>84.714800961795362</c:v>
                </c:pt>
                <c:pt idx="6">
                  <c:v>71.36764834396574</c:v>
                </c:pt>
                <c:pt idx="7">
                  <c:v>78.135306177021121</c:v>
                </c:pt>
                <c:pt idx="8">
                  <c:v>79.351047878090455</c:v>
                </c:pt>
              </c:numCache>
            </c:numRef>
          </c:val>
          <c:smooth val="0"/>
          <c:extLst>
            <c:ext xmlns:c16="http://schemas.microsoft.com/office/drawing/2014/chart" uri="{C3380CC4-5D6E-409C-BE32-E72D297353CC}">
              <c16:uniqueId val="{00000000-ABBE-46FC-80D6-DD43283EBBE2}"/>
            </c:ext>
          </c:extLst>
        </c:ser>
        <c:dLbls>
          <c:showLegendKey val="0"/>
          <c:showVal val="0"/>
          <c:showCatName val="0"/>
          <c:showSerName val="0"/>
          <c:showPercent val="0"/>
          <c:showBubbleSize val="0"/>
        </c:dLbls>
        <c:marker val="1"/>
        <c:smooth val="0"/>
        <c:axId val="-1424978992"/>
        <c:axId val="-1425006736"/>
      </c:lineChart>
      <c:lineChart>
        <c:grouping val="standard"/>
        <c:varyColors val="0"/>
        <c:ser>
          <c:idx val="0"/>
          <c:order val="1"/>
          <c:tx>
            <c:v>Promedio</c:v>
          </c:tx>
          <c:spPr>
            <a:ln w="31750" cap="rnd">
              <a:solidFill>
                <a:schemeClr val="accent1"/>
              </a:solidFill>
              <a:round/>
            </a:ln>
            <a:effectLst>
              <a:outerShdw blurRad="40000" dist="23000" dir="5400000" rotWithShape="0">
                <a:srgbClr val="000000">
                  <a:alpha val="35000"/>
                </a:srgbClr>
              </a:outerShdw>
            </a:effectLst>
          </c:spPr>
          <c:marker>
            <c:symbol val="none"/>
          </c:marker>
          <c:cat>
            <c:numRef>
              <c:f>'85'!$G$9:$G$17</c:f>
              <c:numCache>
                <c:formatCode>0.00</c:formatCode>
                <c:ptCount val="9"/>
                <c:pt idx="0">
                  <c:v>4.7527660014476272</c:v>
                </c:pt>
                <c:pt idx="1">
                  <c:v>5.0138874051917526</c:v>
                </c:pt>
                <c:pt idx="2">
                  <c:v>5.2456121575342465</c:v>
                </c:pt>
                <c:pt idx="3">
                  <c:v>5.3322111207645522</c:v>
                </c:pt>
                <c:pt idx="4">
                  <c:v>5.6168924127298752</c:v>
                </c:pt>
                <c:pt idx="5">
                  <c:v>5.5651551837992512</c:v>
                </c:pt>
                <c:pt idx="6">
                  <c:v>6.079477008961363</c:v>
                </c:pt>
                <c:pt idx="7">
                  <c:v>6.2251530166132323</c:v>
                </c:pt>
                <c:pt idx="8">
                  <c:v>6.3249202607127994</c:v>
                </c:pt>
              </c:numCache>
            </c:numRef>
          </c:cat>
          <c:val>
            <c:numRef>
              <c:f>'85'!$G$9:$G$17</c:f>
              <c:numCache>
                <c:formatCode>0.00</c:formatCode>
                <c:ptCount val="9"/>
                <c:pt idx="0">
                  <c:v>4.7527660014476272</c:v>
                </c:pt>
                <c:pt idx="1">
                  <c:v>5.0138874051917526</c:v>
                </c:pt>
                <c:pt idx="2">
                  <c:v>5.2456121575342465</c:v>
                </c:pt>
                <c:pt idx="3">
                  <c:v>5.3322111207645522</c:v>
                </c:pt>
                <c:pt idx="4">
                  <c:v>5.6168924127298752</c:v>
                </c:pt>
                <c:pt idx="5">
                  <c:v>5.5651551837992512</c:v>
                </c:pt>
                <c:pt idx="6">
                  <c:v>6.079477008961363</c:v>
                </c:pt>
                <c:pt idx="7">
                  <c:v>6.2251530166132323</c:v>
                </c:pt>
                <c:pt idx="8">
                  <c:v>6.3249202607127994</c:v>
                </c:pt>
              </c:numCache>
            </c:numRef>
          </c:val>
          <c:smooth val="0"/>
          <c:extLst>
            <c:ext xmlns:c16="http://schemas.microsoft.com/office/drawing/2014/chart" uri="{C3380CC4-5D6E-409C-BE32-E72D297353CC}">
              <c16:uniqueId val="{00000001-ABBE-46FC-80D6-DD43283EBBE2}"/>
            </c:ext>
          </c:extLst>
        </c:ser>
        <c:dLbls>
          <c:showLegendKey val="0"/>
          <c:showVal val="0"/>
          <c:showCatName val="0"/>
          <c:showSerName val="0"/>
          <c:showPercent val="0"/>
          <c:showBubbleSize val="0"/>
        </c:dLbls>
        <c:marker val="1"/>
        <c:smooth val="0"/>
        <c:axId val="-1424980624"/>
        <c:axId val="-1424993680"/>
      </c:lineChart>
      <c:catAx>
        <c:axId val="-142497899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I. Ocup.</a:t>
                </a:r>
              </a:p>
            </c:rich>
          </c:tx>
          <c:layout>
            <c:manualLayout>
              <c:xMode val="edge"/>
              <c:yMode val="edge"/>
              <c:x val="1.1627906976744136E-2"/>
              <c:y val="0.205980415238792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5006736"/>
        <c:crosses val="autoZero"/>
        <c:auto val="0"/>
        <c:lblAlgn val="ctr"/>
        <c:lblOffset val="100"/>
        <c:tickLblSkip val="1"/>
        <c:tickMarkSkip val="1"/>
        <c:noMultiLvlLbl val="0"/>
      </c:catAx>
      <c:valAx>
        <c:axId val="-1425006736"/>
        <c:scaling>
          <c:orientation val="minMax"/>
          <c:max val="90"/>
          <c:min val="60"/>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4978992"/>
        <c:crosses val="autoZero"/>
        <c:crossBetween val="between"/>
        <c:majorUnit val="5"/>
        <c:minorUnit val="5"/>
      </c:valAx>
      <c:catAx>
        <c:axId val="-1424980624"/>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Pro. dias</a:t>
                </a:r>
              </a:p>
            </c:rich>
          </c:tx>
          <c:layout>
            <c:manualLayout>
              <c:xMode val="edge"/>
              <c:yMode val="edge"/>
              <c:x val="0.88870431893687762"/>
              <c:y val="0.1926913786939423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0.00" sourceLinked="1"/>
        <c:majorTickMark val="none"/>
        <c:minorTickMark val="none"/>
        <c:tickLblPos val="nextTo"/>
        <c:crossAx val="-1424993680"/>
        <c:crosses val="autoZero"/>
        <c:auto val="0"/>
        <c:lblAlgn val="ctr"/>
        <c:lblOffset val="100"/>
        <c:noMultiLvlLbl val="0"/>
      </c:catAx>
      <c:valAx>
        <c:axId val="-1424993680"/>
        <c:scaling>
          <c:orientation val="minMax"/>
          <c:max val="6.5"/>
          <c:min val="4"/>
        </c:scaling>
        <c:delete val="0"/>
        <c:axPos val="r"/>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4980624"/>
        <c:crosses val="max"/>
        <c:crossBetween val="between"/>
        <c:majorUnit val="0.5"/>
        <c:minorUnit val="0.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s-ES"/>
              <a:t>Numero  de Egresos  y  Promedio  de  Camas
Hospital Llay Llay
</a:t>
            </a:r>
          </a:p>
        </c:rich>
      </c:tx>
      <c:layout>
        <c:manualLayout>
          <c:xMode val="edge"/>
          <c:yMode val="edge"/>
          <c:x val="0.21696591351855896"/>
          <c:y val="3.6065573770491806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L"/>
        </a:p>
      </c:txPr>
    </c:title>
    <c:autoTitleDeleted val="0"/>
    <c:plotArea>
      <c:layout>
        <c:manualLayout>
          <c:layoutTarget val="inner"/>
          <c:xMode val="edge"/>
          <c:yMode val="edge"/>
          <c:x val="8.8091424165405247E-2"/>
          <c:y val="0.29180327868852457"/>
          <c:w val="0.84176249758052635"/>
          <c:h val="0.47213114754098329"/>
        </c:manualLayout>
      </c:layout>
      <c:lineChart>
        <c:grouping val="standard"/>
        <c:varyColors val="0"/>
        <c:ser>
          <c:idx val="1"/>
          <c:order val="0"/>
          <c:tx>
            <c:v>N° de  Egresos</c:v>
          </c:tx>
          <c:spPr>
            <a:ln w="15875" cap="rnd">
              <a:solidFill>
                <a:schemeClr val="accent2"/>
              </a:solidFill>
              <a:round/>
            </a:ln>
            <a:effectLst>
              <a:outerShdw blurRad="40000" dist="20000" dir="5400000" rotWithShape="0">
                <a:srgbClr val="000000">
                  <a:alpha val="38000"/>
                </a:srgbClr>
              </a:outerShdw>
            </a:effectLst>
          </c:spPr>
          <c:marker>
            <c:symbol val="none"/>
          </c:marker>
          <c:cat>
            <c:numRef>
              <c:f>'86'!$B$9:$B$17</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'86'!$E$9:$E$17</c:f>
              <c:numCache>
                <c:formatCode>#,##0</c:formatCode>
                <c:ptCount val="9"/>
                <c:pt idx="0">
                  <c:v>1480</c:v>
                </c:pt>
                <c:pt idx="1">
                  <c:v>1442</c:v>
                </c:pt>
                <c:pt idx="2">
                  <c:v>1558</c:v>
                </c:pt>
                <c:pt idx="3">
                  <c:v>1514</c:v>
                </c:pt>
                <c:pt idx="4">
                  <c:v>1416</c:v>
                </c:pt>
                <c:pt idx="5">
                  <c:v>1408</c:v>
                </c:pt>
                <c:pt idx="6">
                  <c:v>1025</c:v>
                </c:pt>
                <c:pt idx="7">
                  <c:v>1029</c:v>
                </c:pt>
                <c:pt idx="8">
                  <c:v>905</c:v>
                </c:pt>
              </c:numCache>
            </c:numRef>
          </c:val>
          <c:smooth val="0"/>
          <c:extLst>
            <c:ext xmlns:c16="http://schemas.microsoft.com/office/drawing/2014/chart" uri="{C3380CC4-5D6E-409C-BE32-E72D297353CC}">
              <c16:uniqueId val="{00000000-2BBA-4695-BC81-DD4235B2A78B}"/>
            </c:ext>
          </c:extLst>
        </c:ser>
        <c:dLbls>
          <c:showLegendKey val="0"/>
          <c:showVal val="0"/>
          <c:showCatName val="0"/>
          <c:showSerName val="0"/>
          <c:showPercent val="0"/>
          <c:showBubbleSize val="0"/>
        </c:dLbls>
        <c:marker val="1"/>
        <c:smooth val="0"/>
        <c:axId val="-1424995312"/>
        <c:axId val="-1424978448"/>
      </c:lineChart>
      <c:lineChart>
        <c:grouping val="standard"/>
        <c:varyColors val="0"/>
        <c:ser>
          <c:idx val="0"/>
          <c:order val="1"/>
          <c:tx>
            <c:v>Promedio  de  Camas</c:v>
          </c:tx>
          <c:spPr>
            <a:ln w="15875" cap="rnd">
              <a:solidFill>
                <a:schemeClr val="accent1"/>
              </a:solidFill>
              <a:round/>
            </a:ln>
            <a:effectLst>
              <a:outerShdw blurRad="40000" dist="20000" dir="5400000" rotWithShape="0">
                <a:srgbClr val="000000">
                  <a:alpha val="38000"/>
                </a:srgbClr>
              </a:outerShdw>
            </a:effectLst>
          </c:spPr>
          <c:marker>
            <c:symbol val="none"/>
          </c:marker>
          <c:cat>
            <c:numRef>
              <c:f>'86'!$C$9:$C$17</c:f>
              <c:numCache>
                <c:formatCode>General</c:formatCode>
                <c:ptCount val="9"/>
                <c:pt idx="0">
                  <c:v>45</c:v>
                </c:pt>
                <c:pt idx="1">
                  <c:v>45</c:v>
                </c:pt>
                <c:pt idx="2">
                  <c:v>45</c:v>
                </c:pt>
                <c:pt idx="3">
                  <c:v>45</c:v>
                </c:pt>
                <c:pt idx="4">
                  <c:v>45</c:v>
                </c:pt>
                <c:pt idx="5">
                  <c:v>42</c:v>
                </c:pt>
                <c:pt idx="6">
                  <c:v>42</c:v>
                </c:pt>
                <c:pt idx="7">
                  <c:v>42</c:v>
                </c:pt>
                <c:pt idx="8">
                  <c:v>37</c:v>
                </c:pt>
              </c:numCache>
            </c:numRef>
          </c:cat>
          <c:val>
            <c:numRef>
              <c:f>'86'!$D$9:$D$17</c:f>
              <c:numCache>
                <c:formatCode>General</c:formatCode>
                <c:ptCount val="9"/>
                <c:pt idx="0">
                  <c:v>44</c:v>
                </c:pt>
                <c:pt idx="1">
                  <c:v>44</c:v>
                </c:pt>
                <c:pt idx="2">
                  <c:v>44</c:v>
                </c:pt>
                <c:pt idx="3">
                  <c:v>44</c:v>
                </c:pt>
                <c:pt idx="4" formatCode="0">
                  <c:v>40.232876712328768</c:v>
                </c:pt>
                <c:pt idx="5" formatCode="0">
                  <c:v>37.016438356164386</c:v>
                </c:pt>
                <c:pt idx="6" formatCode="0">
                  <c:v>39.531506849315072</c:v>
                </c:pt>
                <c:pt idx="7" formatCode="0">
                  <c:v>35.520547945205479</c:v>
                </c:pt>
                <c:pt idx="8" formatCode="0">
                  <c:v>37.202739726027396</c:v>
                </c:pt>
              </c:numCache>
            </c:numRef>
          </c:val>
          <c:smooth val="0"/>
          <c:extLst>
            <c:ext xmlns:c16="http://schemas.microsoft.com/office/drawing/2014/chart" uri="{C3380CC4-5D6E-409C-BE32-E72D297353CC}">
              <c16:uniqueId val="{00000001-2BBA-4695-BC81-DD4235B2A78B}"/>
            </c:ext>
          </c:extLst>
        </c:ser>
        <c:dLbls>
          <c:showLegendKey val="0"/>
          <c:showVal val="0"/>
          <c:showCatName val="0"/>
          <c:showSerName val="0"/>
          <c:showPercent val="0"/>
          <c:showBubbleSize val="0"/>
        </c:dLbls>
        <c:marker val="1"/>
        <c:smooth val="0"/>
        <c:axId val="-1424993136"/>
        <c:axId val="-1424992592"/>
      </c:lineChart>
      <c:catAx>
        <c:axId val="-1424995312"/>
        <c:scaling>
          <c:orientation val="minMax"/>
        </c:scaling>
        <c:delete val="0"/>
        <c:axPos val="b"/>
        <c:title>
          <c:tx>
            <c:rich>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s-ES"/>
                  <a:t>Egresos</a:t>
                </a:r>
              </a:p>
            </c:rich>
          </c:tx>
          <c:layout>
            <c:manualLayout>
              <c:xMode val="edge"/>
              <c:yMode val="edge"/>
              <c:x val="2.5557368134855901E-2"/>
              <c:y val="0.15081967213114755"/>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L"/>
          </a:p>
        </c:txPr>
        <c:crossAx val="-1424978448"/>
        <c:crosses val="autoZero"/>
        <c:auto val="0"/>
        <c:lblAlgn val="ctr"/>
        <c:lblOffset val="100"/>
        <c:tickLblSkip val="1"/>
        <c:tickMarkSkip val="1"/>
        <c:noMultiLvlLbl val="0"/>
      </c:catAx>
      <c:valAx>
        <c:axId val="-1424978448"/>
        <c:scaling>
          <c:orientation val="minMax"/>
          <c:max val="2000"/>
          <c:min val="89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L"/>
          </a:p>
        </c:txPr>
        <c:crossAx val="-1424995312"/>
        <c:crosses val="autoZero"/>
        <c:crossBetween val="between"/>
        <c:majorUnit val="200"/>
        <c:minorUnit val="100"/>
      </c:valAx>
      <c:catAx>
        <c:axId val="-1424993136"/>
        <c:scaling>
          <c:orientation val="minMax"/>
        </c:scaling>
        <c:delete val="1"/>
        <c:axPos val="b"/>
        <c:title>
          <c:tx>
            <c:rich>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r>
                  <a:rPr lang="es-ES"/>
                  <a:t>Camas</a:t>
                </a:r>
              </a:p>
            </c:rich>
          </c:tx>
          <c:layout>
            <c:manualLayout>
              <c:xMode val="edge"/>
              <c:yMode val="edge"/>
              <c:x val="0.91354065244291449"/>
              <c:y val="0.14644808743169399"/>
            </c:manualLayout>
          </c:layout>
          <c:overlay val="0"/>
          <c:spPr>
            <a:noFill/>
            <a:ln>
              <a:noFill/>
            </a:ln>
            <a:effectLst/>
          </c:spPr>
          <c:txPr>
            <a:bodyPr rot="0" spcFirstLastPara="1" vertOverflow="ellipsis" vert="horz" wrap="square" anchor="ctr" anchorCtr="1"/>
            <a:lstStyle/>
            <a:p>
              <a:pPr>
                <a:defRPr sz="900" b="0" i="0" u="none" strike="noStrike" kern="1200" cap="all" baseline="0">
                  <a:solidFill>
                    <a:schemeClr val="tx1">
                      <a:lumMod val="50000"/>
                      <a:lumOff val="50000"/>
                    </a:schemeClr>
                  </a:solidFill>
                  <a:latin typeface="+mn-lt"/>
                  <a:ea typeface="+mn-ea"/>
                  <a:cs typeface="+mn-cs"/>
                </a:defRPr>
              </a:pPr>
              <a:endParaRPr lang="es-CL"/>
            </a:p>
          </c:txPr>
        </c:title>
        <c:numFmt formatCode="General" sourceLinked="1"/>
        <c:majorTickMark val="none"/>
        <c:minorTickMark val="none"/>
        <c:tickLblPos val="nextTo"/>
        <c:crossAx val="-1424992592"/>
        <c:crosses val="autoZero"/>
        <c:auto val="0"/>
        <c:lblAlgn val="ctr"/>
        <c:lblOffset val="100"/>
        <c:noMultiLvlLbl val="0"/>
      </c:catAx>
      <c:valAx>
        <c:axId val="-1424992592"/>
        <c:scaling>
          <c:orientation val="minMax"/>
          <c:max val="45"/>
          <c:min val="30"/>
        </c:scaling>
        <c:delete val="0"/>
        <c:axPos val="r"/>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L"/>
          </a:p>
        </c:txPr>
        <c:crossAx val="-1424993136"/>
        <c:crosses val="max"/>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r>
              <a:rPr lang="es-ES" sz="1000"/>
              <a:t>PERFIL DE  FECUNDIDAD  
SERVICIO DE SALUD  ACONCAGUA</a:t>
            </a:r>
          </a:p>
        </c:rich>
      </c:tx>
      <c:layout>
        <c:manualLayout>
          <c:xMode val="edge"/>
          <c:yMode val="edge"/>
          <c:x val="0.28103266137375982"/>
          <c:y val="2.5104602510460251E-2"/>
        </c:manualLayout>
      </c:layout>
      <c:overlay val="0"/>
      <c:spPr>
        <a:noFill/>
        <a:ln>
          <a:noFill/>
        </a:ln>
        <a:effectLst/>
      </c:spPr>
      <c:txPr>
        <a:bodyPr rot="0" spcFirstLastPara="1" vertOverflow="ellipsis" vert="horz" wrap="square" anchor="ctr" anchorCtr="1"/>
        <a:lstStyle/>
        <a:p>
          <a:pPr>
            <a:defRPr sz="1000" b="0" i="0" u="none" strike="noStrike" kern="1200" cap="all" spc="0" baseline="0">
              <a:gradFill>
                <a:gsLst>
                  <a:gs pos="0">
                    <a:schemeClr val="dk1">
                      <a:lumMod val="50000"/>
                      <a:lumOff val="50000"/>
                    </a:schemeClr>
                  </a:gs>
                  <a:gs pos="100000">
                    <a:schemeClr val="dk1">
                      <a:lumMod val="85000"/>
                      <a:lumOff val="15000"/>
                    </a:schemeClr>
                  </a:gs>
                </a:gsLst>
                <a:lin ang="5400000" scaled="0"/>
              </a:gradFill>
              <a:latin typeface="+mn-lt"/>
              <a:ea typeface="+mn-ea"/>
              <a:cs typeface="+mn-cs"/>
            </a:defRPr>
          </a:pPr>
          <a:endParaRPr lang="es-CL"/>
        </a:p>
      </c:tx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numRef>
              <c:f>'13'!$H$9:$H$18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'13'!$I$9:$I$18</c:f>
              <c:numCache>
                <c:formatCode>0.0</c:formatCode>
                <c:ptCount val="10"/>
                <c:pt idx="0">
                  <c:v>51.7</c:v>
                </c:pt>
                <c:pt idx="1">
                  <c:v>54.8</c:v>
                </c:pt>
                <c:pt idx="2">
                  <c:v>52.7</c:v>
                </c:pt>
                <c:pt idx="3">
                  <c:v>47.8</c:v>
                </c:pt>
                <c:pt idx="4">
                  <c:v>43.342088216429964</c:v>
                </c:pt>
                <c:pt idx="5">
                  <c:v>45.068171838640112</c:v>
                </c:pt>
                <c:pt idx="6">
                  <c:v>42</c:v>
                </c:pt>
                <c:pt idx="7">
                  <c:v>37.631588201976889</c:v>
                </c:pt>
                <c:pt idx="8">
                  <c:v>34.280205108120427</c:v>
                </c:pt>
                <c:pt idx="9">
                  <c:v>32.097885786592222</c:v>
                </c:pt>
              </c:numCache>
            </c:numRef>
          </c:val>
          <c:smooth val="0"/>
          <c:extLst>
            <c:ext xmlns:c16="http://schemas.microsoft.com/office/drawing/2014/chart" uri="{C3380CC4-5D6E-409C-BE32-E72D297353CC}">
              <c16:uniqueId val="{00000000-F7DC-4A75-8BE4-92662EC075CB}"/>
            </c:ext>
          </c:extLst>
        </c:ser>
        <c:dLbls>
          <c:dLblPos val="ctr"/>
          <c:showLegendKey val="0"/>
          <c:showVal val="1"/>
          <c:showCatName val="0"/>
          <c:showSerName val="0"/>
          <c:showPercent val="0"/>
          <c:showBubbleSize val="0"/>
        </c:dLbls>
        <c:marker val="1"/>
        <c:smooth val="0"/>
        <c:axId val="-1443023040"/>
        <c:axId val="-1443024672"/>
      </c:lineChart>
      <c:catAx>
        <c:axId val="-1443023040"/>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s-ES"/>
                  <a:t>Tasa </a:t>
                </a:r>
              </a:p>
            </c:rich>
          </c:tx>
          <c:layout>
            <c:manualLayout>
              <c:xMode val="edge"/>
              <c:yMode val="edge"/>
              <c:x val="2.6915113871635612E-2"/>
              <c:y val="0.15481171548117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L"/>
          </a:p>
        </c:txPr>
        <c:crossAx val="-1443024672"/>
        <c:crosses val="autoZero"/>
        <c:auto val="1"/>
        <c:lblAlgn val="ctr"/>
        <c:lblOffset val="100"/>
        <c:tickLblSkip val="1"/>
        <c:tickMarkSkip val="1"/>
        <c:noMultiLvlLbl val="0"/>
      </c:catAx>
      <c:valAx>
        <c:axId val="-1443024672"/>
        <c:scaling>
          <c:orientation val="minMax"/>
          <c:max val="56"/>
          <c:min val="30"/>
        </c:scaling>
        <c:delete val="1"/>
        <c:axPos val="l"/>
        <c:numFmt formatCode="0.0" sourceLinked="1"/>
        <c:majorTickMark val="none"/>
        <c:minorTickMark val="none"/>
        <c:tickLblPos val="nextTo"/>
        <c:crossAx val="-1443023040"/>
        <c:crosses val="autoZero"/>
        <c:crossBetween val="between"/>
        <c:majorUnit val="5"/>
      </c:valAx>
      <c:spPr>
        <a:no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
              <a:t>Indice  Ocupacional y Promedio  dias estada
Hospital Llay Llay
</a:t>
            </a:r>
          </a:p>
        </c:rich>
      </c:tx>
      <c:layout>
        <c:manualLayout>
          <c:xMode val="edge"/>
          <c:yMode val="edge"/>
          <c:x val="0.21967230325717491"/>
          <c:y val="3.654485049833887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7.8688587577314589E-2"/>
          <c:y val="0.2336659080405647"/>
          <c:w val="0.83606624300896759"/>
          <c:h val="0.5758589478640751"/>
        </c:manualLayout>
      </c:layout>
      <c:lineChart>
        <c:grouping val="standard"/>
        <c:varyColors val="0"/>
        <c:ser>
          <c:idx val="1"/>
          <c:order val="0"/>
          <c:tx>
            <c:v>indice</c:v>
          </c:tx>
          <c:spPr>
            <a:ln w="31750" cap="rnd">
              <a:solidFill>
                <a:schemeClr val="accent2"/>
              </a:solidFill>
              <a:round/>
            </a:ln>
            <a:effectLst>
              <a:outerShdw blurRad="40000" dist="23000" dir="5400000" rotWithShape="0">
                <a:srgbClr val="000000">
                  <a:alpha val="35000"/>
                </a:srgbClr>
              </a:outerShdw>
            </a:effectLst>
          </c:spPr>
          <c:marker>
            <c:symbol val="none"/>
          </c:marker>
          <c:cat>
            <c:numRef>
              <c:f>'86'!$B$9:$B$17</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'86'!$F$9:$F$17</c:f>
              <c:numCache>
                <c:formatCode>#,##0.0</c:formatCode>
                <c:ptCount val="9"/>
                <c:pt idx="0">
                  <c:v>49.95308101345011</c:v>
                </c:pt>
                <c:pt idx="1">
                  <c:v>52.73520249221184</c:v>
                </c:pt>
                <c:pt idx="2">
                  <c:v>61.449004975124375</c:v>
                </c:pt>
                <c:pt idx="3">
                  <c:v>58.069738480697389</c:v>
                </c:pt>
                <c:pt idx="4">
                  <c:v>50.956758597208044</c:v>
                </c:pt>
                <c:pt idx="5">
                  <c:v>64.969284286877354</c:v>
                </c:pt>
                <c:pt idx="6">
                  <c:v>46.212488737958282</c:v>
                </c:pt>
                <c:pt idx="7">
                  <c:v>59.537215580408798</c:v>
                </c:pt>
                <c:pt idx="8">
                  <c:v>56.668385006259669</c:v>
                </c:pt>
              </c:numCache>
            </c:numRef>
          </c:val>
          <c:smooth val="0"/>
          <c:extLst>
            <c:ext xmlns:c16="http://schemas.microsoft.com/office/drawing/2014/chart" uri="{C3380CC4-5D6E-409C-BE32-E72D297353CC}">
              <c16:uniqueId val="{00000000-B69D-42A5-98BF-5BFB406B03FF}"/>
            </c:ext>
          </c:extLst>
        </c:ser>
        <c:dLbls>
          <c:showLegendKey val="0"/>
          <c:showVal val="0"/>
          <c:showCatName val="0"/>
          <c:showSerName val="0"/>
          <c:showPercent val="0"/>
          <c:showBubbleSize val="0"/>
        </c:dLbls>
        <c:marker val="1"/>
        <c:smooth val="0"/>
        <c:axId val="-1424994224"/>
        <c:axId val="-1424990416"/>
      </c:lineChart>
      <c:lineChart>
        <c:grouping val="standard"/>
        <c:varyColors val="0"/>
        <c:ser>
          <c:idx val="0"/>
          <c:order val="1"/>
          <c:tx>
            <c:v>Promedio</c:v>
          </c:tx>
          <c:spPr>
            <a:ln w="31750" cap="rnd">
              <a:solidFill>
                <a:schemeClr val="accent1"/>
              </a:solidFill>
              <a:round/>
            </a:ln>
            <a:effectLst>
              <a:outerShdw blurRad="40000" dist="23000" dir="5400000" rotWithShape="0">
                <a:srgbClr val="000000">
                  <a:alpha val="35000"/>
                </a:srgbClr>
              </a:outerShdw>
            </a:effectLst>
          </c:spPr>
          <c:marker>
            <c:symbol val="none"/>
          </c:marker>
          <c:cat>
            <c:numRef>
              <c:f>'86'!$G$9:$G$17</c:f>
              <c:numCache>
                <c:formatCode>0.00</c:formatCode>
                <c:ptCount val="9"/>
                <c:pt idx="0">
                  <c:v>5.5182432432432433</c:v>
                </c:pt>
                <c:pt idx="1">
                  <c:v>6.0208044382801669</c:v>
                </c:pt>
                <c:pt idx="2">
                  <c:v>6.4268292682926829</c:v>
                </c:pt>
                <c:pt idx="3">
                  <c:v>6.1717305151915456</c:v>
                </c:pt>
                <c:pt idx="4">
                  <c:v>5.3248587570621471</c:v>
                </c:pt>
                <c:pt idx="5">
                  <c:v>6.1789772727272725</c:v>
                </c:pt>
                <c:pt idx="6">
                  <c:v>6.5434146341463411</c:v>
                </c:pt>
                <c:pt idx="7">
                  <c:v>7.5655976676384844</c:v>
                </c:pt>
                <c:pt idx="8">
                  <c:v>8.1856353591160218</c:v>
                </c:pt>
              </c:numCache>
            </c:numRef>
          </c:cat>
          <c:val>
            <c:numRef>
              <c:f>'86'!$G$9:$G$17</c:f>
              <c:numCache>
                <c:formatCode>0.00</c:formatCode>
                <c:ptCount val="9"/>
                <c:pt idx="0">
                  <c:v>5.5182432432432433</c:v>
                </c:pt>
                <c:pt idx="1">
                  <c:v>6.0208044382801669</c:v>
                </c:pt>
                <c:pt idx="2">
                  <c:v>6.4268292682926829</c:v>
                </c:pt>
                <c:pt idx="3">
                  <c:v>6.1717305151915456</c:v>
                </c:pt>
                <c:pt idx="4">
                  <c:v>5.3248587570621471</c:v>
                </c:pt>
                <c:pt idx="5">
                  <c:v>6.1789772727272725</c:v>
                </c:pt>
                <c:pt idx="6">
                  <c:v>6.5434146341463411</c:v>
                </c:pt>
                <c:pt idx="7">
                  <c:v>7.5655976676384844</c:v>
                </c:pt>
                <c:pt idx="8">
                  <c:v>8.1856353591160218</c:v>
                </c:pt>
              </c:numCache>
            </c:numRef>
          </c:val>
          <c:smooth val="0"/>
          <c:extLst>
            <c:ext xmlns:c16="http://schemas.microsoft.com/office/drawing/2014/chart" uri="{C3380CC4-5D6E-409C-BE32-E72D297353CC}">
              <c16:uniqueId val="{00000001-B69D-42A5-98BF-5BFB406B03FF}"/>
            </c:ext>
          </c:extLst>
        </c:ser>
        <c:dLbls>
          <c:showLegendKey val="0"/>
          <c:showVal val="0"/>
          <c:showCatName val="0"/>
          <c:showSerName val="0"/>
          <c:showPercent val="0"/>
          <c:showBubbleSize val="0"/>
        </c:dLbls>
        <c:marker val="1"/>
        <c:smooth val="0"/>
        <c:axId val="-1425007824"/>
        <c:axId val="-1424989872"/>
      </c:lineChart>
      <c:catAx>
        <c:axId val="-142499422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I. Ocup.</a:t>
                </a:r>
              </a:p>
            </c:rich>
          </c:tx>
          <c:layout>
            <c:manualLayout>
              <c:xMode val="edge"/>
              <c:yMode val="edge"/>
              <c:x val="1.1475409836065573E-2"/>
              <c:y val="0.1483945902111073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4990416"/>
        <c:crosses val="autoZero"/>
        <c:auto val="0"/>
        <c:lblAlgn val="ctr"/>
        <c:lblOffset val="100"/>
        <c:tickLblSkip val="1"/>
        <c:tickMarkSkip val="1"/>
        <c:noMultiLvlLbl val="0"/>
      </c:catAx>
      <c:valAx>
        <c:axId val="-1424990416"/>
        <c:scaling>
          <c:orientation val="minMax"/>
          <c:max val="65"/>
          <c:min val="20"/>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4994224"/>
        <c:crosses val="autoZero"/>
        <c:crossBetween val="between"/>
        <c:majorUnit val="10"/>
        <c:minorUnit val="5"/>
      </c:valAx>
      <c:catAx>
        <c:axId val="-1425007824"/>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Pro. dias</a:t>
                </a:r>
              </a:p>
            </c:rich>
          </c:tx>
          <c:layout>
            <c:manualLayout>
              <c:xMode val="edge"/>
              <c:yMode val="edge"/>
              <c:x val="0.89453620756421837"/>
              <c:y val="0.1173868382731228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0.00" sourceLinked="1"/>
        <c:majorTickMark val="none"/>
        <c:minorTickMark val="none"/>
        <c:tickLblPos val="nextTo"/>
        <c:crossAx val="-1424989872"/>
        <c:crosses val="autoZero"/>
        <c:auto val="0"/>
        <c:lblAlgn val="ctr"/>
        <c:lblOffset val="100"/>
        <c:noMultiLvlLbl val="0"/>
      </c:catAx>
      <c:valAx>
        <c:axId val="-1424989872"/>
        <c:scaling>
          <c:orientation val="minMax"/>
          <c:max val="8.5"/>
          <c:min val="3"/>
        </c:scaling>
        <c:delete val="0"/>
        <c:axPos val="r"/>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5007824"/>
        <c:crosses val="max"/>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
              <a:t>Numero  de Egresos  y  Promedio de  Camas
Hospital  Putaendo
</a:t>
            </a:r>
          </a:p>
        </c:rich>
      </c:tx>
      <c:layout>
        <c:manualLayout>
          <c:xMode val="edge"/>
          <c:yMode val="edge"/>
          <c:x val="0.22294039577848518"/>
          <c:y val="3.606557377049180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7.2697957184247833E-2"/>
          <c:y val="0.29180327868852457"/>
          <c:w val="0.8578358947741529"/>
          <c:h val="0.47213114754098329"/>
        </c:manualLayout>
      </c:layout>
      <c:lineChart>
        <c:grouping val="standard"/>
        <c:varyColors val="0"/>
        <c:ser>
          <c:idx val="1"/>
          <c:order val="0"/>
          <c:tx>
            <c:v>N° de  Egresos</c:v>
          </c:tx>
          <c:spPr>
            <a:ln w="31750" cap="rnd">
              <a:solidFill>
                <a:schemeClr val="accent2"/>
              </a:solidFill>
              <a:round/>
            </a:ln>
            <a:effectLst>
              <a:outerShdw blurRad="40000" dist="23000" dir="5400000" rotWithShape="0">
                <a:srgbClr val="000000">
                  <a:alpha val="35000"/>
                </a:srgbClr>
              </a:outerShdw>
            </a:effectLst>
          </c:spPr>
          <c:marker>
            <c:symbol val="none"/>
          </c:marker>
          <c:cat>
            <c:numRef>
              <c:f>'87'!$B$9:$B$18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'87'!$E$9:$E$18</c:f>
              <c:numCache>
                <c:formatCode>#,##0</c:formatCode>
                <c:ptCount val="10"/>
                <c:pt idx="0">
                  <c:v>608</c:v>
                </c:pt>
                <c:pt idx="1">
                  <c:v>568</c:v>
                </c:pt>
                <c:pt idx="2">
                  <c:v>685</c:v>
                </c:pt>
                <c:pt idx="3">
                  <c:v>722</c:v>
                </c:pt>
                <c:pt idx="4">
                  <c:v>645</c:v>
                </c:pt>
                <c:pt idx="5">
                  <c:v>660</c:v>
                </c:pt>
                <c:pt idx="6">
                  <c:v>578</c:v>
                </c:pt>
                <c:pt idx="7">
                  <c:v>391</c:v>
                </c:pt>
                <c:pt idx="8">
                  <c:v>464</c:v>
                </c:pt>
                <c:pt idx="9">
                  <c:v>525</c:v>
                </c:pt>
              </c:numCache>
            </c:numRef>
          </c:val>
          <c:smooth val="0"/>
          <c:extLst>
            <c:ext xmlns:c16="http://schemas.microsoft.com/office/drawing/2014/chart" uri="{C3380CC4-5D6E-409C-BE32-E72D297353CC}">
              <c16:uniqueId val="{00000000-D364-4008-BB50-317C95D59593}"/>
            </c:ext>
          </c:extLst>
        </c:ser>
        <c:dLbls>
          <c:showLegendKey val="0"/>
          <c:showVal val="0"/>
          <c:showCatName val="0"/>
          <c:showSerName val="0"/>
          <c:showPercent val="0"/>
          <c:showBubbleSize val="0"/>
        </c:dLbls>
        <c:marker val="1"/>
        <c:smooth val="0"/>
        <c:axId val="-1424981712"/>
        <c:axId val="-1424984976"/>
      </c:lineChart>
      <c:lineChart>
        <c:grouping val="standard"/>
        <c:varyColors val="0"/>
        <c:ser>
          <c:idx val="0"/>
          <c:order val="1"/>
          <c:tx>
            <c:v>Promedio  de  Camas</c:v>
          </c:tx>
          <c:spPr>
            <a:ln w="31750" cap="rnd">
              <a:solidFill>
                <a:schemeClr val="accent1"/>
              </a:solidFill>
              <a:round/>
            </a:ln>
            <a:effectLst>
              <a:outerShdw blurRad="40000" dist="23000" dir="5400000" rotWithShape="0">
                <a:srgbClr val="000000">
                  <a:alpha val="35000"/>
                </a:srgbClr>
              </a:outerShdw>
            </a:effectLst>
          </c:spPr>
          <c:marker>
            <c:symbol val="none"/>
          </c:marker>
          <c:cat>
            <c:numRef>
              <c:f>'87'!$C$9:$C$18</c:f>
              <c:numCache>
                <c:formatCode>General</c:formatCode>
                <c:ptCount val="10"/>
                <c:pt idx="0">
                  <c:v>28</c:v>
                </c:pt>
                <c:pt idx="1">
                  <c:v>28</c:v>
                </c:pt>
                <c:pt idx="2">
                  <c:v>28</c:v>
                </c:pt>
                <c:pt idx="3">
                  <c:v>28</c:v>
                </c:pt>
                <c:pt idx="4">
                  <c:v>28</c:v>
                </c:pt>
                <c:pt idx="5">
                  <c:v>28</c:v>
                </c:pt>
                <c:pt idx="6">
                  <c:v>28</c:v>
                </c:pt>
                <c:pt idx="7">
                  <c:v>28</c:v>
                </c:pt>
                <c:pt idx="8">
                  <c:v>28</c:v>
                </c:pt>
                <c:pt idx="9">
                  <c:v>28</c:v>
                </c:pt>
              </c:numCache>
            </c:numRef>
          </c:cat>
          <c:val>
            <c:numRef>
              <c:f>'87'!$D$9:$D$18</c:f>
              <c:numCache>
                <c:formatCode>General</c:formatCode>
                <c:ptCount val="10"/>
                <c:pt idx="0">
                  <c:v>28</c:v>
                </c:pt>
                <c:pt idx="1">
                  <c:v>28</c:v>
                </c:pt>
                <c:pt idx="2">
                  <c:v>28</c:v>
                </c:pt>
                <c:pt idx="3">
                  <c:v>28</c:v>
                </c:pt>
                <c:pt idx="4">
                  <c:v>28</c:v>
                </c:pt>
                <c:pt idx="5" formatCode="0">
                  <c:v>28</c:v>
                </c:pt>
                <c:pt idx="6" formatCode="0">
                  <c:v>28</c:v>
                </c:pt>
                <c:pt idx="7" formatCode="0">
                  <c:v>28.032876712328768</c:v>
                </c:pt>
                <c:pt idx="8" formatCode="0">
                  <c:v>28.230136986301371</c:v>
                </c:pt>
                <c:pt idx="9" formatCode="0">
                  <c:v>28</c:v>
                </c:pt>
              </c:numCache>
            </c:numRef>
          </c:val>
          <c:smooth val="0"/>
          <c:extLst>
            <c:ext xmlns:c16="http://schemas.microsoft.com/office/drawing/2014/chart" uri="{C3380CC4-5D6E-409C-BE32-E72D297353CC}">
              <c16:uniqueId val="{00000001-D364-4008-BB50-317C95D59593}"/>
            </c:ext>
          </c:extLst>
        </c:ser>
        <c:dLbls>
          <c:showLegendKey val="0"/>
          <c:showVal val="0"/>
          <c:showCatName val="0"/>
          <c:showSerName val="0"/>
          <c:showPercent val="0"/>
          <c:showBubbleSize val="0"/>
        </c:dLbls>
        <c:marker val="1"/>
        <c:smooth val="0"/>
        <c:axId val="-1424988784"/>
        <c:axId val="-1425010544"/>
      </c:lineChart>
      <c:catAx>
        <c:axId val="-142498171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Egresos</a:t>
                </a:r>
              </a:p>
            </c:rich>
          </c:tx>
          <c:layout>
            <c:manualLayout>
              <c:xMode val="edge"/>
              <c:yMode val="edge"/>
              <c:x val="8.0775444264944048E-3"/>
              <c:y val="0.2032786885245904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4984976"/>
        <c:crosses val="autoZero"/>
        <c:auto val="0"/>
        <c:lblAlgn val="ctr"/>
        <c:lblOffset val="100"/>
        <c:tickLblSkip val="1"/>
        <c:tickMarkSkip val="1"/>
        <c:noMultiLvlLbl val="0"/>
      </c:catAx>
      <c:valAx>
        <c:axId val="-1424984976"/>
        <c:scaling>
          <c:orientation val="minMax"/>
          <c:max val="750"/>
          <c:min val="28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4981712"/>
        <c:crosses val="autoZero"/>
        <c:crossBetween val="between"/>
        <c:majorUnit val="50"/>
        <c:minorUnit val="50"/>
      </c:valAx>
      <c:catAx>
        <c:axId val="-1424988784"/>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Camas</a:t>
                </a:r>
              </a:p>
            </c:rich>
          </c:tx>
          <c:layout>
            <c:manualLayout>
              <c:xMode val="edge"/>
              <c:yMode val="edge"/>
              <c:x val="0.91437870750811634"/>
              <c:y val="0.1901639344262324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crossAx val="-1425010544"/>
        <c:crosses val="autoZero"/>
        <c:auto val="0"/>
        <c:lblAlgn val="ctr"/>
        <c:lblOffset val="100"/>
        <c:noMultiLvlLbl val="0"/>
      </c:catAx>
      <c:valAx>
        <c:axId val="-1425010544"/>
        <c:scaling>
          <c:orientation val="minMax"/>
          <c:max val="29"/>
          <c:min val="9"/>
        </c:scaling>
        <c:delete val="0"/>
        <c:axPos val="r"/>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4988784"/>
        <c:crosses val="max"/>
        <c:crossBetween val="between"/>
        <c:majorUnit val="4"/>
        <c:min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orientation="landscape" horizontalDpi="0" verticalDpi="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
              <a:t>Indice  Ocupacional y Promedio  dias estada
Hospital  Putaendo
</a:t>
            </a:r>
          </a:p>
        </c:rich>
      </c:tx>
      <c:layout>
        <c:manualLayout>
          <c:xMode val="edge"/>
          <c:yMode val="edge"/>
          <c:x val="0.22240276783583871"/>
          <c:y val="3.654485049833887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7.7922139688181472E-2"/>
          <c:y val="0.29568154277658909"/>
          <c:w val="0.82792273418692786"/>
          <c:h val="0.46511703358115125"/>
        </c:manualLayout>
      </c:layout>
      <c:lineChart>
        <c:grouping val="standard"/>
        <c:varyColors val="0"/>
        <c:ser>
          <c:idx val="1"/>
          <c:order val="0"/>
          <c:tx>
            <c:v>indice</c:v>
          </c:tx>
          <c:spPr>
            <a:ln w="31750" cap="rnd">
              <a:solidFill>
                <a:schemeClr val="accent2"/>
              </a:solidFill>
              <a:round/>
            </a:ln>
            <a:effectLst>
              <a:outerShdw blurRad="40000" dist="23000" dir="5400000" rotWithShape="0">
                <a:srgbClr val="000000">
                  <a:alpha val="35000"/>
                </a:srgbClr>
              </a:outerShdw>
            </a:effectLst>
          </c:spPr>
          <c:marker>
            <c:symbol val="none"/>
          </c:marker>
          <c:cat>
            <c:numRef>
              <c:f>'87'!$B$9:$B$18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'87'!$F$9:$F$18</c:f>
              <c:numCache>
                <c:formatCode>#,##0.0</c:formatCode>
                <c:ptCount val="10"/>
                <c:pt idx="0">
                  <c:v>56.391491022638562</c:v>
                </c:pt>
                <c:pt idx="1">
                  <c:v>56.193737769080229</c:v>
                </c:pt>
                <c:pt idx="2">
                  <c:v>59.338407494145194</c:v>
                </c:pt>
                <c:pt idx="3">
                  <c:v>62.09772370486656</c:v>
                </c:pt>
                <c:pt idx="4">
                  <c:v>59.050880626223091</c:v>
                </c:pt>
                <c:pt idx="5">
                  <c:v>59.134615384615387</c:v>
                </c:pt>
                <c:pt idx="6">
                  <c:v>64.080234833659489</c:v>
                </c:pt>
                <c:pt idx="7">
                  <c:v>75.136825645035188</c:v>
                </c:pt>
                <c:pt idx="8">
                  <c:v>70.001940993788821</c:v>
                </c:pt>
                <c:pt idx="9">
                  <c:v>80.185909980430523</c:v>
                </c:pt>
              </c:numCache>
            </c:numRef>
          </c:val>
          <c:smooth val="0"/>
          <c:extLst>
            <c:ext xmlns:c16="http://schemas.microsoft.com/office/drawing/2014/chart" uri="{C3380CC4-5D6E-409C-BE32-E72D297353CC}">
              <c16:uniqueId val="{00000000-B78C-4F88-BC4A-A2AC56221580}"/>
            </c:ext>
          </c:extLst>
        </c:ser>
        <c:dLbls>
          <c:showLegendKey val="0"/>
          <c:showVal val="0"/>
          <c:showCatName val="0"/>
          <c:showSerName val="0"/>
          <c:showPercent val="0"/>
          <c:showBubbleSize val="0"/>
        </c:dLbls>
        <c:marker val="1"/>
        <c:smooth val="0"/>
        <c:axId val="-1424989328"/>
        <c:axId val="-1425007280"/>
      </c:lineChart>
      <c:lineChart>
        <c:grouping val="standard"/>
        <c:varyColors val="0"/>
        <c:ser>
          <c:idx val="0"/>
          <c:order val="1"/>
          <c:tx>
            <c:v>Promedio</c:v>
          </c:tx>
          <c:spPr>
            <a:ln w="31750" cap="rnd">
              <a:solidFill>
                <a:schemeClr val="accent1"/>
              </a:solidFill>
              <a:round/>
            </a:ln>
            <a:effectLst>
              <a:outerShdw blurRad="40000" dist="23000" dir="5400000" rotWithShape="0">
                <a:srgbClr val="000000">
                  <a:alpha val="35000"/>
                </a:srgbClr>
              </a:outerShdw>
            </a:effectLst>
          </c:spPr>
          <c:marker>
            <c:symbol val="none"/>
          </c:marker>
          <c:cat>
            <c:numRef>
              <c:f>'87'!$G$9:$G$18</c:f>
              <c:numCache>
                <c:formatCode>0.00</c:formatCode>
                <c:ptCount val="10"/>
                <c:pt idx="0">
                  <c:v>8.1891447368421044</c:v>
                </c:pt>
                <c:pt idx="1">
                  <c:v>12.40669014084507</c:v>
                </c:pt>
                <c:pt idx="2">
                  <c:v>8.25985401459854</c:v>
                </c:pt>
                <c:pt idx="3">
                  <c:v>8.54016620498615</c:v>
                </c:pt>
                <c:pt idx="4">
                  <c:v>8.590697674418605</c:v>
                </c:pt>
                <c:pt idx="5">
                  <c:v>8.4333333333333336</c:v>
                </c:pt>
                <c:pt idx="6">
                  <c:v>8.2145328719723185</c:v>
                </c:pt>
                <c:pt idx="7">
                  <c:v>16.946291560102303</c:v>
                </c:pt>
                <c:pt idx="8">
                  <c:v>13.299568965517242</c:v>
                </c:pt>
                <c:pt idx="9">
                  <c:v>13.097142857142858</c:v>
                </c:pt>
              </c:numCache>
            </c:numRef>
          </c:cat>
          <c:val>
            <c:numRef>
              <c:f>'87'!$G$9:$G$18</c:f>
              <c:numCache>
                <c:formatCode>0.00</c:formatCode>
                <c:ptCount val="10"/>
                <c:pt idx="0">
                  <c:v>8.1891447368421044</c:v>
                </c:pt>
                <c:pt idx="1">
                  <c:v>12.40669014084507</c:v>
                </c:pt>
                <c:pt idx="2">
                  <c:v>8.25985401459854</c:v>
                </c:pt>
                <c:pt idx="3">
                  <c:v>8.54016620498615</c:v>
                </c:pt>
                <c:pt idx="4">
                  <c:v>8.590697674418605</c:v>
                </c:pt>
                <c:pt idx="5">
                  <c:v>8.4333333333333336</c:v>
                </c:pt>
                <c:pt idx="6">
                  <c:v>8.2145328719723185</c:v>
                </c:pt>
                <c:pt idx="7">
                  <c:v>16.946291560102303</c:v>
                </c:pt>
                <c:pt idx="8">
                  <c:v>13.299568965517242</c:v>
                </c:pt>
                <c:pt idx="9">
                  <c:v>13.097142857142858</c:v>
                </c:pt>
              </c:numCache>
            </c:numRef>
          </c:val>
          <c:smooth val="0"/>
          <c:extLst>
            <c:ext xmlns:c16="http://schemas.microsoft.com/office/drawing/2014/chart" uri="{C3380CC4-5D6E-409C-BE32-E72D297353CC}">
              <c16:uniqueId val="{00000001-B78C-4F88-BC4A-A2AC56221580}"/>
            </c:ext>
          </c:extLst>
        </c:ser>
        <c:dLbls>
          <c:showLegendKey val="0"/>
          <c:showVal val="0"/>
          <c:showCatName val="0"/>
          <c:showSerName val="0"/>
          <c:showPercent val="0"/>
          <c:showBubbleSize val="0"/>
        </c:dLbls>
        <c:marker val="1"/>
        <c:smooth val="0"/>
        <c:axId val="-1425005104"/>
        <c:axId val="-1424991504"/>
      </c:lineChart>
      <c:catAx>
        <c:axId val="-14249893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I. Ocup.</a:t>
                </a:r>
              </a:p>
            </c:rich>
          </c:tx>
          <c:layout>
            <c:manualLayout>
              <c:xMode val="edge"/>
              <c:yMode val="edge"/>
              <c:x val="1.1363636363636367E-2"/>
              <c:y val="0.205980415238792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5007280"/>
        <c:crosses val="autoZero"/>
        <c:auto val="0"/>
        <c:lblAlgn val="ctr"/>
        <c:lblOffset val="100"/>
        <c:tickLblSkip val="1"/>
        <c:tickMarkSkip val="1"/>
        <c:noMultiLvlLbl val="0"/>
      </c:catAx>
      <c:valAx>
        <c:axId val="-1425007280"/>
        <c:scaling>
          <c:orientation val="minMax"/>
          <c:max val="80"/>
          <c:min val="45"/>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4989328"/>
        <c:crosses val="autoZero"/>
        <c:crossBetween val="between"/>
        <c:majorUnit val="5"/>
        <c:minorUnit val="5"/>
      </c:valAx>
      <c:catAx>
        <c:axId val="-1425005104"/>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Pro. dias</a:t>
                </a:r>
              </a:p>
            </c:rich>
          </c:tx>
          <c:layout>
            <c:manualLayout>
              <c:xMode val="edge"/>
              <c:yMode val="edge"/>
              <c:x val="0.88149418822647152"/>
              <c:y val="0.1926913786939423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0.00" sourceLinked="1"/>
        <c:majorTickMark val="none"/>
        <c:minorTickMark val="none"/>
        <c:tickLblPos val="nextTo"/>
        <c:crossAx val="-1424991504"/>
        <c:crosses val="autoZero"/>
        <c:auto val="0"/>
        <c:lblAlgn val="ctr"/>
        <c:lblOffset val="100"/>
        <c:noMultiLvlLbl val="0"/>
      </c:catAx>
      <c:valAx>
        <c:axId val="-1424991504"/>
        <c:scaling>
          <c:orientation val="minMax"/>
          <c:max val="18"/>
          <c:min val="6"/>
        </c:scaling>
        <c:delete val="0"/>
        <c:axPos val="r"/>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5005104"/>
        <c:crosses val="max"/>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
              <a:t>Numero  de Egresos  y  Promedio  de  Camas
Hospital  Psiquiatrico
</a:t>
            </a:r>
          </a:p>
        </c:rich>
      </c:tx>
      <c:layout>
        <c:manualLayout>
          <c:xMode val="edge"/>
          <c:yMode val="edge"/>
          <c:x val="0.22025740351587891"/>
          <c:y val="3.6065573770491806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8.6816788409983831E-2"/>
          <c:y val="0.29180327868852457"/>
          <c:w val="0.83440579971817863"/>
          <c:h val="0.47213114754098329"/>
        </c:manualLayout>
      </c:layout>
      <c:lineChart>
        <c:grouping val="standard"/>
        <c:varyColors val="0"/>
        <c:ser>
          <c:idx val="1"/>
          <c:order val="0"/>
          <c:tx>
            <c:v>N° de  Egresos</c:v>
          </c:tx>
          <c:spPr>
            <a:ln w="31750" cap="rnd">
              <a:solidFill>
                <a:schemeClr val="accent2"/>
              </a:solidFill>
              <a:round/>
            </a:ln>
            <a:effectLst>
              <a:outerShdw blurRad="40000" dist="23000" dir="5400000" rotWithShape="0">
                <a:srgbClr val="000000">
                  <a:alpha val="35000"/>
                </a:srgbClr>
              </a:outerShdw>
            </a:effectLst>
          </c:spPr>
          <c:marker>
            <c:symbol val="none"/>
          </c:marker>
          <c:cat>
            <c:numRef>
              <c:f>'88'!$B$9:$B$18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'88'!$E$9:$E$18</c:f>
              <c:numCache>
                <c:formatCode>#,##0</c:formatCode>
                <c:ptCount val="10"/>
                <c:pt idx="0">
                  <c:v>919</c:v>
                </c:pt>
                <c:pt idx="1">
                  <c:v>873</c:v>
                </c:pt>
                <c:pt idx="2">
                  <c:v>816</c:v>
                </c:pt>
                <c:pt idx="3">
                  <c:v>798</c:v>
                </c:pt>
                <c:pt idx="4">
                  <c:v>803</c:v>
                </c:pt>
                <c:pt idx="5">
                  <c:v>672</c:v>
                </c:pt>
                <c:pt idx="6">
                  <c:v>460</c:v>
                </c:pt>
                <c:pt idx="7">
                  <c:v>384</c:v>
                </c:pt>
                <c:pt idx="8">
                  <c:v>401</c:v>
                </c:pt>
                <c:pt idx="9">
                  <c:v>575</c:v>
                </c:pt>
              </c:numCache>
            </c:numRef>
          </c:val>
          <c:smooth val="0"/>
          <c:extLst>
            <c:ext xmlns:c16="http://schemas.microsoft.com/office/drawing/2014/chart" uri="{C3380CC4-5D6E-409C-BE32-E72D297353CC}">
              <c16:uniqueId val="{00000000-7DA4-4609-94C4-3570C95172C7}"/>
            </c:ext>
          </c:extLst>
        </c:ser>
        <c:dLbls>
          <c:showLegendKey val="0"/>
          <c:showVal val="0"/>
          <c:showCatName val="0"/>
          <c:showSerName val="0"/>
          <c:showPercent val="0"/>
          <c:showBubbleSize val="0"/>
        </c:dLbls>
        <c:marker val="1"/>
        <c:smooth val="0"/>
        <c:axId val="-1424998032"/>
        <c:axId val="-1424996944"/>
      </c:lineChart>
      <c:lineChart>
        <c:grouping val="standard"/>
        <c:varyColors val="0"/>
        <c:ser>
          <c:idx val="0"/>
          <c:order val="1"/>
          <c:tx>
            <c:v>Promedio  de  Camas</c:v>
          </c:tx>
          <c:spPr>
            <a:ln w="31750" cap="rnd">
              <a:solidFill>
                <a:schemeClr val="accent1"/>
              </a:solidFill>
              <a:round/>
            </a:ln>
            <a:effectLst>
              <a:outerShdw blurRad="40000" dist="23000" dir="5400000" rotWithShape="0">
                <a:srgbClr val="000000">
                  <a:alpha val="35000"/>
                </a:srgbClr>
              </a:outerShdw>
            </a:effectLst>
          </c:spPr>
          <c:marker>
            <c:symbol val="none"/>
          </c:marker>
          <c:cat>
            <c:numRef>
              <c:f>'88'!$C$9:$C$18</c:f>
              <c:numCache>
                <c:formatCode>General</c:formatCode>
                <c:ptCount val="10"/>
                <c:pt idx="0">
                  <c:v>354</c:v>
                </c:pt>
                <c:pt idx="1">
                  <c:v>354</c:v>
                </c:pt>
                <c:pt idx="2">
                  <c:v>354</c:v>
                </c:pt>
                <c:pt idx="3">
                  <c:v>354</c:v>
                </c:pt>
                <c:pt idx="4">
                  <c:v>354</c:v>
                </c:pt>
                <c:pt idx="5">
                  <c:v>354</c:v>
                </c:pt>
                <c:pt idx="6">
                  <c:v>354</c:v>
                </c:pt>
                <c:pt idx="7">
                  <c:v>354</c:v>
                </c:pt>
                <c:pt idx="8">
                  <c:v>354</c:v>
                </c:pt>
                <c:pt idx="9">
                  <c:v>354</c:v>
                </c:pt>
              </c:numCache>
            </c:numRef>
          </c:cat>
          <c:val>
            <c:numRef>
              <c:f>'88'!$D$9:$D$18</c:f>
              <c:numCache>
                <c:formatCode>General</c:formatCode>
                <c:ptCount val="10"/>
                <c:pt idx="0">
                  <c:v>321</c:v>
                </c:pt>
                <c:pt idx="1">
                  <c:v>321</c:v>
                </c:pt>
                <c:pt idx="2">
                  <c:v>315</c:v>
                </c:pt>
                <c:pt idx="3">
                  <c:v>305</c:v>
                </c:pt>
                <c:pt idx="4" formatCode="0">
                  <c:v>292</c:v>
                </c:pt>
                <c:pt idx="5" formatCode="0">
                  <c:v>282</c:v>
                </c:pt>
                <c:pt idx="6" formatCode="0">
                  <c:v>273</c:v>
                </c:pt>
                <c:pt idx="7" formatCode="0">
                  <c:v>258</c:v>
                </c:pt>
                <c:pt idx="8" formatCode="0">
                  <c:v>261.95890410958901</c:v>
                </c:pt>
                <c:pt idx="9" formatCode="0">
                  <c:v>259.69315068493148</c:v>
                </c:pt>
              </c:numCache>
            </c:numRef>
          </c:val>
          <c:smooth val="0"/>
          <c:extLst>
            <c:ext xmlns:c16="http://schemas.microsoft.com/office/drawing/2014/chart" uri="{C3380CC4-5D6E-409C-BE32-E72D297353CC}">
              <c16:uniqueId val="{00000001-7DA4-4609-94C4-3570C95172C7}"/>
            </c:ext>
          </c:extLst>
        </c:ser>
        <c:dLbls>
          <c:showLegendKey val="0"/>
          <c:showVal val="0"/>
          <c:showCatName val="0"/>
          <c:showSerName val="0"/>
          <c:showPercent val="0"/>
          <c:showBubbleSize val="0"/>
        </c:dLbls>
        <c:marker val="1"/>
        <c:smooth val="0"/>
        <c:axId val="-1425003472"/>
        <c:axId val="-1424979536"/>
      </c:lineChart>
      <c:catAx>
        <c:axId val="-1424998032"/>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Egresos</a:t>
                </a:r>
              </a:p>
            </c:rich>
          </c:tx>
          <c:layout>
            <c:manualLayout>
              <c:xMode val="edge"/>
              <c:yMode val="edge"/>
              <c:x val="1.4469453376205787E-2"/>
              <c:y val="0.20327868852459041"/>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4996944"/>
        <c:crosses val="autoZero"/>
        <c:auto val="0"/>
        <c:lblAlgn val="ctr"/>
        <c:lblOffset val="100"/>
        <c:tickLblSkip val="1"/>
        <c:tickMarkSkip val="1"/>
        <c:noMultiLvlLbl val="0"/>
      </c:catAx>
      <c:valAx>
        <c:axId val="-1424996944"/>
        <c:scaling>
          <c:orientation val="minMax"/>
          <c:max val="1100"/>
          <c:min val="35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4998032"/>
        <c:crosses val="autoZero"/>
        <c:crossBetween val="between"/>
        <c:majorUnit val="100"/>
        <c:minorUnit val="100"/>
      </c:valAx>
      <c:catAx>
        <c:axId val="-1425003472"/>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Camas</a:t>
                </a:r>
              </a:p>
            </c:rich>
          </c:tx>
          <c:layout>
            <c:manualLayout>
              <c:xMode val="edge"/>
              <c:yMode val="edge"/>
              <c:x val="0.90514536969052495"/>
              <c:y val="0.19016393442623244"/>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crossAx val="-1424979536"/>
        <c:crosses val="autoZero"/>
        <c:auto val="0"/>
        <c:lblAlgn val="ctr"/>
        <c:lblOffset val="100"/>
        <c:noMultiLvlLbl val="0"/>
      </c:catAx>
      <c:valAx>
        <c:axId val="-1424979536"/>
        <c:scaling>
          <c:orientation val="minMax"/>
          <c:max val="330"/>
          <c:min val="240"/>
        </c:scaling>
        <c:delete val="0"/>
        <c:axPos val="r"/>
        <c:numFmt formatCode="General"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5003472"/>
        <c:crosses val="max"/>
        <c:crossBetween val="between"/>
        <c:majorUnit val="3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ES"/>
              <a:t>Indice  Ocupacional y Promedio  dias estada
Hospital  Psiquiatrico
</a:t>
            </a:r>
          </a:p>
        </c:rich>
      </c:tx>
      <c:layout>
        <c:manualLayout>
          <c:xMode val="edge"/>
          <c:yMode val="edge"/>
          <c:x val="0.22455590466377487"/>
          <c:y val="3.654485049833887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L"/>
        </a:p>
      </c:txPr>
    </c:title>
    <c:autoTitleDeleted val="0"/>
    <c:plotArea>
      <c:layout>
        <c:manualLayout>
          <c:layoutTarget val="inner"/>
          <c:xMode val="edge"/>
          <c:yMode val="edge"/>
          <c:x val="8.7237548621097546E-2"/>
          <c:y val="0.29568154277658909"/>
          <c:w val="0.80937058998459999"/>
          <c:h val="0.46511703358115125"/>
        </c:manualLayout>
      </c:layout>
      <c:lineChart>
        <c:grouping val="standard"/>
        <c:varyColors val="0"/>
        <c:ser>
          <c:idx val="1"/>
          <c:order val="0"/>
          <c:tx>
            <c:v>indice</c:v>
          </c:tx>
          <c:spPr>
            <a:ln w="31750" cap="rnd">
              <a:solidFill>
                <a:schemeClr val="accent2"/>
              </a:solidFill>
              <a:round/>
            </a:ln>
            <a:effectLst>
              <a:outerShdw blurRad="40000" dist="23000" dir="5400000" rotWithShape="0">
                <a:srgbClr val="000000">
                  <a:alpha val="35000"/>
                </a:srgbClr>
              </a:outerShdw>
            </a:effectLst>
          </c:spPr>
          <c:marker>
            <c:symbol val="none"/>
          </c:marker>
          <c:cat>
            <c:numRef>
              <c:f>'88'!$B$9:$B$18</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'88'!$F$9:$F$18</c:f>
              <c:numCache>
                <c:formatCode>#,##0.0</c:formatCode>
                <c:ptCount val="10"/>
                <c:pt idx="0">
                  <c:v>97.723320831912716</c:v>
                </c:pt>
                <c:pt idx="1">
                  <c:v>94.702699930771004</c:v>
                </c:pt>
                <c:pt idx="2">
                  <c:v>91.686256072715878</c:v>
                </c:pt>
                <c:pt idx="3">
                  <c:v>92.121043215592493</c:v>
                </c:pt>
                <c:pt idx="4">
                  <c:v>95.530500741630846</c:v>
                </c:pt>
                <c:pt idx="5">
                  <c:v>96.811613932051117</c:v>
                </c:pt>
                <c:pt idx="6">
                  <c:v>93.145845252075119</c:v>
                </c:pt>
                <c:pt idx="7">
                  <c:v>93.078589174611935</c:v>
                </c:pt>
                <c:pt idx="8">
                  <c:v>93.689274695392982</c:v>
                </c:pt>
                <c:pt idx="9">
                  <c:v>95.087985820989999</c:v>
                </c:pt>
              </c:numCache>
            </c:numRef>
          </c:val>
          <c:smooth val="0"/>
          <c:extLst>
            <c:ext xmlns:c16="http://schemas.microsoft.com/office/drawing/2014/chart" uri="{C3380CC4-5D6E-409C-BE32-E72D297353CC}">
              <c16:uniqueId val="{00000000-5B22-4B47-AEFE-00244B3E585A}"/>
            </c:ext>
          </c:extLst>
        </c:ser>
        <c:dLbls>
          <c:showLegendKey val="0"/>
          <c:showVal val="0"/>
          <c:showCatName val="0"/>
          <c:showSerName val="0"/>
          <c:showPercent val="0"/>
          <c:showBubbleSize val="0"/>
        </c:dLbls>
        <c:marker val="1"/>
        <c:smooth val="0"/>
        <c:axId val="-1425002384"/>
        <c:axId val="-1425001840"/>
      </c:lineChart>
      <c:lineChart>
        <c:grouping val="standard"/>
        <c:varyColors val="0"/>
        <c:ser>
          <c:idx val="0"/>
          <c:order val="1"/>
          <c:tx>
            <c:v>Promedio</c:v>
          </c:tx>
          <c:spPr>
            <a:ln w="31750" cap="rnd">
              <a:solidFill>
                <a:schemeClr val="accent1"/>
              </a:solidFill>
              <a:round/>
            </a:ln>
            <a:effectLst>
              <a:outerShdw blurRad="40000" dist="23000" dir="5400000" rotWithShape="0">
                <a:srgbClr val="000000">
                  <a:alpha val="35000"/>
                </a:srgbClr>
              </a:outerShdw>
            </a:effectLst>
          </c:spPr>
          <c:marker>
            <c:symbol val="none"/>
          </c:marker>
          <c:cat>
            <c:numRef>
              <c:f>'88'!$G$9:$G$18</c:f>
              <c:numCache>
                <c:formatCode>0.00</c:formatCode>
                <c:ptCount val="10"/>
                <c:pt idx="0">
                  <c:v>127.86289445048966</c:v>
                </c:pt>
                <c:pt idx="1">
                  <c:v>124.78006872852234</c:v>
                </c:pt>
                <c:pt idx="2">
                  <c:v>239.3517156862745</c:v>
                </c:pt>
                <c:pt idx="3">
                  <c:v>183.6015037593985</c:v>
                </c:pt>
                <c:pt idx="4">
                  <c:v>136.93275217932751</c:v>
                </c:pt>
                <c:pt idx="5">
                  <c:v>131.2202380952381</c:v>
                </c:pt>
                <c:pt idx="6">
                  <c:v>143.63043478260869</c:v>
                </c:pt>
                <c:pt idx="7">
                  <c:v>178.9765625</c:v>
                </c:pt>
                <c:pt idx="8">
                  <c:v>203.99002493765585</c:v>
                </c:pt>
                <c:pt idx="9">
                  <c:v>201.61565217391305</c:v>
                </c:pt>
              </c:numCache>
            </c:numRef>
          </c:cat>
          <c:val>
            <c:numRef>
              <c:f>'88'!$G$9:$G$18</c:f>
              <c:numCache>
                <c:formatCode>0.00</c:formatCode>
                <c:ptCount val="10"/>
                <c:pt idx="0">
                  <c:v>127.86289445048966</c:v>
                </c:pt>
                <c:pt idx="1">
                  <c:v>124.78006872852234</c:v>
                </c:pt>
                <c:pt idx="2">
                  <c:v>239.3517156862745</c:v>
                </c:pt>
                <c:pt idx="3">
                  <c:v>183.6015037593985</c:v>
                </c:pt>
                <c:pt idx="4">
                  <c:v>136.93275217932751</c:v>
                </c:pt>
                <c:pt idx="5">
                  <c:v>131.2202380952381</c:v>
                </c:pt>
                <c:pt idx="6">
                  <c:v>143.63043478260869</c:v>
                </c:pt>
                <c:pt idx="7">
                  <c:v>178.9765625</c:v>
                </c:pt>
                <c:pt idx="8">
                  <c:v>203.99002493765585</c:v>
                </c:pt>
                <c:pt idx="9">
                  <c:v>201.61565217391305</c:v>
                </c:pt>
              </c:numCache>
            </c:numRef>
          </c:val>
          <c:smooth val="0"/>
          <c:extLst>
            <c:ext xmlns:c16="http://schemas.microsoft.com/office/drawing/2014/chart" uri="{C3380CC4-5D6E-409C-BE32-E72D297353CC}">
              <c16:uniqueId val="{00000001-5B22-4B47-AEFE-00244B3E585A}"/>
            </c:ext>
          </c:extLst>
        </c:ser>
        <c:dLbls>
          <c:showLegendKey val="0"/>
          <c:showVal val="0"/>
          <c:showCatName val="0"/>
          <c:showSerName val="0"/>
          <c:showPercent val="0"/>
          <c:showBubbleSize val="0"/>
        </c:dLbls>
        <c:marker val="1"/>
        <c:smooth val="0"/>
        <c:axId val="-1425008912"/>
        <c:axId val="-1425008368"/>
      </c:lineChart>
      <c:catAx>
        <c:axId val="-1425002384"/>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I. Ocup.</a:t>
                </a:r>
              </a:p>
            </c:rich>
          </c:tx>
          <c:layout>
            <c:manualLayout>
              <c:xMode val="edge"/>
              <c:yMode val="edge"/>
              <c:x val="1.9386106623586741E-2"/>
              <c:y val="0.205980415238792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5001840"/>
        <c:crosses val="autoZero"/>
        <c:auto val="0"/>
        <c:lblAlgn val="ctr"/>
        <c:lblOffset val="100"/>
        <c:tickLblSkip val="1"/>
        <c:tickMarkSkip val="1"/>
        <c:noMultiLvlLbl val="0"/>
      </c:catAx>
      <c:valAx>
        <c:axId val="-1425001840"/>
        <c:scaling>
          <c:orientation val="minMax"/>
          <c:max val="100"/>
          <c:min val="80"/>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5002384"/>
        <c:crosses val="autoZero"/>
        <c:crossBetween val="between"/>
        <c:majorUnit val="5"/>
        <c:minorUnit val="5"/>
      </c:valAx>
      <c:catAx>
        <c:axId val="-1425008912"/>
        <c:scaling>
          <c:orientation val="minMax"/>
        </c:scaling>
        <c:delete val="1"/>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s-ES"/>
                  <a:t>Pro. dias</a:t>
                </a:r>
              </a:p>
            </c:rich>
          </c:tx>
          <c:layout>
            <c:manualLayout>
              <c:xMode val="edge"/>
              <c:yMode val="edge"/>
              <c:x val="0.8723754764903594"/>
              <c:y val="0.1926913786939423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s-CL"/>
            </a:p>
          </c:txPr>
        </c:title>
        <c:numFmt formatCode="0.00" sourceLinked="1"/>
        <c:majorTickMark val="none"/>
        <c:minorTickMark val="none"/>
        <c:tickLblPos val="nextTo"/>
        <c:crossAx val="-1425008368"/>
        <c:crosses val="autoZero"/>
        <c:auto val="0"/>
        <c:lblAlgn val="ctr"/>
        <c:lblOffset val="100"/>
        <c:noMultiLvlLbl val="0"/>
      </c:catAx>
      <c:valAx>
        <c:axId val="-1425008368"/>
        <c:scaling>
          <c:orientation val="minMax"/>
          <c:max val="340"/>
          <c:min val="90"/>
        </c:scaling>
        <c:delete val="0"/>
        <c:axPos val="r"/>
        <c:numFmt formatCode="0.00" sourceLinked="1"/>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2"/>
                </a:solidFill>
                <a:latin typeface="+mn-lt"/>
                <a:ea typeface="+mn-ea"/>
                <a:cs typeface="+mn-cs"/>
              </a:defRPr>
            </a:pPr>
            <a:endParaRPr lang="es-CL"/>
          </a:p>
        </c:txPr>
        <c:crossAx val="-1425008912"/>
        <c:crosses val="max"/>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L"/>
    </a:p>
  </c:txPr>
  <c:printSettings>
    <c:headerFooter alignWithMargins="0"/>
    <c:pageMargins b="1" l="0.75000000000001465" r="0.75000000000001465" t="1" header="0" footer="0"/>
    <c:pageSetup orientation="landscape" horizontalDpi="0" verticalDpi="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2.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3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chart" Target="../charts/chart44.xml"/><Relationship Id="rId18" Type="http://schemas.openxmlformats.org/officeDocument/2006/relationships/chart" Target="../charts/chart49.xml"/><Relationship Id="rId3" Type="http://schemas.openxmlformats.org/officeDocument/2006/relationships/chart" Target="../charts/chart34.xml"/><Relationship Id="rId21" Type="http://schemas.openxmlformats.org/officeDocument/2006/relationships/chart" Target="../charts/chart52.xml"/><Relationship Id="rId7" Type="http://schemas.openxmlformats.org/officeDocument/2006/relationships/chart" Target="../charts/chart38.xml"/><Relationship Id="rId12" Type="http://schemas.openxmlformats.org/officeDocument/2006/relationships/chart" Target="../charts/chart43.xml"/><Relationship Id="rId17" Type="http://schemas.openxmlformats.org/officeDocument/2006/relationships/chart" Target="../charts/chart48.xml"/><Relationship Id="rId2" Type="http://schemas.openxmlformats.org/officeDocument/2006/relationships/chart" Target="../charts/chart33.xml"/><Relationship Id="rId16" Type="http://schemas.openxmlformats.org/officeDocument/2006/relationships/chart" Target="../charts/chart47.xml"/><Relationship Id="rId20" Type="http://schemas.openxmlformats.org/officeDocument/2006/relationships/chart" Target="../charts/chart51.xml"/><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2.xml"/><Relationship Id="rId24" Type="http://schemas.openxmlformats.org/officeDocument/2006/relationships/chart" Target="../charts/chart55.xml"/><Relationship Id="rId5" Type="http://schemas.openxmlformats.org/officeDocument/2006/relationships/chart" Target="../charts/chart36.xml"/><Relationship Id="rId15" Type="http://schemas.openxmlformats.org/officeDocument/2006/relationships/chart" Target="../charts/chart46.xml"/><Relationship Id="rId23" Type="http://schemas.openxmlformats.org/officeDocument/2006/relationships/chart" Target="../charts/chart54.xml"/><Relationship Id="rId10" Type="http://schemas.openxmlformats.org/officeDocument/2006/relationships/chart" Target="../charts/chart41.xml"/><Relationship Id="rId19" Type="http://schemas.openxmlformats.org/officeDocument/2006/relationships/chart" Target="../charts/chart50.xml"/><Relationship Id="rId4" Type="http://schemas.openxmlformats.org/officeDocument/2006/relationships/chart" Target="../charts/chart35.xml"/><Relationship Id="rId9" Type="http://schemas.openxmlformats.org/officeDocument/2006/relationships/chart" Target="../charts/chart40.xml"/><Relationship Id="rId14" Type="http://schemas.openxmlformats.org/officeDocument/2006/relationships/chart" Target="../charts/chart45.xml"/><Relationship Id="rId22" Type="http://schemas.openxmlformats.org/officeDocument/2006/relationships/chart" Target="../charts/chart5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5" Type="http://schemas.openxmlformats.org/officeDocument/2006/relationships/chart" Target="../charts/chart61.xml"/><Relationship Id="rId4" Type="http://schemas.openxmlformats.org/officeDocument/2006/relationships/chart" Target="../charts/chart6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xdr:col>
      <xdr:colOff>51883</xdr:colOff>
      <xdr:row>1</xdr:row>
      <xdr:rowOff>64852</xdr:rowOff>
    </xdr:from>
    <xdr:to>
      <xdr:col>5</xdr:col>
      <xdr:colOff>689043</xdr:colOff>
      <xdr:row>49</xdr:row>
      <xdr:rowOff>101330</xdr:rowOff>
    </xdr:to>
    <xdr:sp macro="" textlink="">
      <xdr:nvSpPr>
        <xdr:cNvPr id="2" name="1 CuadroTexto">
          <a:extLst>
            <a:ext uri="{FF2B5EF4-FFF2-40B4-BE49-F238E27FC236}">
              <a16:creationId xmlns:a16="http://schemas.microsoft.com/office/drawing/2014/main" id="{00000000-0008-0000-0100-000002000000}"/>
            </a:ext>
          </a:extLst>
        </xdr:cNvPr>
        <xdr:cNvSpPr txBox="1"/>
      </xdr:nvSpPr>
      <xdr:spPr>
        <a:xfrm>
          <a:off x="416670" y="226980"/>
          <a:ext cx="4903144" cy="13128286"/>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r>
            <a:rPr lang="es-ES" sz="800">
              <a:effectLst/>
              <a:latin typeface="Arial"/>
              <a:ea typeface="Times New Roman"/>
              <a:cs typeface="Times New Roman"/>
            </a:rPr>
            <a:t>	   MINISTERIO DE SALUD</a:t>
          </a:r>
          <a:endParaRPr lang="es-CL" sz="8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8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800">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0"/>
            </a:spcAft>
          </a:pPr>
          <a:r>
            <a:rPr lang="es-ES_tradnl" sz="1200" b="1">
              <a:effectLst/>
              <a:latin typeface="Arial"/>
              <a:ea typeface="Calibri"/>
              <a:cs typeface="Times New Roman"/>
            </a:rPr>
            <a:t>MEMORIA ESTADISTICA SERVICIO DE SALUD ACONCAGUA 2014-2023</a:t>
          </a:r>
          <a:endParaRPr lang="es-CL" sz="1200">
            <a:effectLst/>
            <a:latin typeface="Verdana"/>
            <a:ea typeface="Times New Roman"/>
            <a:cs typeface="Times New Roman"/>
          </a:endParaRPr>
        </a:p>
        <a:p>
          <a:pPr algn="ctr">
            <a:lnSpc>
              <a:spcPct val="150000"/>
            </a:lnSpc>
            <a:spcAft>
              <a:spcPts val="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PROLOGO</a:t>
          </a:r>
          <a:endParaRPr lang="es-CL" sz="1100">
            <a:effectLst/>
            <a:latin typeface="Verdana"/>
            <a:ea typeface="Times New Roman"/>
            <a:cs typeface="Times New Roman"/>
          </a:endParaRPr>
        </a:p>
        <a:p>
          <a:pPr algn="ctr">
            <a:lnSpc>
              <a:spcPct val="150000"/>
            </a:lnSpc>
            <a:spcAft>
              <a:spcPts val="100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Valle del Aconcagua,  tierras de  sol y aire puro, de campos y cordillera,  de artesanos; de  vegetación silvestre, de uvas y duraznos que porfían al secano  y de nieves en estado virgen, trepadas en la cima de  las montañas.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Es en este valle, que acoge al afuerino para quedarse, donde extiende sus redes el Servicio de Salud Aconcagua, uno de los  29 Servicios que conforman el Sistema Nacional de Salud y constituye uno de los tres Servicios de la  Región de Valparaíso,  los que, en conjunto, satisfacen la demanda de salud pública de casi dos millones de  habitantes.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Corresponde a este   Servicio de Salud cubrir las necesidades de salud de las personas de  las 10 comunas del Valle del Aconcagua, las que conglomeradas en dos provincias: San Felipe y Los Andes, representan el 15% de la población de la Región y en una superficie de 5.700 kilómetros cuadrados, ocupan el 35% del territorio regional.</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Tiene por misión ser  “un Servicio Público que contribuye a mejorar el nivel de salud de las personas del Valle de Aconcagua, a través del desarrollo de una Red Asistencial coordinada e integrada” y concibe como visión   “ser una  Red Asistencial de excelencia, que otorgue servicios altamente valorados por  los  usuarios y su grupo familiar, con un equipo  de  trabajo competente, innovador, participativo e integrado con la comunidad."</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Para contribuir al cumplimiento de dicha misión y su perspectiva  hacia la excelencia, se desarrolla esta Memoria Estadística.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Pretende ser  una valiosa herramienta para el necesario  diagnostico en salud, compilando información básica, antecedentes biogeográficos 2014-2023  y las atenciones de salud entregadas a las personas del valle en los últimos cuatro años.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Cumplirá ese cometido, cada vez que el equipo de salud revise su contenido, extraiga datos, los convierta en información que fundamente su acción.</a:t>
          </a:r>
          <a:endParaRPr lang="es-CL" sz="1100">
            <a:effectLst/>
            <a:latin typeface="Verdana"/>
            <a:ea typeface="Times New Roman"/>
            <a:cs typeface="Times New Roman"/>
          </a:endParaRPr>
        </a:p>
        <a:p>
          <a:pPr algn="ctr">
            <a:lnSpc>
              <a:spcPct val="150000"/>
            </a:lnSpc>
            <a:spcAft>
              <a:spcPts val="1000"/>
            </a:spcAft>
          </a:pPr>
          <a:r>
            <a:rPr lang="es-ES" sz="1100">
              <a:effectLst/>
              <a:latin typeface="Arial"/>
              <a:ea typeface="Calibri"/>
              <a:cs typeface="Times New Roman"/>
            </a:rPr>
            <a:t> </a:t>
          </a:r>
          <a:r>
            <a:rPr lang="es-CL" sz="1100">
              <a:effectLst/>
              <a:latin typeface="Verdana"/>
              <a:ea typeface="Calibri"/>
              <a:cs typeface="Times New Roman"/>
            </a:rPr>
            <a:t>		</a:t>
          </a:r>
          <a:r>
            <a:rPr lang="es-CL" sz="1100" b="1">
              <a:effectLst/>
              <a:latin typeface="Verdana"/>
              <a:ea typeface="Calibri"/>
              <a:cs typeface="Times New Roman"/>
            </a:rPr>
            <a:t>Milena Mira</a:t>
          </a:r>
          <a:r>
            <a:rPr lang="es-CL" sz="1100" b="1">
              <a:effectLst/>
              <a:latin typeface="Arial"/>
              <a:ea typeface="Calibri"/>
              <a:cs typeface="Times New Roman"/>
            </a:rPr>
            <a:t>  M.</a:t>
          </a:r>
          <a:endParaRPr lang="es-CL" sz="1100" b="0">
            <a:effectLst/>
            <a:latin typeface="Verdana"/>
            <a:ea typeface="Calibri"/>
            <a:cs typeface="Times New Roman"/>
          </a:endParaRPr>
        </a:p>
        <a:p>
          <a:pPr algn="just">
            <a:lnSpc>
              <a:spcPct val="150000"/>
            </a:lnSpc>
            <a:spcAft>
              <a:spcPts val="1000"/>
            </a:spcAft>
          </a:pPr>
          <a:r>
            <a:rPr lang="es-CL" sz="1100" b="0">
              <a:effectLst/>
              <a:latin typeface="Verdana"/>
              <a:ea typeface="Calibri"/>
              <a:cs typeface="Times New Roman"/>
            </a:rPr>
            <a:t>		</a:t>
          </a:r>
          <a:r>
            <a:rPr lang="es-ES" sz="1100" b="1">
              <a:effectLst/>
              <a:latin typeface="Arial"/>
              <a:ea typeface="Calibri"/>
              <a:cs typeface="Times New Roman"/>
            </a:rPr>
            <a:t>   SERVICIO DE SALUD ACONCAGUA</a:t>
          </a:r>
          <a:r>
            <a:rPr lang="es-ES" sz="1100">
              <a:effectLst/>
              <a:latin typeface="Arial"/>
              <a:ea typeface="Calibri"/>
              <a:cs typeface="Times New Roman"/>
            </a:rPr>
            <a:t> 	</a:t>
          </a:r>
          <a:endParaRPr lang="es-CL" sz="1100">
            <a:effectLst/>
            <a:latin typeface="Verdana"/>
            <a:ea typeface="Times New Roman"/>
            <a:cs typeface="Times New Roman"/>
          </a:endParaRPr>
        </a:p>
        <a:p>
          <a:pPr marL="2247900" indent="44958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San Felipe, Septiembre  2024.</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xdr:txBody>
    </xdr:sp>
    <xdr:clientData/>
  </xdr:twoCellAnchor>
  <xdr:twoCellAnchor editAs="oneCell">
    <xdr:from>
      <xdr:col>1</xdr:col>
      <xdr:colOff>64649</xdr:colOff>
      <xdr:row>1</xdr:row>
      <xdr:rowOff>90589</xdr:rowOff>
    </xdr:from>
    <xdr:to>
      <xdr:col>1</xdr:col>
      <xdr:colOff>1059302</xdr:colOff>
      <xdr:row>5</xdr:row>
      <xdr:rowOff>1217</xdr:rowOff>
    </xdr:to>
    <xdr:pic>
      <xdr:nvPicPr>
        <xdr:cNvPr id="4" name="3 Imagen" descr="logo gobierno">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543" y="260823"/>
          <a:ext cx="994653" cy="74558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281940</xdr:colOff>
      <xdr:row>22</xdr:row>
      <xdr:rowOff>83820</xdr:rowOff>
    </xdr:from>
    <xdr:to>
      <xdr:col>9</xdr:col>
      <xdr:colOff>254000</xdr:colOff>
      <xdr:row>44</xdr:row>
      <xdr:rowOff>25400</xdr:rowOff>
    </xdr:to>
    <xdr:graphicFrame macro="">
      <xdr:nvGraphicFramePr>
        <xdr:cNvPr id="65495067" name="Chart 1">
          <a:extLst>
            <a:ext uri="{FF2B5EF4-FFF2-40B4-BE49-F238E27FC236}">
              <a16:creationId xmlns:a16="http://schemas.microsoft.com/office/drawing/2014/main" id="{00000000-0008-0000-0C00-00001B60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69215</xdr:colOff>
      <xdr:row>37</xdr:row>
      <xdr:rowOff>16510</xdr:rowOff>
    </xdr:from>
    <xdr:to>
      <xdr:col>8</xdr:col>
      <xdr:colOff>412115</xdr:colOff>
      <xdr:row>50</xdr:row>
      <xdr:rowOff>16510</xdr:rowOff>
    </xdr:to>
    <xdr:graphicFrame macro="">
      <xdr:nvGraphicFramePr>
        <xdr:cNvPr id="65499189" name="Chart 1">
          <a:extLst>
            <a:ext uri="{FF2B5EF4-FFF2-40B4-BE49-F238E27FC236}">
              <a16:creationId xmlns:a16="http://schemas.microsoft.com/office/drawing/2014/main" id="{00000000-0008-0000-0D00-00003570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22</xdr:row>
      <xdr:rowOff>0</xdr:rowOff>
    </xdr:from>
    <xdr:to>
      <xdr:col>8</xdr:col>
      <xdr:colOff>342900</xdr:colOff>
      <xdr:row>35</xdr:row>
      <xdr:rowOff>0</xdr:rowOff>
    </xdr:to>
    <xdr:graphicFrame macro="">
      <xdr:nvGraphicFramePr>
        <xdr:cNvPr id="4" name="Chart 1">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0.0151</cdr:x>
      <cdr:y>0.12614</cdr:y>
    </cdr:from>
    <cdr:to>
      <cdr:x>0.13669</cdr:x>
      <cdr:y>0.1937</cdr:y>
    </cdr:to>
    <cdr:sp macro="" textlink="">
      <cdr:nvSpPr>
        <cdr:cNvPr id="10241" name="Texto 1"/>
        <cdr:cNvSpPr txBox="1">
          <a:spLocks xmlns:a="http://schemas.openxmlformats.org/drawingml/2006/main" noChangeArrowheads="1"/>
        </cdr:cNvSpPr>
      </cdr:nvSpPr>
      <cdr:spPr bwMode="auto">
        <a:xfrm xmlns:a="http://schemas.openxmlformats.org/drawingml/2006/main">
          <a:off x="64735" y="269894"/>
          <a:ext cx="495691" cy="142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3.xml><?xml version="1.0" encoding="utf-8"?>
<c:userShapes xmlns:c="http://schemas.openxmlformats.org/drawingml/2006/chart">
  <cdr:relSizeAnchor xmlns:cdr="http://schemas.openxmlformats.org/drawingml/2006/chartDrawing">
    <cdr:from>
      <cdr:x>0.0151</cdr:x>
      <cdr:y>0.12614</cdr:y>
    </cdr:from>
    <cdr:to>
      <cdr:x>0.13669</cdr:x>
      <cdr:y>0.1937</cdr:y>
    </cdr:to>
    <cdr:sp macro="" textlink="">
      <cdr:nvSpPr>
        <cdr:cNvPr id="10241" name="Texto 1"/>
        <cdr:cNvSpPr txBox="1">
          <a:spLocks xmlns:a="http://schemas.openxmlformats.org/drawingml/2006/main" noChangeArrowheads="1"/>
        </cdr:cNvSpPr>
      </cdr:nvSpPr>
      <cdr:spPr bwMode="auto">
        <a:xfrm xmlns:a="http://schemas.openxmlformats.org/drawingml/2006/main">
          <a:off x="64735" y="269894"/>
          <a:ext cx="495691" cy="142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247650</xdr:colOff>
      <xdr:row>24</xdr:row>
      <xdr:rowOff>9525</xdr:rowOff>
    </xdr:from>
    <xdr:to>
      <xdr:col>5</xdr:col>
      <xdr:colOff>409575</xdr:colOff>
      <xdr:row>38</xdr:row>
      <xdr:rowOff>19050</xdr:rowOff>
    </xdr:to>
    <xdr:graphicFrame macro="">
      <xdr:nvGraphicFramePr>
        <xdr:cNvPr id="65504307" name="Chart 1">
          <a:extLst>
            <a:ext uri="{FF2B5EF4-FFF2-40B4-BE49-F238E27FC236}">
              <a16:creationId xmlns:a16="http://schemas.microsoft.com/office/drawing/2014/main" id="{00000000-0008-0000-0E00-00003384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08" name="Chart 2">
          <a:extLst>
            <a:ext uri="{FF2B5EF4-FFF2-40B4-BE49-F238E27FC236}">
              <a16:creationId xmlns:a16="http://schemas.microsoft.com/office/drawing/2014/main" id="{00000000-0008-0000-0E00-00003484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247650</xdr:colOff>
      <xdr:row>24</xdr:row>
      <xdr:rowOff>9525</xdr:rowOff>
    </xdr:from>
    <xdr:to>
      <xdr:col>5</xdr:col>
      <xdr:colOff>409575</xdr:colOff>
      <xdr:row>38</xdr:row>
      <xdr:rowOff>19050</xdr:rowOff>
    </xdr:to>
    <xdr:graphicFrame macro="">
      <xdr:nvGraphicFramePr>
        <xdr:cNvPr id="65504309" name="Chart 1">
          <a:extLst>
            <a:ext uri="{FF2B5EF4-FFF2-40B4-BE49-F238E27FC236}">
              <a16:creationId xmlns:a16="http://schemas.microsoft.com/office/drawing/2014/main" id="{00000000-0008-0000-0E00-00003584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10" name="Chart 2">
          <a:extLst>
            <a:ext uri="{FF2B5EF4-FFF2-40B4-BE49-F238E27FC236}">
              <a16:creationId xmlns:a16="http://schemas.microsoft.com/office/drawing/2014/main" id="{00000000-0008-0000-0E00-00003684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6.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563880</xdr:colOff>
      <xdr:row>1</xdr:row>
      <xdr:rowOff>76201</xdr:rowOff>
    </xdr:from>
    <xdr:to>
      <xdr:col>10</xdr:col>
      <xdr:colOff>190500</xdr:colOff>
      <xdr:row>64</xdr:row>
      <xdr:rowOff>127001</xdr:rowOff>
    </xdr:to>
    <xdr:sp macro="" textlink="">
      <xdr:nvSpPr>
        <xdr:cNvPr id="2" name="1 CuadroTexto">
          <a:extLst>
            <a:ext uri="{FF2B5EF4-FFF2-40B4-BE49-F238E27FC236}">
              <a16:creationId xmlns:a16="http://schemas.microsoft.com/office/drawing/2014/main" id="{00000000-0008-0000-1100-000002000000}"/>
            </a:ext>
          </a:extLst>
        </xdr:cNvPr>
        <xdr:cNvSpPr txBox="1"/>
      </xdr:nvSpPr>
      <xdr:spPr>
        <a:xfrm>
          <a:off x="563880" y="393701"/>
          <a:ext cx="8754745" cy="12115800"/>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GESTION ESTRATEGICA</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a:effectLst/>
              <a:latin typeface="Arial"/>
              <a:ea typeface="Calibri"/>
              <a:cs typeface="Times New Roman"/>
            </a:rPr>
            <a:t> </a:t>
          </a:r>
          <a:r>
            <a:rPr lang="es-ES_tradnl" sz="1100" b="1">
              <a:effectLst/>
              <a:latin typeface="Arial"/>
              <a:ea typeface="Calibri"/>
              <a:cs typeface="Times New Roman"/>
            </a:rPr>
            <a:t>MEMORIA ESTADISTICA SERVICIO DE SALUD ACONCAGUA  2014-2023</a:t>
          </a:r>
        </a:p>
        <a:p>
          <a:pPr algn="ctr">
            <a:lnSpc>
              <a:spcPct val="150000"/>
            </a:lnSpc>
            <a:spcAft>
              <a:spcPts val="0"/>
            </a:spcAft>
          </a:pPr>
          <a:endParaRPr lang="es-ES_tradnl" sz="1100" b="1">
            <a:effectLst/>
            <a:latin typeface="Arial"/>
            <a:ea typeface="Calibri"/>
            <a:cs typeface="Times New Roman"/>
          </a:endParaRPr>
        </a:p>
        <a:p>
          <a:pPr algn="ctr">
            <a:lnSpc>
              <a:spcPct val="150000"/>
            </a:lnSpc>
            <a:spcAft>
              <a:spcPts val="1000"/>
            </a:spcAft>
          </a:pPr>
          <a:r>
            <a:rPr lang="es-ES_tradnl" sz="1100" b="1">
              <a:effectLst/>
              <a:latin typeface="Arial"/>
              <a:ea typeface="Calibri"/>
              <a:cs typeface="Times New Roman"/>
            </a:rPr>
            <a:t>CAPITULO  II     INDICADORES BIODEMOGRAFICOS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NATALIDAD:</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nacidos vivos por cada 1000 habitantes. En nuestro Servicio de Salud se  observa un  descenso  significativo  de la natalidad  desde  el  año  2013 (14,3 %</a:t>
          </a:r>
          <a:r>
            <a:rPr lang="es-ES_tradnl" sz="800">
              <a:effectLst/>
              <a:latin typeface="Arial"/>
              <a:ea typeface="Calibri"/>
              <a:cs typeface="Times New Roman"/>
            </a:rPr>
            <a:t>o</a:t>
          </a:r>
          <a:r>
            <a:rPr lang="es-ES_tradnl" sz="1100">
              <a:effectLst/>
              <a:latin typeface="Arial"/>
              <a:ea typeface="Calibri"/>
              <a:cs typeface="Times New Roman"/>
            </a:rPr>
            <a:t>)  al  2023 (7,8 %</a:t>
          </a:r>
          <a:r>
            <a:rPr lang="es-ES_tradnl" sz="800">
              <a:effectLst/>
              <a:latin typeface="Arial"/>
              <a:ea typeface="Calibri"/>
              <a:cs typeface="Times New Roman"/>
            </a:rPr>
            <a:t>o</a:t>
          </a:r>
          <a:r>
            <a:rPr lang="es-ES_tradnl" sz="1100">
              <a:effectLst/>
              <a:latin typeface="Arial"/>
              <a:ea typeface="Calibri"/>
              <a:cs typeface="Times New Roman"/>
            </a:rPr>
            <a:t>). Lo  mismo  ocurre en   la  Región  de Valparaíso y el país. (pag.18)</a:t>
          </a:r>
        </a:p>
        <a:p>
          <a:pPr algn="just">
            <a:lnSpc>
              <a:spcPct val="150000"/>
            </a:lnSpc>
            <a:spcAft>
              <a:spcPts val="1000"/>
            </a:spcAft>
          </a:pPr>
          <a:r>
            <a:rPr lang="es-ES_tradnl" sz="1100">
              <a:effectLst/>
              <a:latin typeface="Arial"/>
              <a:ea typeface="Calibri"/>
              <a:cs typeface="Times New Roman"/>
            </a:rPr>
            <a:t>De acuerdo a las últimas publicaciones sobre estadísticas vitales, Chile se aleja de sus pares de la región y se acerca más a Europa en lo que se refiere a los niveles de natalidad, los que además están por debajo de la tasa de reposición (fertilidad).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NEONATAL:</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fallecidos  menores de 28 días/ por mil nacidos vivos.  En el  período  2014-2023  en  el  SSA, este indicador muestra una curva fluctuante, con tasas que se ubican por encima de las tasas nacionales. En el SSA la tasa más alta del período se produjo el 2015, alcanzando un 6,0%. El mismo año, la comuna con la mayor  tasa corresponde a Calle Larga: 22,9% con tres neonatos fallecidos. (pag.22).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INFANTIL:</a:t>
          </a:r>
          <a:r>
            <a:rPr lang="es-ES_tradnl" sz="1100">
              <a:effectLst/>
              <a:latin typeface="Arial"/>
              <a:ea typeface="Calibri"/>
              <a:cs typeface="Times New Roman"/>
            </a:rPr>
            <a:t>	  </a:t>
          </a:r>
          <a:endParaRPr lang="es-CL" sz="1000">
            <a:effectLst/>
            <a:latin typeface="Verdana"/>
            <a:ea typeface="Times New Roman"/>
            <a:cs typeface="Times New Roman"/>
          </a:endParaRPr>
        </a:p>
        <a:p>
          <a:pPr algn="l">
            <a:lnSpc>
              <a:spcPct val="150000"/>
            </a:lnSpc>
            <a:spcAft>
              <a:spcPts val="1000"/>
            </a:spcAft>
          </a:pPr>
          <a:r>
            <a:rPr lang="es-ES_tradnl" sz="1100">
              <a:effectLst/>
              <a:latin typeface="Arial"/>
              <a:ea typeface="Calibri"/>
              <a:cs typeface="Times New Roman"/>
            </a:rPr>
            <a:t>La tasa de  Mortalidad Infantil  se constituye por los fallecidos menores de 1 año, sobre el total de nacidos vivos. Se presenta en el periodo  2014-2023,  en  el  SSA, como una  curva fluctuante por debajo de las tasas nacionales, sin embargo, se aprecia  un decrecimiento de un </a:t>
          </a:r>
          <a:r>
            <a:rPr lang="es-ES_tradnl" sz="1100" baseline="0">
              <a:effectLst/>
              <a:latin typeface="Arial"/>
              <a:ea typeface="Calibri"/>
              <a:cs typeface="Times New Roman"/>
            </a:rPr>
            <a:t>  </a:t>
          </a:r>
          <a:r>
            <a:rPr lang="es-ES_tradnl" sz="1100">
              <a:effectLst/>
              <a:latin typeface="Arial"/>
              <a:ea typeface="Calibri"/>
              <a:cs typeface="Times New Roman"/>
            </a:rPr>
            <a:t>30,03 % entre el inicio del periodo (7,5 %)  y el 2023 (5,7 %).  Se obserban las comunas de Rinconada, Santa</a:t>
          </a:r>
          <a:r>
            <a:rPr lang="es-ES_tradnl" sz="1100" baseline="0">
              <a:effectLst/>
              <a:latin typeface="Arial"/>
              <a:ea typeface="Calibri"/>
              <a:cs typeface="Times New Roman"/>
            </a:rPr>
            <a:t>  María, Panquehue y  Catemu con </a:t>
          </a:r>
          <a:r>
            <a:rPr lang="es-ES_tradnl" sz="1100">
              <a:effectLst/>
              <a:latin typeface="Arial"/>
              <a:ea typeface="Calibri"/>
              <a:cs typeface="Times New Roman"/>
            </a:rPr>
            <a:t>0 casos el 2023,   (pag.24).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 MORTALIDAD MATERNA: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Número de mujeres fallecidas, en período de embarazo y perinatal (hasta 40 días) por cada  10.000 nacidos  vivos.  Si bien, se presenta oscilante en el período, con años sin ocurrencia de casos, se aprecia en estudio, de un </a:t>
          </a:r>
          <a:r>
            <a:rPr lang="es-ES" sz="1100" baseline="0">
              <a:effectLst/>
              <a:latin typeface="Arial"/>
              <a:ea typeface="Calibri"/>
              <a:cs typeface="Times New Roman"/>
            </a:rPr>
            <a:t>0%</a:t>
          </a:r>
          <a:r>
            <a:rPr lang="es-ES" sz="800">
              <a:effectLst/>
              <a:latin typeface="Arial"/>
              <a:ea typeface="Calibri"/>
              <a:cs typeface="Times New Roman"/>
            </a:rPr>
            <a:t> </a:t>
          </a:r>
          <a:r>
            <a:rPr lang="es-ES" sz="1100">
              <a:effectLst/>
              <a:latin typeface="Arial"/>
              <a:ea typeface="Calibri"/>
              <a:cs typeface="Times New Roman"/>
            </a:rPr>
            <a:t>el 2013</a:t>
          </a:r>
          <a:r>
            <a:rPr lang="es-ES" sz="800">
              <a:effectLst/>
              <a:latin typeface="Arial"/>
              <a:ea typeface="Calibri"/>
              <a:cs typeface="Times New Roman"/>
            </a:rPr>
            <a:t>  </a:t>
          </a:r>
          <a:r>
            <a:rPr lang="es-ES" sz="1100">
              <a:effectLst/>
              <a:latin typeface="Arial"/>
              <a:ea typeface="Calibri"/>
              <a:cs typeface="Times New Roman"/>
            </a:rPr>
            <a:t>a  0 caso </a:t>
          </a:r>
          <a:r>
            <a:rPr lang="es-ES" sz="800">
              <a:effectLst/>
              <a:latin typeface="Arial"/>
              <a:ea typeface="Calibri"/>
              <a:cs typeface="Times New Roman"/>
            </a:rPr>
            <a:t> </a:t>
          </a:r>
          <a:r>
            <a:rPr lang="es-ES" sz="1100">
              <a:effectLst/>
              <a:latin typeface="Arial"/>
              <a:ea typeface="Calibri"/>
              <a:cs typeface="Times New Roman"/>
            </a:rPr>
            <a:t>el 2023, (pag.25).</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GENERAL:</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La  Mortalidad General corresponde al total de fallecidos por cada mil habitantes. El   periodo  2014 - 2023  en  el  SSA, muestra una tendencia constante,  similar a la curva nacional. El   2023 se aprecia un   incremento que alcanza a 6,6%</a:t>
          </a:r>
          <a:r>
            <a:rPr lang="es-ES_tradnl" sz="800">
              <a:effectLst/>
              <a:latin typeface="Arial"/>
              <a:ea typeface="Calibri"/>
              <a:cs typeface="Times New Roman"/>
            </a:rPr>
            <a:t>.</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Destaca la comuna de Putaendo con las tasas más alta del período, un 7,3 %</a:t>
          </a:r>
          <a:r>
            <a:rPr lang="es-ES_tradnl" sz="800">
              <a:effectLst/>
              <a:latin typeface="Arial"/>
              <a:ea typeface="Calibri"/>
              <a:cs typeface="Times New Roman"/>
            </a:rPr>
            <a:t>o</a:t>
          </a:r>
          <a:r>
            <a:rPr lang="es-ES_tradnl" sz="1100">
              <a:effectLst/>
              <a:latin typeface="Arial"/>
              <a:ea typeface="Calibri"/>
              <a:cs typeface="Times New Roman"/>
            </a:rPr>
            <a:t> el año 2014   y un 8,7 %</a:t>
          </a:r>
          <a:r>
            <a:rPr lang="es-ES_tradnl" sz="800">
              <a:effectLst/>
              <a:latin typeface="Arial"/>
              <a:ea typeface="Calibri"/>
              <a:cs typeface="Times New Roman"/>
            </a:rPr>
            <a:t>o</a:t>
          </a:r>
          <a:r>
            <a:rPr lang="es-ES_tradnl" sz="1100">
              <a:effectLst/>
              <a:latin typeface="Arial"/>
              <a:ea typeface="Calibri"/>
              <a:cs typeface="Times New Roman"/>
            </a:rPr>
            <a:t> el año 2023.   (pag.26)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POR GRUPOS DE CAUSAS: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panose="020B0604020202020204" pitchFamily="34" charset="0"/>
              <a:ea typeface="Calibri"/>
              <a:cs typeface="Arial" panose="020B0604020202020204" pitchFamily="34" charset="0"/>
            </a:rPr>
            <a:t>Las causas de mortalidad con mayores tasas corresponden, </a:t>
          </a:r>
          <a:r>
            <a:rPr lang="es-ES_tradnl" sz="1100">
              <a:solidFill>
                <a:schemeClr val="dk1"/>
              </a:solidFill>
              <a:effectLst/>
              <a:latin typeface="Arial" panose="020B0604020202020204" pitchFamily="34" charset="0"/>
              <a:ea typeface="+mn-ea"/>
              <a:cs typeface="Arial" panose="020B0604020202020204" pitchFamily="34" charset="0"/>
            </a:rPr>
            <a:t>en primer lugar enfermedades del aparato circulatorio con 1,83%, ,luego </a:t>
          </a:r>
          <a:r>
            <a:rPr lang="es-ES_tradnl" sz="1100">
              <a:effectLst/>
              <a:latin typeface="Arial" panose="020B0604020202020204" pitchFamily="34" charset="0"/>
              <a:ea typeface="Calibri"/>
              <a:cs typeface="Arial" panose="020B0604020202020204" pitchFamily="34" charset="0"/>
            </a:rPr>
            <a:t>en segundo lugar al grupo de </a:t>
          </a:r>
          <a:r>
            <a:rPr lang="es-ES_tradnl" sz="800">
              <a:effectLst/>
              <a:latin typeface="Arial" panose="020B0604020202020204" pitchFamily="34" charset="0"/>
              <a:ea typeface="Calibri"/>
              <a:cs typeface="Arial" panose="020B0604020202020204" pitchFamily="34" charset="0"/>
            </a:rPr>
            <a:t>. </a:t>
          </a:r>
          <a:r>
            <a:rPr lang="es-ES_tradnl" sz="1100">
              <a:solidFill>
                <a:schemeClr val="dk1"/>
              </a:solidFill>
              <a:effectLst/>
              <a:latin typeface="Arial" panose="020B0604020202020204" pitchFamily="34" charset="0"/>
              <a:ea typeface="+mn-ea"/>
              <a:cs typeface="Arial" panose="020B0604020202020204" pitchFamily="34" charset="0"/>
            </a:rPr>
            <a:t>los tumores con un 1,45%. </a:t>
          </a:r>
          <a:r>
            <a:rPr lang="es-ES_tradnl" sz="800">
              <a:effectLst/>
              <a:latin typeface="Arial" panose="020B0604020202020204" pitchFamily="34" charset="0"/>
              <a:ea typeface="Calibri"/>
              <a:cs typeface="Arial" panose="020B0604020202020204" pitchFamily="34" charset="0"/>
            </a:rPr>
            <a:t>  </a:t>
          </a:r>
          <a:r>
            <a:rPr lang="es-ES_tradnl" sz="1100">
              <a:effectLst/>
              <a:latin typeface="Arial" panose="020B0604020202020204" pitchFamily="34" charset="0"/>
              <a:ea typeface="Calibri"/>
              <a:cs typeface="Arial" panose="020B0604020202020204" pitchFamily="34" charset="0"/>
            </a:rPr>
            <a:t>El grupo de enfermedades  mal  definidas  es de un </a:t>
          </a:r>
          <a:r>
            <a:rPr lang="es-ES_tradnl" sz="1100" baseline="0">
              <a:effectLst/>
              <a:latin typeface="Arial" panose="020B0604020202020204" pitchFamily="34" charset="0"/>
              <a:ea typeface="Calibri"/>
              <a:cs typeface="Arial" panose="020B0604020202020204" pitchFamily="34" charset="0"/>
            </a:rPr>
            <a:t>0,31% con respecto al año anterior ; destaca tambien  las  muerte  por  covid que  correspondio a  un 0,27%  </a:t>
          </a:r>
          <a:r>
            <a:rPr lang="es-ES_tradnl" sz="1100">
              <a:effectLst/>
              <a:latin typeface="Arial" panose="020B0604020202020204" pitchFamily="34" charset="0"/>
              <a:ea typeface="Calibri"/>
              <a:cs typeface="Arial" panose="020B0604020202020204" pitchFamily="34" charset="0"/>
            </a:rPr>
            <a:t>(pag.28</a:t>
          </a:r>
          <a:r>
            <a:rPr lang="es-ES_tradnl" sz="1100">
              <a:effectLst/>
              <a:latin typeface="Arial"/>
              <a:ea typeface="Calibri"/>
              <a:cs typeface="Times New Roman"/>
            </a:rPr>
            <a:t>)</a:t>
          </a:r>
        </a:p>
        <a:p>
          <a:pPr algn="just">
            <a:lnSpc>
              <a:spcPct val="150000"/>
            </a:lnSpc>
            <a:spcAft>
              <a:spcPts val="1000"/>
            </a:spcAft>
          </a:pPr>
          <a:r>
            <a:rPr lang="es-ES_tradnl" sz="1100">
              <a:effectLst/>
              <a:latin typeface="Arial"/>
              <a:ea typeface="Calibri"/>
              <a:cs typeface="Times New Roman"/>
            </a:rPr>
            <a:t>	</a:t>
          </a:r>
        </a:p>
        <a:p>
          <a:pPr algn="just">
            <a:lnSpc>
              <a:spcPct val="150000"/>
            </a:lnSpc>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632460</xdr:colOff>
      <xdr:row>3</xdr:row>
      <xdr:rowOff>60960</xdr:rowOff>
    </xdr:from>
    <xdr:to>
      <xdr:col>1</xdr:col>
      <xdr:colOff>754380</xdr:colOff>
      <xdr:row>5</xdr:row>
      <xdr:rowOff>221615</xdr:rowOff>
    </xdr:to>
    <xdr:pic>
      <xdr:nvPicPr>
        <xdr:cNvPr id="3" name="2 Imagen" descr="logo gobierno">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 y="716280"/>
          <a:ext cx="914400" cy="65595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28574</xdr:colOff>
      <xdr:row>29</xdr:row>
      <xdr:rowOff>133350</xdr:rowOff>
    </xdr:from>
    <xdr:to>
      <xdr:col>27</xdr:col>
      <xdr:colOff>38099</xdr:colOff>
      <xdr:row>55</xdr:row>
      <xdr:rowOff>38100</xdr:rowOff>
    </xdr:to>
    <xdr:graphicFrame macro="">
      <xdr:nvGraphicFramePr>
        <xdr:cNvPr id="65508379" name="Chart 1">
          <a:extLst>
            <a:ext uri="{FF2B5EF4-FFF2-40B4-BE49-F238E27FC236}">
              <a16:creationId xmlns:a16="http://schemas.microsoft.com/office/drawing/2014/main" id="{00000000-0008-0000-1200-00001B94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0.1149</cdr:x>
      <cdr:y>0.01171</cdr:y>
    </cdr:from>
    <cdr:to>
      <cdr:x>0.97127</cdr:x>
      <cdr:y>0.2093</cdr:y>
    </cdr:to>
    <cdr:sp macro="" textlink="">
      <cdr:nvSpPr>
        <cdr:cNvPr id="23553" name="Text Box 1"/>
        <cdr:cNvSpPr txBox="1">
          <a:spLocks xmlns:a="http://schemas.openxmlformats.org/drawingml/2006/main" noChangeArrowheads="1"/>
        </cdr:cNvSpPr>
      </cdr:nvSpPr>
      <cdr:spPr bwMode="auto">
        <a:xfrm xmlns:a="http://schemas.openxmlformats.org/drawingml/2006/main">
          <a:off x="609600" y="47960"/>
          <a:ext cx="4543425" cy="8092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1">
            <a:defRPr sz="1000"/>
          </a:pPr>
          <a:r>
            <a:rPr lang="es-ES" sz="1200" b="1" i="0" strike="noStrike">
              <a:solidFill>
                <a:schemeClr val="accent1">
                  <a:lumMod val="75000"/>
                </a:schemeClr>
              </a:solidFill>
              <a:latin typeface="Arial"/>
              <a:cs typeface="Arial"/>
            </a:rPr>
            <a:t>TASA NATALIDAD PAIS REGION SERV. SALUD</a:t>
          </a:r>
        </a:p>
        <a:p xmlns:a="http://schemas.openxmlformats.org/drawingml/2006/main">
          <a:pPr algn="ctr" rtl="1">
            <a:defRPr sz="1000"/>
          </a:pPr>
          <a:r>
            <a:rPr lang="es-ES" sz="1200" b="1" i="0" strike="noStrike">
              <a:solidFill>
                <a:schemeClr val="accent1">
                  <a:lumMod val="75000"/>
                </a:schemeClr>
              </a:solidFill>
              <a:latin typeface="Arial"/>
              <a:cs typeface="Arial"/>
            </a:rPr>
            <a:t>AÑOS  2013 - 2022 (tasas  x 1000 hb.)</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533400</xdr:colOff>
      <xdr:row>1</xdr:row>
      <xdr:rowOff>114300</xdr:rowOff>
    </xdr:from>
    <xdr:to>
      <xdr:col>11</xdr:col>
      <xdr:colOff>609600</xdr:colOff>
      <xdr:row>136</xdr:row>
      <xdr:rowOff>107949</xdr:rowOff>
    </xdr:to>
    <xdr:sp macro="" textlink="">
      <xdr:nvSpPr>
        <xdr:cNvPr id="2" name="1 CuadroTexto">
          <a:extLst>
            <a:ext uri="{FF2B5EF4-FFF2-40B4-BE49-F238E27FC236}">
              <a16:creationId xmlns:a16="http://schemas.microsoft.com/office/drawing/2014/main" id="{00000000-0008-0000-0200-000002000000}"/>
            </a:ext>
          </a:extLst>
        </xdr:cNvPr>
        <xdr:cNvSpPr txBox="1"/>
      </xdr:nvSpPr>
      <xdr:spPr>
        <a:xfrm>
          <a:off x="533400" y="273050"/>
          <a:ext cx="8458200" cy="21443949"/>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a:t>
          </a: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b="1">
              <a:effectLst/>
              <a:latin typeface="Arial"/>
              <a:ea typeface="Calibri"/>
              <a:cs typeface="Times New Roman"/>
            </a:rPr>
            <a:t>MEMORIA ESTADISTICA SERVICIO DE SALUD ACONCAGUA 2014-2023</a:t>
          </a:r>
        </a:p>
        <a:p>
          <a:pPr algn="ctr">
            <a:lnSpc>
              <a:spcPct val="150000"/>
            </a:lnSpc>
            <a:spcAft>
              <a:spcPts val="0"/>
            </a:spcAft>
          </a:pPr>
          <a:endParaRPr lang="es-CL" sz="11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CAPITULO  I     INFORMACION BASICA</a:t>
          </a:r>
        </a:p>
        <a:p>
          <a:pPr algn="ctr">
            <a:lnSpc>
              <a:spcPct val="150000"/>
            </a:lnSpc>
            <a:spcAft>
              <a:spcPts val="1000"/>
            </a:spcAft>
          </a:pP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Servicio de Salud Aconcagua (SSA), se ubica en la Región de Valparaíso, a los pies de la cordillera de Los Andes a  80 kilómetros al noreste de Santiago y a 120 km al este de Valparaíso, en el hermoso  Valle del Aconcagua, tierra aún fértil  y generosa  a pesar de estos tiempos en que la naturaleza escatima el agua. Sus habitantes se dedican  a la fruticultura, la ganadería, la agroindustria, en especial a las faenas de packing de frutas de exportación (uvas, duraznos, ciruelas ) y el secado de frutas. En menor escala,   a la elaboración industrial y artesanal de vinos y licores a través de plantas semi industriales y artesanales.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Sigue siendo importante para este valle la actividad minera,  especialmente la extracción de cobre.   Por otro lado, ha tenido un  aumento de escuelas y universidades además de los comercios establecidos como bancos, supermercados y multitiendas.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Con un clima de tipo mediterráneo, presenta dos  estaciones muy marcadas, un  frío invierno con temperaturas bajo 0° C, y un verano muy caluroso con máximas que alcanzan fácilmente los 32° C.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Otro aspecto que caracteriza a esta tierra es haber acogido al ejercito libertador en la lucha por la independencia de Chile, testigo de ello  son los hoy declarados  monumentos nacionales como el árbol en donde Don José de San Martín amarró su caballo, hoy en día ubicado en plena plaza de armas de Putaendo, otros como el Salto del Soldado y el Combate de Guardia</a:t>
          </a:r>
          <a:r>
            <a:rPr lang="es-ES" sz="1000">
              <a:effectLst/>
              <a:latin typeface="Verdana"/>
              <a:ea typeface="Times New Roman"/>
              <a:cs typeface="Times New Roman"/>
            </a:rPr>
            <a:t> </a:t>
          </a:r>
          <a:r>
            <a:rPr lang="es-ES" sz="1100">
              <a:effectLst/>
              <a:latin typeface="Arial"/>
              <a:ea typeface="Calibri"/>
              <a:cs typeface="Times New Roman"/>
            </a:rPr>
            <a:t>Vieja,  ubicados camino a la cordillera de Los Andes y, en plena cumbre, el significativo Cristo Redentor, señala el límite fronterizo con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Posee una buena red de accesibilidad que  lo ubica en una situación privilegiada, desarrollando interrelaciones funcionales especialmente con Santiago y en un grado menor con Valparaíso y también posee una directa conexión con la república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Territorialmente, el SSA comprende las provincias de Los Andes y San Felipe, reuniendo en conjunto 10 comunas, cuatro pertenecientes a la Provincia de Los Andes: Calle Larga, Rinconada. San Esteban y Los Andes y seis comunas que conforman la Provincia de San Felipe: Catemu, Llay Llay, Panquehue, Putaendo, Santa María y San Felipe.</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AREA GEOGRAFICA Y DISTANCIAS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Se extiende en   una superficie de 5.676,4  kilómetros cuadrados, correspondiendo a un 35% de la superficie total de la Región de Valparaíso. La provincia de Los Andes ocupa un área levemente mayor (3.077,6 km</a:t>
          </a:r>
          <a:r>
            <a:rPr lang="es-ES" sz="800">
              <a:effectLst/>
              <a:latin typeface="Arial"/>
              <a:ea typeface="Calibri"/>
              <a:cs typeface="Times New Roman"/>
            </a:rPr>
            <a:t>2</a:t>
          </a:r>
          <a:r>
            <a:rPr lang="es-ES" sz="1100">
              <a:effectLst/>
              <a:latin typeface="Arial"/>
              <a:ea typeface="Calibri"/>
              <a:cs typeface="Times New Roman"/>
            </a:rPr>
            <a:t>) que la de San Felipe (2.598,8 km</a:t>
          </a:r>
          <a:r>
            <a:rPr lang="es-ES" sz="800">
              <a:effectLst/>
              <a:latin typeface="Arial"/>
              <a:ea typeface="Calibri"/>
              <a:cs typeface="Times New Roman"/>
            </a:rPr>
            <a:t>2</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este territorio geográfico, la localidad más distante a un centro de salud corresponde a Rio Blanco en la provincia de Los Andes, la que se ubica a 30 kilómetros del CESFAM Centenario y a 31 del hospital San Juan de Dios de Los Andes. Le siguen en distancia, Quebrada Herrera a 27 km del hospital San Camilo de San Felipe y Cerrillos a 21 km del hospital  San francisco de Llay Llay. (pág. 5-6)Todas cuentan con redes viales apropiadas.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CARACTERISTICAS DE LA POBLACION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 290.863 habitantes,  el SSA posee el 15% de la población de la Región de Valparaíso. Distribuidos por provincia: 119.516 en Los Andes y 171.347</a:t>
          </a:r>
          <a:r>
            <a:rPr lang="es-ES" sz="1100" baseline="0">
              <a:effectLst/>
              <a:latin typeface="Arial"/>
              <a:ea typeface="Calibri"/>
              <a:cs typeface="Times New Roman"/>
            </a:rPr>
            <a:t> </a:t>
          </a:r>
          <a:r>
            <a:rPr lang="es-ES" sz="1100">
              <a:effectLst/>
              <a:latin typeface="Arial"/>
              <a:ea typeface="Calibri"/>
              <a:cs typeface="Times New Roman"/>
            </a:rPr>
            <a:t>en San Felipe.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Comprende un total de 10 comunas, siendo la más pequeña en cuanto a población, la comuna de Panquehue con 7.794 habitantes y la más grande, San Felipe con 86,062 habitantes.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índice de ruralidad alcanza al 20,2 y la densidad a 51,2 (hab. / Km</a:t>
          </a:r>
          <a:r>
            <a:rPr lang="es-ES" sz="800">
              <a:effectLst/>
              <a:latin typeface="Arial"/>
              <a:ea typeface="Calibri"/>
              <a:cs typeface="Times New Roman"/>
            </a:rPr>
            <a:t>2</a:t>
          </a:r>
          <a:r>
            <a:rPr lang="es-ES" sz="1100">
              <a:effectLst/>
              <a:latin typeface="Arial"/>
              <a:ea typeface="Calibri"/>
              <a:cs typeface="Times New Roman"/>
            </a:rPr>
            <a:t>).</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población por grupos de edad, se distribuye con un perfil similar a la población nacional,</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en 25 años, “de pirámide a jarrón”, en donde las mayores proporciones se ubican en los grupos de 20 a 44 años (35,6%), 45 a 64 años (24,1%) y 65 y más (14,2%).  El grupo menor a seis años alcanza al 7,5%.</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crecimiento vegetativo (diferencia entre la tasa de natalidad y de mortalidad) ha descendido de 0,78 a 0,12% en el período 2014-2023. Se observan diferencias importantes por comunas, es así como la comuna de Putaendo presenta los índices de  decrecimiento más alto, alcanzando el 2022 a un -0,24%. La comuna de</a:t>
          </a:r>
          <a:r>
            <a:rPr lang="es-ES" sz="1100" baseline="0">
              <a:effectLst/>
              <a:latin typeface="Arial"/>
              <a:ea typeface="Calibri"/>
              <a:cs typeface="Times New Roman"/>
            </a:rPr>
            <a:t>  </a:t>
          </a:r>
          <a:r>
            <a:rPr lang="es-ES" sz="1100">
              <a:effectLst/>
              <a:latin typeface="Arial"/>
              <a:ea typeface="Calibri"/>
              <a:cs typeface="Times New Roman"/>
            </a:rPr>
            <a:t>Calle</a:t>
          </a:r>
          <a:r>
            <a:rPr lang="es-ES" sz="1100" baseline="0">
              <a:effectLst/>
              <a:latin typeface="Arial"/>
              <a:ea typeface="Calibri"/>
              <a:cs typeface="Times New Roman"/>
            </a:rPr>
            <a:t>  larga </a:t>
          </a:r>
          <a:r>
            <a:rPr lang="es-ES" sz="1100">
              <a:effectLst/>
              <a:latin typeface="Arial"/>
              <a:ea typeface="Calibri"/>
              <a:cs typeface="Times New Roman"/>
            </a:rPr>
            <a:t>por su parte presenta  el  índices más alto 0,22 para  el  2022(Pag.11).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índice de vejez (población &gt;65 / población &lt;15) ha incrementado un 35,12% desde el 2016 al 2023, configurando este último año un 73,03%.(Pág. 12)</a:t>
          </a:r>
          <a:endParaRPr lang="es-CL" sz="1000">
            <a:effectLst/>
            <a:latin typeface="Verdana"/>
            <a:ea typeface="Times New Roman"/>
            <a:cs typeface="Times New Roman"/>
          </a:endParaRPr>
        </a:p>
        <a:p>
          <a:pPr marL="0" marR="0" lvl="0" indent="0" algn="just" defTabSz="914400" eaLnBrk="1" fontAlgn="auto" latinLnBrk="0" hangingPunct="1">
            <a:lnSpc>
              <a:spcPct val="115000"/>
            </a:lnSpc>
            <a:spcBef>
              <a:spcPts val="1200"/>
            </a:spcBef>
            <a:spcAft>
              <a:spcPts val="1000"/>
            </a:spcAft>
            <a:buClrTx/>
            <a:buSzTx/>
            <a:buFontTx/>
            <a:buNone/>
            <a:tabLst/>
            <a:defRPr/>
          </a:pPr>
          <a:r>
            <a:rPr lang="es-ES" sz="1100">
              <a:effectLst/>
              <a:latin typeface="Arial"/>
              <a:ea typeface="Calibri"/>
              <a:cs typeface="Times New Roman"/>
            </a:rPr>
            <a:t>La fecundidad (partos/mujeres de 15 a 49 años) presenta un promedio del 34,1%</a:t>
          </a:r>
          <a:r>
            <a:rPr lang="es-ES" sz="800">
              <a:effectLst/>
              <a:latin typeface="Arial"/>
              <a:ea typeface="Calibri"/>
              <a:cs typeface="Times New Roman"/>
            </a:rPr>
            <a:t>o</a:t>
          </a:r>
          <a:r>
            <a:rPr lang="es-ES" sz="1100">
              <a:effectLst/>
              <a:latin typeface="Arial"/>
              <a:ea typeface="Calibri"/>
              <a:cs typeface="Times New Roman"/>
            </a:rPr>
            <a:t> en el período (Pág. 13). Para el 2023 la tasa más alta se registró en la comuna de San Felipe: 36,1%</a:t>
          </a:r>
          <a:r>
            <a:rPr lang="es-ES" sz="800">
              <a:effectLst/>
              <a:latin typeface="Arial"/>
              <a:ea typeface="Calibri"/>
              <a:cs typeface="Times New Roman"/>
            </a:rPr>
            <a:t>o</a:t>
          </a:r>
          <a:r>
            <a:rPr lang="es-ES" sz="1100">
              <a:effectLst/>
              <a:latin typeface="Arial"/>
              <a:ea typeface="Calibri"/>
              <a:cs typeface="Times New Roman"/>
            </a:rPr>
            <a:t> y la más baja en la  comuna de San  Esteban: 27,3%</a:t>
          </a:r>
          <a:r>
            <a:rPr lang="es-ES" sz="800">
              <a:effectLst/>
              <a:latin typeface="Arial"/>
              <a:ea typeface="Calibri"/>
              <a:cs typeface="Times New Roman"/>
            </a:rPr>
            <a:t>o</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15000"/>
            </a:lnSpc>
            <a:spcBef>
              <a:spcPts val="1200"/>
            </a:spcBef>
            <a:spcAft>
              <a:spcPts val="1000"/>
            </a:spcAft>
          </a:pPr>
          <a:r>
            <a:rPr lang="es-ES" sz="1100">
              <a:effectLst/>
              <a:latin typeface="Arial"/>
              <a:ea typeface="Calibri"/>
              <a:cs typeface="Times New Roman"/>
            </a:rPr>
            <a:t> </a:t>
          </a:r>
          <a:r>
            <a:rPr lang="es-ES" sz="1100" b="1">
              <a:effectLst/>
              <a:latin typeface="Arial"/>
              <a:ea typeface="Calibri"/>
              <a:cs typeface="Times New Roman"/>
            </a:rPr>
            <a:t>RECURSOS DE LA RED ACONCAGUA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INFRAESTRUCTURA: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Conformada por 36 entidades   distribuidas en las siguientes categorías, de menor a mayor complejidad: 10 Postas de Salud Rural, 6 CECOF, 8 CESFAM Rural, 5 CESFAM Urbano, 2 COSAM, 2 Hospitales tipo 4, 1 Hospital tipo 3 y 2 Hospitales tipo 2.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Los hospitales tipo 2: San Camilo de San Felipe (HSC)  y San Juan de Dios de Los Andes (HLA) cuentan con las especialidades básicas (Medicina, Pediatría, Cirugía y Ginecobstetricia) además con</a:t>
          </a:r>
          <a:r>
            <a:rPr lang="es-ES" sz="1000">
              <a:effectLst/>
              <a:latin typeface="Verdana"/>
              <a:ea typeface="Times New Roman"/>
              <a:cs typeface="Times New Roman"/>
            </a:rPr>
            <a:t> </a:t>
          </a:r>
          <a:r>
            <a:rPr lang="es-ES" sz="1100">
              <a:effectLst/>
              <a:latin typeface="Arial"/>
              <a:ea typeface="Calibri"/>
              <a:cs typeface="Times New Roman"/>
            </a:rPr>
            <a:t>Cardiología, Otorrinolaringología, Gastroenterología, Odontología  y  diferentes especialidades distribuidas como polos de desarrollo: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HSC: Neurología, Neurocirugía, Neonatología y Oftalmología. Además, cuenta con Unidades de Cuidados Intensivos Adultos, Pediátrica y de Neonatología y Unidad de Anatomía Patológica.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HLA: Dermatología, Urología, Traumatología y Cirugía Maxilofacial. Además con una Unidad de Intermedios Adultos.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Complementa esta estructura, el Servicio de atención pre hospitalaria de urgencia SAMU, en Red para toda la jurisdicción del SSA.</a:t>
          </a:r>
          <a:endParaRPr lang="es-CL" sz="1000">
            <a:effectLst/>
            <a:latin typeface="Verdana"/>
            <a:ea typeface="Times New Roman"/>
            <a:cs typeface="Times New Roman"/>
          </a:endParaRPr>
        </a:p>
        <a:p>
          <a:pPr algn="just">
            <a:lnSpc>
              <a:spcPct val="150000"/>
            </a:lnSpc>
            <a:spcAft>
              <a:spcPts val="0"/>
            </a:spcAft>
          </a:pPr>
          <a:r>
            <a:rPr lang="es-ES" sz="1100">
              <a:solidFill>
                <a:sysClr val="windowText" lastClr="000000"/>
              </a:solidFill>
              <a:effectLst/>
              <a:latin typeface="Arial"/>
              <a:ea typeface="Calibri"/>
              <a:cs typeface="Times New Roman"/>
            </a:rPr>
            <a:t>La dotación de camas alcanza a 808, de las cuales 215 corresponden a Medico Quirúrgicas Básicas, 58 a Maternidad, 23 a Pediatría Básica y 12 a Recién Nacido Cuna. </a:t>
          </a:r>
        </a:p>
        <a:p>
          <a:pPr algn="just">
            <a:lnSpc>
              <a:spcPct val="150000"/>
            </a:lnSpc>
            <a:spcAft>
              <a:spcPts val="0"/>
            </a:spcAft>
          </a:pPr>
          <a:r>
            <a:rPr lang="es-ES" sz="1100">
              <a:solidFill>
                <a:sysClr val="windowText" lastClr="000000"/>
              </a:solidFill>
              <a:effectLst/>
              <a:latin typeface="Arial"/>
              <a:ea typeface="Calibri"/>
              <a:cs typeface="Times New Roman"/>
            </a:rPr>
            <a:t>En relación a camas críticas: </a:t>
          </a:r>
        </a:p>
        <a:p>
          <a:pPr algn="just">
            <a:lnSpc>
              <a:spcPct val="150000"/>
            </a:lnSpc>
            <a:spcAft>
              <a:spcPts val="0"/>
            </a:spcAft>
          </a:pPr>
          <a:r>
            <a:rPr lang="es-ES" sz="1100">
              <a:solidFill>
                <a:sysClr val="windowText" lastClr="000000"/>
              </a:solidFill>
              <a:effectLst/>
              <a:latin typeface="Arial"/>
              <a:ea typeface="Calibri"/>
              <a:cs typeface="Times New Roman"/>
            </a:rPr>
            <a:t>48 a Unidad de Paciente Critico (UPC)  Adulto, de las cuales 24 son de UCI.</a:t>
          </a:r>
        </a:p>
        <a:p>
          <a:pPr algn="just">
            <a:lnSpc>
              <a:spcPct val="150000"/>
            </a:lnSpc>
            <a:spcAft>
              <a:spcPts val="0"/>
            </a:spcAft>
          </a:pPr>
          <a:r>
            <a:rPr lang="es-ES" sz="1100">
              <a:solidFill>
                <a:sysClr val="windowText" lastClr="000000"/>
              </a:solidFill>
              <a:effectLst/>
              <a:latin typeface="Arial"/>
              <a:ea typeface="Calibri"/>
              <a:cs typeface="Times New Roman"/>
            </a:rPr>
            <a:t>11 a UPC de Neonatología, de ellas 5 son de UCI.</a:t>
          </a: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RECURSOS HUMANOS: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del Servicio de Salud Aconcagua, comprende al 2023  un total de 3,393 funcionarios. De ellos, 2.778 corresponden a la Ley 18.834;  468  a la Ley 19.664 y  147  a la Ley 15.076. </a:t>
          </a:r>
        </a:p>
        <a:p>
          <a:pPr algn="just">
            <a:lnSpc>
              <a:spcPct val="150000"/>
            </a:lnSpc>
            <a:spcAft>
              <a:spcPts val="0"/>
            </a:spcAft>
          </a:pPr>
          <a:r>
            <a:rPr lang="es-ES" sz="1100">
              <a:effectLst/>
              <a:latin typeface="Arial"/>
              <a:ea typeface="Calibri"/>
              <a:cs typeface="Times New Roman"/>
            </a:rPr>
            <a:t>El mayor número de funcionarios corresponde a Profesionales: 1.038 (30,6%)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 la Red Municipal  alcanza el 2023  a  1,226 personas de los diferentes estamentos.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número total de médicos, considerando la dotación del SSA y la Red Municipal, alcanza el  2023  a  456 profesionales.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579120</xdr:colOff>
      <xdr:row>3</xdr:row>
      <xdr:rowOff>121920</xdr:rowOff>
    </xdr:from>
    <xdr:to>
      <xdr:col>1</xdr:col>
      <xdr:colOff>701040</xdr:colOff>
      <xdr:row>7</xdr:row>
      <xdr:rowOff>106680</xdr:rowOff>
    </xdr:to>
    <xdr:pic>
      <xdr:nvPicPr>
        <xdr:cNvPr id="3" name="2 Imagen" descr="logo gobierno">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120" y="624840"/>
          <a:ext cx="914400" cy="65532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371475</xdr:colOff>
      <xdr:row>32</xdr:row>
      <xdr:rowOff>142875</xdr:rowOff>
    </xdr:from>
    <xdr:to>
      <xdr:col>20</xdr:col>
      <xdr:colOff>9525</xdr:colOff>
      <xdr:row>58</xdr:row>
      <xdr:rowOff>0</xdr:rowOff>
    </xdr:to>
    <xdr:graphicFrame macro="">
      <xdr:nvGraphicFramePr>
        <xdr:cNvPr id="65511451" name="Chart 1">
          <a:extLst>
            <a:ext uri="{FF2B5EF4-FFF2-40B4-BE49-F238E27FC236}">
              <a16:creationId xmlns:a16="http://schemas.microsoft.com/office/drawing/2014/main" id="{00000000-0008-0000-1300-00001BA0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9525</xdr:colOff>
      <xdr:row>29</xdr:row>
      <xdr:rowOff>152400</xdr:rowOff>
    </xdr:from>
    <xdr:to>
      <xdr:col>18</xdr:col>
      <xdr:colOff>371475</xdr:colOff>
      <xdr:row>56</xdr:row>
      <xdr:rowOff>19050</xdr:rowOff>
    </xdr:to>
    <xdr:graphicFrame macro="">
      <xdr:nvGraphicFramePr>
        <xdr:cNvPr id="65514523" name="Chart 1">
          <a:extLst>
            <a:ext uri="{FF2B5EF4-FFF2-40B4-BE49-F238E27FC236}">
              <a16:creationId xmlns:a16="http://schemas.microsoft.com/office/drawing/2014/main" id="{00000000-0008-0000-1400-00001BAC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9525</xdr:colOff>
      <xdr:row>31</xdr:row>
      <xdr:rowOff>152400</xdr:rowOff>
    </xdr:from>
    <xdr:to>
      <xdr:col>18</xdr:col>
      <xdr:colOff>209550</xdr:colOff>
      <xdr:row>55</xdr:row>
      <xdr:rowOff>0</xdr:rowOff>
    </xdr:to>
    <xdr:graphicFrame macro="">
      <xdr:nvGraphicFramePr>
        <xdr:cNvPr id="65517595" name="Chart 1">
          <a:extLst>
            <a:ext uri="{FF2B5EF4-FFF2-40B4-BE49-F238E27FC236}">
              <a16:creationId xmlns:a16="http://schemas.microsoft.com/office/drawing/2014/main" id="{00000000-0008-0000-1500-00001BB8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0</xdr:colOff>
      <xdr:row>31</xdr:row>
      <xdr:rowOff>142875</xdr:rowOff>
    </xdr:from>
    <xdr:to>
      <xdr:col>21</xdr:col>
      <xdr:colOff>152400</xdr:colOff>
      <xdr:row>55</xdr:row>
      <xdr:rowOff>19050</xdr:rowOff>
    </xdr:to>
    <xdr:graphicFrame macro="">
      <xdr:nvGraphicFramePr>
        <xdr:cNvPr id="65520667" name="Chart 1">
          <a:extLst>
            <a:ext uri="{FF2B5EF4-FFF2-40B4-BE49-F238E27FC236}">
              <a16:creationId xmlns:a16="http://schemas.microsoft.com/office/drawing/2014/main" id="{00000000-0008-0000-1600-00001BC4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xdr:col>
      <xdr:colOff>333374</xdr:colOff>
      <xdr:row>31</xdr:row>
      <xdr:rowOff>114300</xdr:rowOff>
    </xdr:from>
    <xdr:to>
      <xdr:col>21</xdr:col>
      <xdr:colOff>19049</xdr:colOff>
      <xdr:row>55</xdr:row>
      <xdr:rowOff>0</xdr:rowOff>
    </xdr:to>
    <xdr:graphicFrame macro="">
      <xdr:nvGraphicFramePr>
        <xdr:cNvPr id="65523739" name="Chart 1">
          <a:extLst>
            <a:ext uri="{FF2B5EF4-FFF2-40B4-BE49-F238E27FC236}">
              <a16:creationId xmlns:a16="http://schemas.microsoft.com/office/drawing/2014/main" id="{00000000-0008-0000-1700-00001BD0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0</xdr:colOff>
      <xdr:row>29</xdr:row>
      <xdr:rowOff>142876</xdr:rowOff>
    </xdr:from>
    <xdr:to>
      <xdr:col>26</xdr:col>
      <xdr:colOff>15875</xdr:colOff>
      <xdr:row>53</xdr:row>
      <xdr:rowOff>15876</xdr:rowOff>
    </xdr:to>
    <xdr:graphicFrame macro="">
      <xdr:nvGraphicFramePr>
        <xdr:cNvPr id="65526811" name="Chart 1">
          <a:extLst>
            <a:ext uri="{FF2B5EF4-FFF2-40B4-BE49-F238E27FC236}">
              <a16:creationId xmlns:a16="http://schemas.microsoft.com/office/drawing/2014/main" id="{00000000-0008-0000-1800-00001BDC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415925</xdr:colOff>
      <xdr:row>28</xdr:row>
      <xdr:rowOff>152400</xdr:rowOff>
    </xdr:from>
    <xdr:to>
      <xdr:col>24</xdr:col>
      <xdr:colOff>285749</xdr:colOff>
      <xdr:row>51</xdr:row>
      <xdr:rowOff>127000</xdr:rowOff>
    </xdr:to>
    <xdr:graphicFrame macro="">
      <xdr:nvGraphicFramePr>
        <xdr:cNvPr id="65529883" name="Chart 1">
          <a:extLst>
            <a:ext uri="{FF2B5EF4-FFF2-40B4-BE49-F238E27FC236}">
              <a16:creationId xmlns:a16="http://schemas.microsoft.com/office/drawing/2014/main" id="{00000000-0008-0000-1900-00001BE8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0</xdr:colOff>
      <xdr:row>32</xdr:row>
      <xdr:rowOff>152400</xdr:rowOff>
    </xdr:from>
    <xdr:to>
      <xdr:col>19</xdr:col>
      <xdr:colOff>238125</xdr:colOff>
      <xdr:row>55</xdr:row>
      <xdr:rowOff>152400</xdr:rowOff>
    </xdr:to>
    <xdr:graphicFrame macro="">
      <xdr:nvGraphicFramePr>
        <xdr:cNvPr id="65532955" name="Chart 1">
          <a:extLst>
            <a:ext uri="{FF2B5EF4-FFF2-40B4-BE49-F238E27FC236}">
              <a16:creationId xmlns:a16="http://schemas.microsoft.com/office/drawing/2014/main" id="{00000000-0008-0000-1A00-00001BF4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0.11399</cdr:x>
      <cdr:y>0.01279</cdr:y>
    </cdr:from>
    <cdr:to>
      <cdr:x>0.95509</cdr:x>
      <cdr:y>0.17647</cdr:y>
    </cdr:to>
    <cdr:sp macro="" textlink="">
      <cdr:nvSpPr>
        <cdr:cNvPr id="39937" name="Text Box 1"/>
        <cdr:cNvSpPr txBox="1">
          <a:spLocks xmlns:a="http://schemas.openxmlformats.org/drawingml/2006/main" noChangeArrowheads="1"/>
        </cdr:cNvSpPr>
      </cdr:nvSpPr>
      <cdr:spPr bwMode="auto">
        <a:xfrm xmlns:a="http://schemas.openxmlformats.org/drawingml/2006/main">
          <a:off x="628652" y="47633"/>
          <a:ext cx="4638645" cy="6095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TASA MORT. GENERAL  PAIS REGION SERV. SALUD</a:t>
          </a:r>
        </a:p>
        <a:p xmlns:a="http://schemas.openxmlformats.org/drawingml/2006/main">
          <a:pPr algn="ctr" rtl="1">
            <a:defRPr sz="1000"/>
          </a:pPr>
          <a:r>
            <a:rPr lang="es-ES" sz="1200" b="1" i="0" strike="noStrike">
              <a:solidFill>
                <a:srgbClr val="000000"/>
              </a:solidFill>
              <a:latin typeface="Arial"/>
              <a:cs typeface="Arial"/>
            </a:rPr>
            <a:t>AÑOS  2013 - 2022(tasa x mil hb.)</a:t>
          </a:r>
        </a:p>
      </cdr:txBody>
    </cdr:sp>
  </cdr:relSizeAnchor>
</c:userShapes>
</file>

<file path=xl/drawings/drawing29.xml><?xml version="1.0" encoding="utf-8"?>
<xdr:wsDr xmlns:xdr="http://schemas.openxmlformats.org/drawingml/2006/spreadsheetDrawing" xmlns:a="http://schemas.openxmlformats.org/drawingml/2006/main">
  <xdr:twoCellAnchor>
    <xdr:from>
      <xdr:col>1</xdr:col>
      <xdr:colOff>3808</xdr:colOff>
      <xdr:row>56</xdr:row>
      <xdr:rowOff>152399</xdr:rowOff>
    </xdr:from>
    <xdr:to>
      <xdr:col>22</xdr:col>
      <xdr:colOff>533400</xdr:colOff>
      <xdr:row>95</xdr:row>
      <xdr:rowOff>0</xdr:rowOff>
    </xdr:to>
    <xdr:graphicFrame macro="">
      <xdr:nvGraphicFramePr>
        <xdr:cNvPr id="65537077" name="Chart 1">
          <a:extLst>
            <a:ext uri="{FF2B5EF4-FFF2-40B4-BE49-F238E27FC236}">
              <a16:creationId xmlns:a16="http://schemas.microsoft.com/office/drawing/2014/main" id="{00000000-0008-0000-1B00-00003504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6350</xdr:colOff>
      <xdr:row>98</xdr:row>
      <xdr:rowOff>158749</xdr:rowOff>
    </xdr:from>
    <xdr:to>
      <xdr:col>23</xdr:col>
      <xdr:colOff>38100</xdr:colOff>
      <xdr:row>137</xdr:row>
      <xdr:rowOff>133350</xdr:rowOff>
    </xdr:to>
    <xdr:graphicFrame macro="">
      <xdr:nvGraphicFramePr>
        <xdr:cNvPr id="65537078" name="Chart 2">
          <a:extLst>
            <a:ext uri="{FF2B5EF4-FFF2-40B4-BE49-F238E27FC236}">
              <a16:creationId xmlns:a16="http://schemas.microsoft.com/office/drawing/2014/main" id="{00000000-0008-0000-1B00-00003604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414862</xdr:colOff>
      <xdr:row>0</xdr:row>
      <xdr:rowOff>95251</xdr:rowOff>
    </xdr:from>
    <xdr:to>
      <xdr:col>11</xdr:col>
      <xdr:colOff>714375</xdr:colOff>
      <xdr:row>36</xdr:row>
      <xdr:rowOff>128067</xdr:rowOff>
    </xdr:to>
    <xdr:pic>
      <xdr:nvPicPr>
        <xdr:cNvPr id="3" name="Picture 2" descr="Mapa V Región">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00862" y="95251"/>
          <a:ext cx="6395513" cy="7062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269523</xdr:colOff>
      <xdr:row>4</xdr:row>
      <xdr:rowOff>19613</xdr:rowOff>
    </xdr:from>
    <xdr:to>
      <xdr:col>2</xdr:col>
      <xdr:colOff>519467</xdr:colOff>
      <xdr:row>39</xdr:row>
      <xdr:rowOff>13263</xdr:rowOff>
    </xdr:to>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rot="16203898">
          <a:off x="-1131093" y="3591929"/>
          <a:ext cx="6861175" cy="1011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eaLnBrk="1" hangingPunct="1">
            <a:spcBef>
              <a:spcPct val="0"/>
            </a:spcBef>
            <a:buClrTx/>
            <a:buSzTx/>
            <a:buFontTx/>
            <a:buNone/>
          </a:pPr>
          <a:r>
            <a:rPr lang="es-ES_tradnl" altLang="es-CL" sz="1800">
              <a:solidFill>
                <a:srgbClr val="FF0000"/>
              </a:solidFill>
              <a:latin typeface="Tahoma" panose="020B0604030504040204" pitchFamily="34" charset="0"/>
            </a:rPr>
            <a:t>                      RED ASISTENCIAL QUINTA  REGIÓN</a:t>
          </a:r>
        </a:p>
        <a:p>
          <a:pPr eaLnBrk="1" hangingPunct="1">
            <a:spcBef>
              <a:spcPct val="0"/>
            </a:spcBef>
            <a:buClrTx/>
            <a:buSzTx/>
            <a:buFontTx/>
            <a:buNone/>
          </a:pPr>
          <a:r>
            <a:rPr lang="es-ES_tradnl" altLang="es-CL" sz="1800">
              <a:solidFill>
                <a:srgbClr val="FF0000"/>
              </a:solidFill>
              <a:latin typeface="Tahoma" panose="020B0604030504040204" pitchFamily="34" charset="0"/>
            </a:rPr>
            <a:t>                                          VALPARAISO</a:t>
          </a:r>
        </a:p>
        <a:p>
          <a:pPr algn="ctr">
            <a:lnSpc>
              <a:spcPct val="80000"/>
            </a:lnSpc>
            <a:spcBef>
              <a:spcPct val="50000"/>
            </a:spcBef>
            <a:buClrTx/>
            <a:buSzTx/>
            <a:buFontTx/>
            <a:buNone/>
          </a:pPr>
          <a:r>
            <a:rPr lang="es-ES_tradnl" altLang="es-CL" sz="1800">
              <a:solidFill>
                <a:srgbClr val="FF0000"/>
              </a:solidFill>
              <a:latin typeface="Tahoma" panose="020B0604030504040204" pitchFamily="34" charset="0"/>
            </a:rPr>
            <a:t>2023</a:t>
          </a:r>
        </a:p>
      </xdr:txBody>
    </xdr:sp>
    <xdr:clientData/>
  </xdr:twoCellAnchor>
  <xdr:twoCellAnchor>
    <xdr:from>
      <xdr:col>8</xdr:col>
      <xdr:colOff>529510</xdr:colOff>
      <xdr:row>22</xdr:row>
      <xdr:rowOff>0</xdr:rowOff>
    </xdr:from>
    <xdr:to>
      <xdr:col>10</xdr:col>
      <xdr:colOff>224710</xdr:colOff>
      <xdr:row>23</xdr:row>
      <xdr:rowOff>125461</xdr:rowOff>
    </xdr:to>
    <xdr:sp macro="" textlink="">
      <xdr:nvSpPr>
        <xdr:cNvPr id="5" name="Text Box 4">
          <a:extLst>
            <a:ext uri="{FF2B5EF4-FFF2-40B4-BE49-F238E27FC236}">
              <a16:creationId xmlns:a16="http://schemas.microsoft.com/office/drawing/2014/main" id="{00000000-0008-0000-0300-000005000000}"/>
            </a:ext>
          </a:extLst>
        </xdr:cNvPr>
        <xdr:cNvSpPr txBox="1">
          <a:spLocks noChangeArrowheads="1"/>
        </xdr:cNvSpPr>
      </xdr:nvSpPr>
      <xdr:spPr bwMode="auto">
        <a:xfrm>
          <a:off x="7387510" y="4762500"/>
          <a:ext cx="1219200" cy="28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800">
              <a:latin typeface="Tahoma" panose="020B0604030504040204" pitchFamily="34" charset="0"/>
            </a:rPr>
            <a:t>290.863</a:t>
          </a:r>
        </a:p>
      </xdr:txBody>
    </xdr:sp>
    <xdr:clientData/>
  </xdr:twoCellAnchor>
  <xdr:twoCellAnchor>
    <xdr:from>
      <xdr:col>6</xdr:col>
      <xdr:colOff>758110</xdr:colOff>
      <xdr:row>6</xdr:row>
      <xdr:rowOff>152400</xdr:rowOff>
    </xdr:from>
    <xdr:to>
      <xdr:col>9</xdr:col>
      <xdr:colOff>258048</xdr:colOff>
      <xdr:row>8</xdr:row>
      <xdr:rowOff>94264</xdr:rowOff>
    </xdr:to>
    <xdr:sp macro="" textlink="">
      <xdr:nvSpPr>
        <xdr:cNvPr id="6" name="Text Box 5">
          <a:extLst>
            <a:ext uri="{FF2B5EF4-FFF2-40B4-BE49-F238E27FC236}">
              <a16:creationId xmlns:a16="http://schemas.microsoft.com/office/drawing/2014/main" id="{00000000-0008-0000-0300-000006000000}"/>
            </a:ext>
          </a:extLst>
        </xdr:cNvPr>
        <xdr:cNvSpPr txBox="1">
          <a:spLocks noChangeArrowheads="1"/>
        </xdr:cNvSpPr>
      </xdr:nvSpPr>
      <xdr:spPr bwMode="auto">
        <a:xfrm>
          <a:off x="6092110" y="1123950"/>
          <a:ext cx="1785938" cy="265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600">
              <a:latin typeface="Tahoma" panose="020B0604030504040204" pitchFamily="34" charset="0"/>
            </a:rPr>
            <a:t>1.183.267</a:t>
          </a:r>
        </a:p>
      </xdr:txBody>
    </xdr:sp>
    <xdr:clientData/>
  </xdr:twoCellAnchor>
  <xdr:twoCellAnchor>
    <xdr:from>
      <xdr:col>5</xdr:col>
      <xdr:colOff>758110</xdr:colOff>
      <xdr:row>35</xdr:row>
      <xdr:rowOff>49213</xdr:rowOff>
    </xdr:from>
    <xdr:to>
      <xdr:col>7</xdr:col>
      <xdr:colOff>453310</xdr:colOff>
      <xdr:row>37</xdr:row>
      <xdr:rowOff>12749</xdr:rowOff>
    </xdr:to>
    <xdr:sp macro="" textlink="">
      <xdr:nvSpPr>
        <xdr:cNvPr id="7" name="Text Box 6">
          <a:extLst>
            <a:ext uri="{FF2B5EF4-FFF2-40B4-BE49-F238E27FC236}">
              <a16:creationId xmlns:a16="http://schemas.microsoft.com/office/drawing/2014/main" id="{00000000-0008-0000-0300-000007000000}"/>
            </a:ext>
          </a:extLst>
        </xdr:cNvPr>
        <xdr:cNvSpPr txBox="1">
          <a:spLocks noChangeArrowheads="1"/>
        </xdr:cNvSpPr>
      </xdr:nvSpPr>
      <xdr:spPr bwMode="auto">
        <a:xfrm>
          <a:off x="5330110" y="6916738"/>
          <a:ext cx="1219200" cy="28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800">
              <a:latin typeface="Tahoma" panose="020B0604030504040204" pitchFamily="34" charset="0"/>
            </a:rPr>
            <a:t>536.719</a:t>
          </a:r>
          <a:endParaRPr lang="es-ES_tradnl" altLang="es-CL" sz="1600">
            <a:latin typeface="Tahoma" panose="020B0604030504040204" pitchFamily="34" charset="0"/>
          </a:endParaRPr>
        </a:p>
      </xdr:txBody>
    </xdr:sp>
    <xdr:clientData/>
  </xdr:twoCellAnchor>
  <xdr:twoCellAnchor>
    <xdr:from>
      <xdr:col>7</xdr:col>
      <xdr:colOff>572373</xdr:colOff>
      <xdr:row>26</xdr:row>
      <xdr:rowOff>34925</xdr:rowOff>
    </xdr:from>
    <xdr:to>
      <xdr:col>12</xdr:col>
      <xdr:colOff>362823</xdr:colOff>
      <xdr:row>30</xdr:row>
      <xdr:rowOff>98958</xdr:rowOff>
    </xdr:to>
    <xdr:sp macro="" textlink="">
      <xdr:nvSpPr>
        <xdr:cNvPr id="8" name="Text Box 7">
          <a:extLst>
            <a:ext uri="{FF2B5EF4-FFF2-40B4-BE49-F238E27FC236}">
              <a16:creationId xmlns:a16="http://schemas.microsoft.com/office/drawing/2014/main" id="{00000000-0008-0000-0300-000008000000}"/>
            </a:ext>
          </a:extLst>
        </xdr:cNvPr>
        <xdr:cNvSpPr txBox="1">
          <a:spLocks noChangeArrowheads="1"/>
        </xdr:cNvSpPr>
      </xdr:nvSpPr>
      <xdr:spPr bwMode="auto">
        <a:xfrm>
          <a:off x="6668373" y="5445125"/>
          <a:ext cx="3600450" cy="711733"/>
        </a:xfrm>
        <a:prstGeom prst="rect">
          <a:avLst/>
        </a:prstGeom>
        <a:noFill/>
        <a:ln w="9525">
          <a:noFill/>
          <a:miter lim="800000"/>
          <a:headEnd/>
          <a:tailEnd/>
        </a:ln>
        <a:effectLst>
          <a:prstShdw prst="shdw17" dist="17961" dir="2700000">
            <a:schemeClr val="accent1">
              <a:gamma/>
              <a:shade val="60000"/>
              <a:invGamma/>
            </a:schemeClr>
          </a:prstShdw>
        </a:effec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eaLnBrk="1" hangingPunct="1">
            <a:defRPr/>
          </a:pPr>
          <a:r>
            <a:rPr lang="es-ES_tradnl" altLang="es-CL" sz="1400">
              <a:latin typeface="Arial" panose="020B0604020202020204" pitchFamily="34" charset="0"/>
              <a:cs typeface="Arial" panose="020B0604020202020204" pitchFamily="34" charset="0"/>
            </a:rPr>
            <a:t>Población Total      2.010.849</a:t>
          </a:r>
        </a:p>
        <a:p>
          <a:pPr eaLnBrk="1" hangingPunct="1">
            <a:defRPr/>
          </a:pPr>
          <a:r>
            <a:rPr lang="es-ES_tradnl" altLang="es-CL" sz="1400">
              <a:latin typeface="Arial" panose="020B0604020202020204" pitchFamily="34" charset="0"/>
              <a:cs typeface="Arial" panose="020B0604020202020204" pitchFamily="34" charset="0"/>
            </a:rPr>
            <a:t>Población Urbana  1.847.522  92%</a:t>
          </a:r>
        </a:p>
        <a:p>
          <a:pPr eaLnBrk="1" hangingPunct="1">
            <a:defRPr/>
          </a:pPr>
          <a:r>
            <a:rPr lang="es-ES_tradnl" altLang="es-CL" sz="1400">
              <a:latin typeface="Arial" panose="020B0604020202020204" pitchFamily="34" charset="0"/>
              <a:cs typeface="Arial" panose="020B0604020202020204" pitchFamily="34" charset="0"/>
            </a:rPr>
            <a:t>Población Rural        163.327    8%</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0.00548</cdr:x>
      <cdr:y>0.20278</cdr:y>
    </cdr:from>
    <cdr:to>
      <cdr:x>0.08534</cdr:x>
      <cdr:y>0.21871</cdr:y>
    </cdr:to>
    <cdr:sp macro="" textlink="">
      <cdr:nvSpPr>
        <cdr:cNvPr id="41991" name="Text Box 7"/>
        <cdr:cNvSpPr txBox="1">
          <a:spLocks xmlns:a="http://schemas.openxmlformats.org/drawingml/2006/main" noChangeArrowheads="1"/>
        </cdr:cNvSpPr>
      </cdr:nvSpPr>
      <cdr:spPr bwMode="auto">
        <a:xfrm xmlns:a="http://schemas.openxmlformats.org/drawingml/2006/main">
          <a:off x="50800" y="974704"/>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0.92031</cdr:x>
      <cdr:y>0.85051</cdr:y>
    </cdr:from>
    <cdr:to>
      <cdr:x>0.97684</cdr:x>
      <cdr:y>0.88312</cdr:y>
    </cdr:to>
    <cdr:sp macro="" textlink="">
      <cdr:nvSpPr>
        <cdr:cNvPr id="41997" name="Text Box 13"/>
        <cdr:cNvSpPr txBox="1">
          <a:spLocks xmlns:a="http://schemas.openxmlformats.org/drawingml/2006/main" noChangeArrowheads="1"/>
        </cdr:cNvSpPr>
      </cdr:nvSpPr>
      <cdr:spPr bwMode="auto">
        <a:xfrm xmlns:a="http://schemas.openxmlformats.org/drawingml/2006/main">
          <a:off x="11357145" y="4366498"/>
          <a:ext cx="697696" cy="1674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Nº fallecidos</a:t>
          </a:r>
        </a:p>
      </cdr:txBody>
    </cdr:sp>
  </cdr:relSizeAnchor>
</c:userShapes>
</file>

<file path=xl/drawings/drawing31.xml><?xml version="1.0" encoding="utf-8"?>
<c:userShapes xmlns:c="http://schemas.openxmlformats.org/drawingml/2006/chart">
  <cdr:relSizeAnchor xmlns:cdr="http://schemas.openxmlformats.org/drawingml/2006/chartDrawing">
    <cdr:from>
      <cdr:x>0.00548</cdr:x>
      <cdr:y>0.20547</cdr:y>
    </cdr:from>
    <cdr:to>
      <cdr:x>0.08534</cdr:x>
      <cdr:y>0.2214</cdr:y>
    </cdr:to>
    <cdr:sp macro="" textlink="">
      <cdr:nvSpPr>
        <cdr:cNvPr id="43015" name="Text Box 7"/>
        <cdr:cNvSpPr txBox="1">
          <a:spLocks xmlns:a="http://schemas.openxmlformats.org/drawingml/2006/main" noChangeArrowheads="1"/>
        </cdr:cNvSpPr>
      </cdr:nvSpPr>
      <cdr:spPr bwMode="auto">
        <a:xfrm xmlns:a="http://schemas.openxmlformats.org/drawingml/2006/main">
          <a:off x="50800" y="987617"/>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0.93617</cdr:x>
      <cdr:y>0.91445</cdr:y>
    </cdr:from>
    <cdr:to>
      <cdr:x>0.98894</cdr:x>
      <cdr:y>0.94918</cdr:y>
    </cdr:to>
    <cdr:sp macro="" textlink="">
      <cdr:nvSpPr>
        <cdr:cNvPr id="43020" name="Text Box 12"/>
        <cdr:cNvSpPr txBox="1">
          <a:spLocks xmlns:a="http://schemas.openxmlformats.org/drawingml/2006/main" noChangeArrowheads="1"/>
        </cdr:cNvSpPr>
      </cdr:nvSpPr>
      <cdr:spPr bwMode="auto">
        <a:xfrm xmlns:a="http://schemas.openxmlformats.org/drawingml/2006/main">
          <a:off x="12094469" y="4627994"/>
          <a:ext cx="681731" cy="1757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Porcentaje</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254000</xdr:colOff>
      <xdr:row>48</xdr:row>
      <xdr:rowOff>0</xdr:rowOff>
    </xdr:from>
    <xdr:to>
      <xdr:col>5</xdr:col>
      <xdr:colOff>139700</xdr:colOff>
      <xdr:row>69</xdr:row>
      <xdr:rowOff>152400</xdr:rowOff>
    </xdr:to>
    <xdr:graphicFrame macro="">
      <xdr:nvGraphicFramePr>
        <xdr:cNvPr id="2" name="1 Gráfico">
          <a:extLst>
            <a:ext uri="{FF2B5EF4-FFF2-40B4-BE49-F238E27FC236}">
              <a16:creationId xmlns:a16="http://schemas.microsoft.com/office/drawing/2014/main" id="{00000000-0008-0000-1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596900</xdr:colOff>
      <xdr:row>48</xdr:row>
      <xdr:rowOff>12700</xdr:rowOff>
    </xdr:from>
    <xdr:to>
      <xdr:col>12</xdr:col>
      <xdr:colOff>279400</xdr:colOff>
      <xdr:row>70</xdr:row>
      <xdr:rowOff>38100</xdr:rowOff>
    </xdr:to>
    <xdr:graphicFrame macro="">
      <xdr:nvGraphicFramePr>
        <xdr:cNvPr id="5" name="4 Gráfico">
          <a:extLst>
            <a:ext uri="{FF2B5EF4-FFF2-40B4-BE49-F238E27FC236}">
              <a16:creationId xmlns:a16="http://schemas.microsoft.com/office/drawing/2014/main" id="{00000000-0008-0000-1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cdr:x>
      <cdr:y>0</cdr:y>
    </cdr:from>
    <cdr:to>
      <cdr:x>0.11741</cdr:x>
      <cdr:y>0.07813</cdr:y>
    </cdr:to>
    <cdr:pic>
      <cdr:nvPicPr>
        <cdr:cNvPr id="3" name="chart">
          <a:extLst xmlns:a="http://schemas.openxmlformats.org/drawingml/2006/main">
            <a:ext uri="{FF2B5EF4-FFF2-40B4-BE49-F238E27FC236}">
              <a16:creationId xmlns:a16="http://schemas.microsoft.com/office/drawing/2014/main" id="{5CD4A73E-C8B8-7843-FE69-BE5A54440C9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599439" cy="317500"/>
        </a:xfrm>
        <a:prstGeom xmlns:a="http://schemas.openxmlformats.org/drawingml/2006/main" prst="rect">
          <a:avLst/>
        </a:prstGeom>
      </cdr:spPr>
    </cdr:pic>
  </cdr:relSizeAnchor>
  <cdr:relSizeAnchor xmlns:cdr="http://schemas.openxmlformats.org/drawingml/2006/chartDrawing">
    <cdr:from>
      <cdr:x>0.22886</cdr:x>
      <cdr:y>0</cdr:y>
    </cdr:from>
    <cdr:to>
      <cdr:x>0.86727</cdr:x>
      <cdr:y>0.08438</cdr:y>
    </cdr:to>
    <cdr:pic>
      <cdr:nvPicPr>
        <cdr:cNvPr id="4" name="chart">
          <a:extLst xmlns:a="http://schemas.openxmlformats.org/drawingml/2006/main">
            <a:ext uri="{FF2B5EF4-FFF2-40B4-BE49-F238E27FC236}">
              <a16:creationId xmlns:a16="http://schemas.microsoft.com/office/drawing/2014/main" id="{9F186745-EA9B-A18D-DE07-797FDA1532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168400" y="0"/>
          <a:ext cx="3259367" cy="342900"/>
        </a:xfrm>
        <a:prstGeom xmlns:a="http://schemas.openxmlformats.org/drawingml/2006/main" prst="rect">
          <a:avLst/>
        </a:prstGeom>
      </cdr:spPr>
    </cdr:pic>
  </cdr:relSizeAnchor>
</c:userShapes>
</file>

<file path=xl/drawings/drawing34.xml><?xml version="1.0" encoding="utf-8"?>
<c:userShapes xmlns:c="http://schemas.openxmlformats.org/drawingml/2006/chart">
  <cdr:relSizeAnchor xmlns:cdr="http://schemas.openxmlformats.org/drawingml/2006/chartDrawing">
    <cdr:from>
      <cdr:x>0.21642</cdr:x>
      <cdr:y>0</cdr:y>
    </cdr:from>
    <cdr:to>
      <cdr:x>0.92932</cdr:x>
      <cdr:y>0.08101</cdr:y>
    </cdr:to>
    <cdr:pic>
      <cdr:nvPicPr>
        <cdr:cNvPr id="2" name="chart">
          <a:extLst xmlns:a="http://schemas.openxmlformats.org/drawingml/2006/main">
            <a:ext uri="{FF2B5EF4-FFF2-40B4-BE49-F238E27FC236}">
              <a16:creationId xmlns:a16="http://schemas.microsoft.com/office/drawing/2014/main" id="{661A25B2-00CD-A331-1B8C-F6B377D894D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104900" y="0"/>
          <a:ext cx="3639627" cy="329213"/>
        </a:xfrm>
        <a:prstGeom xmlns:a="http://schemas.openxmlformats.org/drawingml/2006/main" prst="rect">
          <a:avLst/>
        </a:prstGeom>
      </cdr:spPr>
    </cdr:pic>
  </cdr:relSizeAnchor>
  <cdr:relSizeAnchor xmlns:cdr="http://schemas.openxmlformats.org/drawingml/2006/chartDrawing">
    <cdr:from>
      <cdr:x>0</cdr:x>
      <cdr:y>0</cdr:y>
    </cdr:from>
    <cdr:to>
      <cdr:x>0.08837</cdr:x>
      <cdr:y>0.07801</cdr:y>
    </cdr:to>
    <cdr:pic>
      <cdr:nvPicPr>
        <cdr:cNvPr id="3" name="chart">
          <a:extLst xmlns:a="http://schemas.openxmlformats.org/drawingml/2006/main">
            <a:ext uri="{FF2B5EF4-FFF2-40B4-BE49-F238E27FC236}">
              <a16:creationId xmlns:a16="http://schemas.microsoft.com/office/drawing/2014/main" id="{E49ABC6E-8F2C-F467-B143-BBA96299136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0" y="0"/>
          <a:ext cx="451143" cy="317019"/>
        </a:xfrm>
        <a:prstGeom xmlns:a="http://schemas.openxmlformats.org/drawingml/2006/main" prst="rect">
          <a:avLst/>
        </a:prstGeom>
      </cdr:spPr>
    </cdr:pic>
  </cdr:relSizeAnchor>
</c:userShapes>
</file>

<file path=xl/drawings/drawing35.xml><?xml version="1.0" encoding="utf-8"?>
<xdr:wsDr xmlns:xdr="http://schemas.openxmlformats.org/drawingml/2006/spreadsheetDrawing" xmlns:a="http://schemas.openxmlformats.org/drawingml/2006/main">
  <xdr:twoCellAnchor>
    <xdr:from>
      <xdr:col>0</xdr:col>
      <xdr:colOff>333375</xdr:colOff>
      <xdr:row>0</xdr:row>
      <xdr:rowOff>206375</xdr:rowOff>
    </xdr:from>
    <xdr:to>
      <xdr:col>10</xdr:col>
      <xdr:colOff>523875</xdr:colOff>
      <xdr:row>95</xdr:row>
      <xdr:rowOff>63500</xdr:rowOff>
    </xdr:to>
    <xdr:sp macro="" textlink="">
      <xdr:nvSpPr>
        <xdr:cNvPr id="2" name="1 CuadroTexto">
          <a:extLst>
            <a:ext uri="{FF2B5EF4-FFF2-40B4-BE49-F238E27FC236}">
              <a16:creationId xmlns:a16="http://schemas.microsoft.com/office/drawing/2014/main" id="{00000000-0008-0000-2000-000002000000}"/>
            </a:ext>
          </a:extLst>
        </xdr:cNvPr>
        <xdr:cNvSpPr txBox="1"/>
      </xdr:nvSpPr>
      <xdr:spPr>
        <a:xfrm>
          <a:off x="333375" y="206375"/>
          <a:ext cx="9366250" cy="1871662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0"/>
            </a:spcAft>
          </a:pPr>
          <a:endParaRPr lang="es-ES" sz="1100">
            <a:effectLst/>
            <a:latin typeface="Arial"/>
            <a:ea typeface="Times New Roman"/>
            <a:cs typeface="Times New Roman"/>
          </a:endParaRPr>
        </a:p>
        <a:p>
          <a:pPr algn="just">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gn="just">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gn="just">
            <a:spcAft>
              <a:spcPts val="0"/>
            </a:spcAft>
          </a:pPr>
          <a:r>
            <a:rPr lang="es-ES" sz="800" b="0" u="none" strike="noStrike">
              <a:effectLst/>
              <a:latin typeface="Arial"/>
            </a:rPr>
            <a:t>	SUBDIRECCION DE GESTION ESTRATEGICA</a:t>
          </a:r>
          <a:endParaRPr lang="es-CL" sz="800" b="1" u="sng">
            <a:effectLst/>
            <a:latin typeface="Verdana"/>
          </a:endParaRPr>
        </a:p>
        <a:p>
          <a:pPr algn="just">
            <a:spcAft>
              <a:spcPts val="0"/>
            </a:spcAft>
          </a:pPr>
          <a:r>
            <a:rPr lang="pt-BR" sz="800" b="1" u="sng">
              <a:effectLst/>
              <a:latin typeface="Arial"/>
            </a:rPr>
            <a:t>	UNIDAD DE ESTADISTICA</a:t>
          </a:r>
          <a:endParaRPr lang="es-CL" sz="800" b="1" u="sng">
            <a:effectLst/>
            <a:latin typeface="Verdana"/>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MEMORIA ESTADISTICA SERVICIO DE SALUD ACONCAGUA 2014-2023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ctr">
            <a:spcAft>
              <a:spcPts val="1000"/>
            </a:spcAft>
          </a:pPr>
          <a:r>
            <a:rPr lang="es-ES_tradnl" sz="1100" b="1">
              <a:effectLst/>
              <a:latin typeface="Arial"/>
              <a:ea typeface="Calibri"/>
              <a:cs typeface="Times New Roman"/>
            </a:rPr>
            <a:t>CAPITULO  III     ACTIVIDADES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Este capítulo presenta las actividades sobre las personas, desarrolladas por el equipo de salud en los establecimientos, tanto de Atención Primaria como Secundaria, de la Red Aconcagua.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EVALUACION NUTRICIONAL:</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De 16.285 menores de 9 años bajo control,   se observa un incremento  de un 5,6% de  la  población bajo  control respecto  al  año 2022 (15.424), (pag.35)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relación al diagnóstico  nutricional  integrado  de este grupo  menor  de 9  años se observa  un crecimiento en la mayoria de  los  estados  nutricionales, siendo  el  mayor en los  desnutridos de un 9,3 %  respecto  al  año  anterior.(pág.. 35)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grupo de   embarazadas bajo control (1.162 </a:t>
          </a:r>
          <a:r>
            <a:rPr lang="es-ES_tradnl" sz="1000">
              <a:effectLst/>
              <a:latin typeface="Verdana"/>
              <a:ea typeface="Times New Roman"/>
              <a:cs typeface="Times New Roman"/>
            </a:rPr>
            <a:t> </a:t>
          </a:r>
          <a:r>
            <a:rPr lang="es-ES_tradnl" sz="1100">
              <a:effectLst/>
              <a:latin typeface="Arial"/>
              <a:ea typeface="Calibri"/>
              <a:cs typeface="Times New Roman"/>
            </a:rPr>
            <a:t>usuarias) se  observa, en  comparación  al  año  anterior,  un  crecimiento de  las obesas  de 38,1 a 44,4%  y  una  decrecimiento en las  normales   de 27,9  a 22,7%  (pág. 36)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r>
            <a:rPr lang="es-ES_tradnl" sz="1100" b="1">
              <a:effectLst/>
              <a:latin typeface="Arial"/>
              <a:ea typeface="Calibri"/>
              <a:cs typeface="Times New Roman"/>
            </a:rPr>
            <a:t>NACIMIENTOS Y PARTOS: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2023 se produjeron en el SSA  2.298 partos,  el 66,4% de ellos se atendió en el HSC, el 33,5% en el HLA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2,5% de los recién nacidos registraron un peso de nacimiento menor a 2000 gramos.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4,7% de las madres tenía una edad menor a 20 años. La incidencia de partos en menores de 15 años crecio  en relación al 2022  de 0,05 puntos  porcentuales.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62.2% de los partos se resolvió por cesárea. (pag.37)	</a:t>
          </a:r>
          <a:endParaRPr lang="es-CL" sz="1000">
            <a:effectLst/>
            <a:latin typeface="Verdana"/>
            <a:ea typeface="Times New Roman"/>
            <a:cs typeface="Times New Roman"/>
          </a:endParaRPr>
        </a:p>
        <a:p>
          <a:pPr algn="just">
            <a:spcAft>
              <a:spcPts val="1000"/>
            </a:spcAft>
          </a:pP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Y CONTROLES NIVEL PRIMARIO:</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general  en  todos  los Programas de  salud nivel Primario(pag 41 a 46), se observa  un  incremento significativo(28%) de  estas actividades en  el año  2022, respecto  al</a:t>
          </a:r>
          <a:r>
            <a:rPr lang="es-ES_tradnl" sz="1100" baseline="0">
              <a:effectLst/>
              <a:latin typeface="Arial"/>
              <a:ea typeface="Calibri"/>
              <a:cs typeface="Times New Roman"/>
            </a:rPr>
            <a:t>  año 2021.</a:t>
          </a:r>
          <a:r>
            <a:rPr lang="es-ES_tradnl" sz="1100">
              <a:effectLst/>
              <a:latin typeface="Arial"/>
              <a:ea typeface="Calibri"/>
              <a:cs typeface="Times New Roman"/>
            </a:rPr>
            <a:t> </a:t>
          </a:r>
          <a:endParaRPr lang="es-ES_tradnl" sz="1100" baseline="0">
            <a:effectLst/>
            <a:latin typeface="Arial"/>
            <a:ea typeface="Calibri"/>
            <a:cs typeface="Times New Roman"/>
          </a:endParaRPr>
        </a:p>
        <a:p>
          <a:pPr algn="just">
            <a:spcAft>
              <a:spcPts val="1000"/>
            </a:spcAft>
          </a:pPr>
          <a:r>
            <a:rPr lang="es-ES_tradnl" sz="1100">
              <a:effectLst/>
              <a:latin typeface="Arial"/>
              <a:ea typeface="Calibri"/>
              <a:cs typeface="Times New Roman"/>
            </a:rPr>
            <a:t>La consulta psicólogo, profesional integrado a todos los programas precedentes,   para  el  año 2022,  presentan  un  decrecimiento de un 18%,respecto</a:t>
          </a:r>
          <a:r>
            <a:rPr lang="es-ES_tradnl" sz="1100" baseline="0">
              <a:effectLst/>
              <a:latin typeface="Arial"/>
              <a:ea typeface="Calibri"/>
              <a:cs typeface="Times New Roman"/>
            </a:rPr>
            <a:t>  al  año  anterior </a:t>
          </a:r>
          <a:r>
            <a:rPr lang="es-ES_tradnl" sz="1100">
              <a:effectLst/>
              <a:latin typeface="Arial"/>
              <a:ea typeface="Calibri"/>
              <a:cs typeface="Times New Roman"/>
            </a:rPr>
            <a:t>(pág. 47). En tanto la consulta por médico, un decremeciento  de  un 0,58% respecto al  año anterior</a:t>
          </a:r>
          <a:r>
            <a:rPr lang="es-ES_tradnl" sz="1100" baseline="0">
              <a:effectLst/>
              <a:latin typeface="Arial"/>
              <a:ea typeface="Calibri"/>
              <a:cs typeface="Times New Roman"/>
            </a:rPr>
            <a:t> (</a:t>
          </a:r>
          <a:r>
            <a:rPr lang="es-ES_tradnl" sz="1100">
              <a:effectLst/>
              <a:latin typeface="Arial"/>
              <a:ea typeface="Calibri"/>
              <a:cs typeface="Times New Roman"/>
            </a:rPr>
            <a:t>pág. 48.)			</a:t>
          </a: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ESPECIALIDADES: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La  consultas de  especialidades  el  2023 alcanzaron a un total de 133.739 en  comparación al año anterior de 126.768, mostrando  un  crecimiento </a:t>
          </a:r>
          <a:r>
            <a:rPr lang="es-ES_tradnl" sz="1100" baseline="0">
              <a:effectLst/>
              <a:latin typeface="Arial"/>
              <a:ea typeface="Calibri"/>
              <a:cs typeface="Times New Roman"/>
            </a:rPr>
            <a:t> de  un 5,5%</a:t>
          </a:r>
          <a:r>
            <a:rPr lang="es-ES_tradnl" sz="1100">
              <a:effectLst/>
              <a:latin typeface="Arial"/>
              <a:ea typeface="Calibri"/>
              <a:cs typeface="Times New Roman"/>
            </a:rPr>
            <a:t>(pág. 53)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CONSULTAS  DE  URGENCIA: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2023 se generó un total de 344.894 consultas médicas de urgencia en los establecimientos de la Red, el 18,2% de ellas en el HLA y  el  17,1% en el HSC.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general todos  los  establecimiento muestran un incremento  en  las  consultas 2023 en relación al 2022, lo  que  muestra  un crecimiento  de  un 6,9% (pág. 69)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22,1% de las consultas de urgencia 2023 se generaron en los Servicios de Atención Primaria de Urgencia (SAPU y SUR)  de los Andes y San Felipe.</a:t>
          </a: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INTERVENCIONES QUIRÚRGICAS: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Esta  actividad   para  el  periodo 2014 - 2023,  aun no  alcanza los  valores de  inicio  del  periodo debido  a  los  efectos  de  la  pandemia,</a:t>
          </a:r>
          <a:r>
            <a:rPr lang="es-ES_tradnl" sz="1100" baseline="0">
              <a:effectLst/>
              <a:latin typeface="Arial"/>
              <a:ea typeface="Calibri"/>
              <a:cs typeface="Times New Roman"/>
            </a:rPr>
            <a:t> </a:t>
          </a:r>
          <a:r>
            <a:rPr lang="es-ES_tradnl" sz="1100">
              <a:effectLst/>
              <a:latin typeface="Arial"/>
              <a:ea typeface="Calibri"/>
              <a:cs typeface="Times New Roman"/>
            </a:rPr>
            <a:t>(pág. 71)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2023 se realizaron un total de 20.218  cirugías en  comparación  al  año  2022 de 18.359,  (pag.70)</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De total de cirugías 10.328 fueron  cirugías mayores, de las cuales 3.660 se realizó en forma ambulatoria.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USO DE CAMAS  HOSPITALARIAS: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Con 808 camas disponibles el 2023 en la Red Aconcagua,  se  observa una   dotación levemente  mas baja que al inicio del período (2013) (pag 83)</a:t>
          </a:r>
        </a:p>
        <a:p>
          <a:pPr algn="just">
            <a:spcAft>
              <a:spcPts val="1000"/>
            </a:spcAft>
          </a:pPr>
          <a:r>
            <a:rPr lang="es-ES_tradnl" sz="1100">
              <a:effectLst/>
              <a:latin typeface="Arial"/>
              <a:ea typeface="Calibri"/>
              <a:cs typeface="Times New Roman"/>
            </a:rPr>
            <a:t>Se registró un total de  99.597 días de estada  en  los  Hospitales  autogestionados. El 94,9% de los pacientes hospitalizados  fueron  categorizados.(Pag75)</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los  dos  hospitales auto gestionados,  el  2,8%   fueron  categorizados  D2 y D3, correspondientes a   pacientes  hospitalizados  de  baja  complejidad y dependencia (pág. 75)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 relación a los indicadores de uso de camas en la Red, se observa la siguiente distribución:</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HSC: 221 camas, 9.775 egresos, 72,3% de índice ocupacional y 6,12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HLA: 168 camas, 7.867 egresos, 79,9% de índice ocupacional y 5,91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HLL LL: 37 camas, 943 egresos, 68,1% de índice ocupacional y 9,25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HSA: 28 camas, 525 egresos, 80,2% de índice ocupacional y 13,1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HPP: 354 camas, 575  egresos, 95,1% de índice ocupacional y 201,62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(págs. 83-88)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EGRESOS HOSPITALARIOS POR GRUPOS DIAGNOSTICOS: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Se describen los grupos de diagnósticos de acuerdo al Código Internacional de Enfermedades (CIE 10).</a:t>
          </a:r>
        </a:p>
        <a:p>
          <a:pPr algn="just">
            <a:spcAft>
              <a:spcPts val="0"/>
            </a:spcAft>
          </a:pPr>
          <a:endParaRPr lang="es-ES_tradnl" sz="1100">
            <a:effectLst/>
            <a:latin typeface="Arial"/>
            <a:ea typeface="Calibri"/>
            <a:cs typeface="Times New Roman"/>
          </a:endParaRPr>
        </a:p>
        <a:p>
          <a:pPr algn="just">
            <a:spcAft>
              <a:spcPts val="0"/>
            </a:spcAft>
          </a:pPr>
          <a:r>
            <a:rPr lang="es-ES_tradnl" sz="1100">
              <a:effectLst/>
              <a:latin typeface="Arial"/>
              <a:ea typeface="Calibri"/>
              <a:cs typeface="Times New Roman"/>
            </a:rPr>
            <a:t>Se originaron 	19.685 egresos hospitalarios el año 2023 en los hospitales de la Red(pag. 74). Las primeras cuatro causas tuvieron la siguiente distribución(pag90):</a:t>
          </a:r>
        </a:p>
        <a:p>
          <a:pPr algn="just">
            <a:spcAft>
              <a:spcPts val="0"/>
            </a:spcAft>
          </a:pPr>
          <a:r>
            <a:rPr lang="es-ES_tradnl" sz="1100">
              <a:effectLst/>
              <a:latin typeface="Arial"/>
              <a:ea typeface="Calibri"/>
              <a:cs typeface="Times New Roman"/>
            </a:rPr>
            <a:t> </a:t>
          </a:r>
        </a:p>
        <a:p>
          <a:pPr algn="just">
            <a:spcAft>
              <a:spcPts val="0"/>
            </a:spcAft>
          </a:pPr>
          <a:r>
            <a:rPr lang="es-ES_tradnl" sz="1100">
              <a:effectLst/>
              <a:latin typeface="Arial"/>
              <a:ea typeface="Calibri"/>
              <a:cs typeface="Times New Roman"/>
            </a:rPr>
            <a:t>Embarazo Parto y Puerperio	: 3.069 egresos, 15,6%.</a:t>
          </a:r>
        </a:p>
        <a:p>
          <a:pPr algn="just">
            <a:lnSpc>
              <a:spcPct val="150000"/>
            </a:lnSpc>
            <a:spcAft>
              <a:spcPts val="0"/>
            </a:spcAft>
          </a:pPr>
          <a:r>
            <a:rPr lang="es-ES_tradnl" sz="1100">
              <a:effectLst/>
              <a:latin typeface="Arial"/>
              <a:ea typeface="Calibri"/>
              <a:cs typeface="Times New Roman"/>
            </a:rPr>
            <a:t>Aparato Digestivo	: 2.970 egresos, 15,1%.</a:t>
          </a:r>
        </a:p>
        <a:p>
          <a:pPr algn="just">
            <a:lnSpc>
              <a:spcPct val="150000"/>
            </a:lnSpc>
            <a:spcAft>
              <a:spcPts val="0"/>
            </a:spcAft>
          </a:pPr>
          <a:r>
            <a:rPr lang="es-ES_tradnl" sz="1100">
              <a:effectLst/>
              <a:latin typeface="Arial"/>
              <a:ea typeface="Calibri"/>
              <a:cs typeface="Times New Roman"/>
            </a:rPr>
            <a:t>Traumatismos     	: 2.345 egresos, 11,9%.</a:t>
          </a:r>
        </a:p>
        <a:p>
          <a:pPr algn="just">
            <a:lnSpc>
              <a:spcPct val="150000"/>
            </a:lnSpc>
            <a:spcAft>
              <a:spcPts val="0"/>
            </a:spcAft>
          </a:pPr>
          <a:r>
            <a:rPr lang="es-ES_tradnl" sz="1100">
              <a:effectLst/>
              <a:latin typeface="Arial"/>
              <a:ea typeface="Calibri"/>
              <a:cs typeface="Times New Roman"/>
            </a:rPr>
            <a:t>Aparato Circulatorio	: 1.875 egresos,   9,5%.		</a:t>
          </a: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390525</xdr:colOff>
      <xdr:row>1</xdr:row>
      <xdr:rowOff>0</xdr:rowOff>
    </xdr:from>
    <xdr:to>
      <xdr:col>1</xdr:col>
      <xdr:colOff>520065</xdr:colOff>
      <xdr:row>3</xdr:row>
      <xdr:rowOff>260985</xdr:rowOff>
    </xdr:to>
    <xdr:pic>
      <xdr:nvPicPr>
        <xdr:cNvPr id="4" name="3 Imagen" descr="logo gobierno">
          <a:extLst>
            <a:ext uri="{FF2B5EF4-FFF2-40B4-BE49-F238E27FC236}">
              <a16:creationId xmlns:a16="http://schemas.microsoft.com/office/drawing/2014/main" id="{00000000-0008-0000-2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285750"/>
          <a:ext cx="891540" cy="58483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371475</xdr:colOff>
      <xdr:row>103</xdr:row>
      <xdr:rowOff>19050</xdr:rowOff>
    </xdr:from>
    <xdr:to>
      <xdr:col>10</xdr:col>
      <xdr:colOff>114300</xdr:colOff>
      <xdr:row>118</xdr:row>
      <xdr:rowOff>152400</xdr:rowOff>
    </xdr:to>
    <xdr:graphicFrame macro="">
      <xdr:nvGraphicFramePr>
        <xdr:cNvPr id="65545267" name="Chart 1">
          <a:extLst>
            <a:ext uri="{FF2B5EF4-FFF2-40B4-BE49-F238E27FC236}">
              <a16:creationId xmlns:a16="http://schemas.microsoft.com/office/drawing/2014/main" id="{00000000-0008-0000-2400-00003324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371475</xdr:colOff>
      <xdr:row>121</xdr:row>
      <xdr:rowOff>19050</xdr:rowOff>
    </xdr:from>
    <xdr:to>
      <xdr:col>10</xdr:col>
      <xdr:colOff>114300</xdr:colOff>
      <xdr:row>136</xdr:row>
      <xdr:rowOff>152400</xdr:rowOff>
    </xdr:to>
    <xdr:graphicFrame macro="">
      <xdr:nvGraphicFramePr>
        <xdr:cNvPr id="65545268" name="Chart 2">
          <a:extLst>
            <a:ext uri="{FF2B5EF4-FFF2-40B4-BE49-F238E27FC236}">
              <a16:creationId xmlns:a16="http://schemas.microsoft.com/office/drawing/2014/main" id="{00000000-0008-0000-2400-00003424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371474</xdr:colOff>
      <xdr:row>103</xdr:row>
      <xdr:rowOff>19050</xdr:rowOff>
    </xdr:from>
    <xdr:to>
      <xdr:col>11</xdr:col>
      <xdr:colOff>9524</xdr:colOff>
      <xdr:row>119</xdr:row>
      <xdr:rowOff>85725</xdr:rowOff>
    </xdr:to>
    <xdr:graphicFrame macro="">
      <xdr:nvGraphicFramePr>
        <xdr:cNvPr id="65545269" name="Chart 1">
          <a:extLst>
            <a:ext uri="{FF2B5EF4-FFF2-40B4-BE49-F238E27FC236}">
              <a16:creationId xmlns:a16="http://schemas.microsoft.com/office/drawing/2014/main" id="{00000000-0008-0000-2400-00003524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371474</xdr:colOff>
      <xdr:row>121</xdr:row>
      <xdr:rowOff>19050</xdr:rowOff>
    </xdr:from>
    <xdr:to>
      <xdr:col>11</xdr:col>
      <xdr:colOff>9524</xdr:colOff>
      <xdr:row>138</xdr:row>
      <xdr:rowOff>66675</xdr:rowOff>
    </xdr:to>
    <xdr:graphicFrame macro="">
      <xdr:nvGraphicFramePr>
        <xdr:cNvPr id="65545270" name="Chart 2">
          <a:extLst>
            <a:ext uri="{FF2B5EF4-FFF2-40B4-BE49-F238E27FC236}">
              <a16:creationId xmlns:a16="http://schemas.microsoft.com/office/drawing/2014/main" id="{00000000-0008-0000-2400-00003624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771524</xdr:colOff>
      <xdr:row>17</xdr:row>
      <xdr:rowOff>0</xdr:rowOff>
    </xdr:from>
    <xdr:to>
      <xdr:col>9</xdr:col>
      <xdr:colOff>507999</xdr:colOff>
      <xdr:row>33</xdr:row>
      <xdr:rowOff>60325</xdr:rowOff>
    </xdr:to>
    <xdr:graphicFrame macro="">
      <xdr:nvGraphicFramePr>
        <xdr:cNvPr id="65549339" name="Chart 1">
          <a:extLst>
            <a:ext uri="{FF2B5EF4-FFF2-40B4-BE49-F238E27FC236}">
              <a16:creationId xmlns:a16="http://schemas.microsoft.com/office/drawing/2014/main" id="{00000000-0008-0000-2500-00001B34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16</xdr:row>
      <xdr:rowOff>38100</xdr:rowOff>
    </xdr:from>
    <xdr:to>
      <xdr:col>19</xdr:col>
      <xdr:colOff>57150</xdr:colOff>
      <xdr:row>34</xdr:row>
      <xdr:rowOff>142875</xdr:rowOff>
    </xdr:to>
    <xdr:graphicFrame macro="">
      <xdr:nvGraphicFramePr>
        <xdr:cNvPr id="65422363" name="Chart 2">
          <a:extLst>
            <a:ext uri="{FF2B5EF4-FFF2-40B4-BE49-F238E27FC236}">
              <a16:creationId xmlns:a16="http://schemas.microsoft.com/office/drawing/2014/main" id="{00000000-0008-0000-2700-00001B44E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16</xdr:row>
      <xdr:rowOff>38100</xdr:rowOff>
    </xdr:from>
    <xdr:to>
      <xdr:col>19</xdr:col>
      <xdr:colOff>57150</xdr:colOff>
      <xdr:row>34</xdr:row>
      <xdr:rowOff>142875</xdr:rowOff>
    </xdr:to>
    <xdr:graphicFrame macro="">
      <xdr:nvGraphicFramePr>
        <xdr:cNvPr id="65422364" name="Chart 2">
          <a:extLst>
            <a:ext uri="{FF2B5EF4-FFF2-40B4-BE49-F238E27FC236}">
              <a16:creationId xmlns:a16="http://schemas.microsoft.com/office/drawing/2014/main" id="{00000000-0008-0000-2700-00001C44E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600076</xdr:colOff>
      <xdr:row>24</xdr:row>
      <xdr:rowOff>28575</xdr:rowOff>
    </xdr:from>
    <xdr:to>
      <xdr:col>6</xdr:col>
      <xdr:colOff>723900</xdr:colOff>
      <xdr:row>35</xdr:row>
      <xdr:rowOff>247650</xdr:rowOff>
    </xdr:to>
    <xdr:graphicFrame macro="">
      <xdr:nvGraphicFramePr>
        <xdr:cNvPr id="4" name="3 Gráfico">
          <a:extLst>
            <a:ext uri="{FF2B5EF4-FFF2-40B4-BE49-F238E27FC236}">
              <a16:creationId xmlns:a16="http://schemas.microsoft.com/office/drawing/2014/main" id="{00000000-0008-0000-3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19048</xdr:colOff>
      <xdr:row>4</xdr:row>
      <xdr:rowOff>57149</xdr:rowOff>
    </xdr:from>
    <xdr:to>
      <xdr:col>13</xdr:col>
      <xdr:colOff>561975</xdr:colOff>
      <xdr:row>31</xdr:row>
      <xdr:rowOff>8395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419348" y="704849"/>
          <a:ext cx="8543927" cy="552337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8</xdr:col>
      <xdr:colOff>19050</xdr:colOff>
      <xdr:row>20</xdr:row>
      <xdr:rowOff>76200</xdr:rowOff>
    </xdr:from>
    <xdr:ext cx="184731" cy="264560"/>
    <xdr:sp macro="" textlink="">
      <xdr:nvSpPr>
        <xdr:cNvPr id="2" name="CuadroTexto 1">
          <a:extLst>
            <a:ext uri="{FF2B5EF4-FFF2-40B4-BE49-F238E27FC236}">
              <a16:creationId xmlns:a16="http://schemas.microsoft.com/office/drawing/2014/main" id="{00000000-0008-0000-3A00-000002000000}"/>
            </a:ext>
          </a:extLst>
        </xdr:cNvPr>
        <xdr:cNvSpPr txBox="1"/>
      </xdr:nvSpPr>
      <xdr:spPr>
        <a:xfrm>
          <a:off x="6962775"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L" sz="1100"/>
        </a:p>
      </xdr:txBody>
    </xdr:sp>
    <xdr:clientData/>
  </xdr:oneCellAnchor>
</xdr:wsDr>
</file>

<file path=xl/drawings/drawing41.xml><?xml version="1.0" encoding="utf-8"?>
<xdr:wsDr xmlns:xdr="http://schemas.openxmlformats.org/drawingml/2006/spreadsheetDrawing" xmlns:a="http://schemas.openxmlformats.org/drawingml/2006/main">
  <xdr:twoCellAnchor>
    <xdr:from>
      <xdr:col>0</xdr:col>
      <xdr:colOff>419100</xdr:colOff>
      <xdr:row>67</xdr:row>
      <xdr:rowOff>0</xdr:rowOff>
    </xdr:from>
    <xdr:to>
      <xdr:col>6</xdr:col>
      <xdr:colOff>628650</xdr:colOff>
      <xdr:row>83</xdr:row>
      <xdr:rowOff>123825</xdr:rowOff>
    </xdr:to>
    <xdr:graphicFrame macro="">
      <xdr:nvGraphicFramePr>
        <xdr:cNvPr id="65570093" name="Chart 1">
          <a:extLst>
            <a:ext uri="{FF2B5EF4-FFF2-40B4-BE49-F238E27FC236}">
              <a16:creationId xmlns:a16="http://schemas.microsoft.com/office/drawing/2014/main" id="{00000000-0008-0000-3B00-00002D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419100</xdr:colOff>
      <xdr:row>88</xdr:row>
      <xdr:rowOff>0</xdr:rowOff>
    </xdr:from>
    <xdr:to>
      <xdr:col>6</xdr:col>
      <xdr:colOff>628650</xdr:colOff>
      <xdr:row>104</xdr:row>
      <xdr:rowOff>123825</xdr:rowOff>
    </xdr:to>
    <xdr:graphicFrame macro="">
      <xdr:nvGraphicFramePr>
        <xdr:cNvPr id="65570094" name="Chart 2">
          <a:extLst>
            <a:ext uri="{FF2B5EF4-FFF2-40B4-BE49-F238E27FC236}">
              <a16:creationId xmlns:a16="http://schemas.microsoft.com/office/drawing/2014/main" id="{00000000-0008-0000-3B00-00002E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139</xdr:row>
      <xdr:rowOff>142875</xdr:rowOff>
    </xdr:from>
    <xdr:to>
      <xdr:col>3</xdr:col>
      <xdr:colOff>152400</xdr:colOff>
      <xdr:row>153</xdr:row>
      <xdr:rowOff>19050</xdr:rowOff>
    </xdr:to>
    <xdr:graphicFrame macro="">
      <xdr:nvGraphicFramePr>
        <xdr:cNvPr id="65570095" name="Chart 3">
          <a:extLst>
            <a:ext uri="{FF2B5EF4-FFF2-40B4-BE49-F238E27FC236}">
              <a16:creationId xmlns:a16="http://schemas.microsoft.com/office/drawing/2014/main" id="{00000000-0008-0000-3B00-00002F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361950</xdr:colOff>
      <xdr:row>140</xdr:row>
      <xdr:rowOff>0</xdr:rowOff>
    </xdr:from>
    <xdr:to>
      <xdr:col>7</xdr:col>
      <xdr:colOff>571500</xdr:colOff>
      <xdr:row>153</xdr:row>
      <xdr:rowOff>9525</xdr:rowOff>
    </xdr:to>
    <xdr:graphicFrame macro="">
      <xdr:nvGraphicFramePr>
        <xdr:cNvPr id="65570096" name="Chart 4">
          <a:extLst>
            <a:ext uri="{FF2B5EF4-FFF2-40B4-BE49-F238E27FC236}">
              <a16:creationId xmlns:a16="http://schemas.microsoft.com/office/drawing/2014/main" id="{00000000-0008-0000-3B00-000030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104775</xdr:colOff>
      <xdr:row>156</xdr:row>
      <xdr:rowOff>142875</xdr:rowOff>
    </xdr:from>
    <xdr:to>
      <xdr:col>3</xdr:col>
      <xdr:colOff>152400</xdr:colOff>
      <xdr:row>170</xdr:row>
      <xdr:rowOff>19050</xdr:rowOff>
    </xdr:to>
    <xdr:graphicFrame macro="">
      <xdr:nvGraphicFramePr>
        <xdr:cNvPr id="65570097" name="Chart 5">
          <a:extLst>
            <a:ext uri="{FF2B5EF4-FFF2-40B4-BE49-F238E27FC236}">
              <a16:creationId xmlns:a16="http://schemas.microsoft.com/office/drawing/2014/main" id="{00000000-0008-0000-3B00-000031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361950</xdr:colOff>
      <xdr:row>157</xdr:row>
      <xdr:rowOff>0</xdr:rowOff>
    </xdr:from>
    <xdr:to>
      <xdr:col>7</xdr:col>
      <xdr:colOff>571500</xdr:colOff>
      <xdr:row>170</xdr:row>
      <xdr:rowOff>9525</xdr:rowOff>
    </xdr:to>
    <xdr:graphicFrame macro="">
      <xdr:nvGraphicFramePr>
        <xdr:cNvPr id="65570098" name="Chart 6">
          <a:extLst>
            <a:ext uri="{FF2B5EF4-FFF2-40B4-BE49-F238E27FC236}">
              <a16:creationId xmlns:a16="http://schemas.microsoft.com/office/drawing/2014/main" id="{00000000-0008-0000-3B00-000032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104775</xdr:colOff>
      <xdr:row>212</xdr:row>
      <xdr:rowOff>142875</xdr:rowOff>
    </xdr:from>
    <xdr:to>
      <xdr:col>3</xdr:col>
      <xdr:colOff>152400</xdr:colOff>
      <xdr:row>226</xdr:row>
      <xdr:rowOff>19050</xdr:rowOff>
    </xdr:to>
    <xdr:graphicFrame macro="">
      <xdr:nvGraphicFramePr>
        <xdr:cNvPr id="65570099" name="Chart 7">
          <a:extLst>
            <a:ext uri="{FF2B5EF4-FFF2-40B4-BE49-F238E27FC236}">
              <a16:creationId xmlns:a16="http://schemas.microsoft.com/office/drawing/2014/main" id="{00000000-0008-0000-3B00-000033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213</xdr:row>
      <xdr:rowOff>0</xdr:rowOff>
    </xdr:from>
    <xdr:to>
      <xdr:col>7</xdr:col>
      <xdr:colOff>571500</xdr:colOff>
      <xdr:row>226</xdr:row>
      <xdr:rowOff>9525</xdr:rowOff>
    </xdr:to>
    <xdr:graphicFrame macro="">
      <xdr:nvGraphicFramePr>
        <xdr:cNvPr id="65570100" name="Chart 8">
          <a:extLst>
            <a:ext uri="{FF2B5EF4-FFF2-40B4-BE49-F238E27FC236}">
              <a16:creationId xmlns:a16="http://schemas.microsoft.com/office/drawing/2014/main" id="{00000000-0008-0000-3B00-000034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104775</xdr:colOff>
      <xdr:row>229</xdr:row>
      <xdr:rowOff>142875</xdr:rowOff>
    </xdr:from>
    <xdr:to>
      <xdr:col>3</xdr:col>
      <xdr:colOff>152400</xdr:colOff>
      <xdr:row>243</xdr:row>
      <xdr:rowOff>19050</xdr:rowOff>
    </xdr:to>
    <xdr:graphicFrame macro="">
      <xdr:nvGraphicFramePr>
        <xdr:cNvPr id="65570101" name="Chart 9">
          <a:extLst>
            <a:ext uri="{FF2B5EF4-FFF2-40B4-BE49-F238E27FC236}">
              <a16:creationId xmlns:a16="http://schemas.microsoft.com/office/drawing/2014/main" id="{00000000-0008-0000-3B00-000035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361950</xdr:colOff>
      <xdr:row>230</xdr:row>
      <xdr:rowOff>0</xdr:rowOff>
    </xdr:from>
    <xdr:to>
      <xdr:col>7</xdr:col>
      <xdr:colOff>571500</xdr:colOff>
      <xdr:row>243</xdr:row>
      <xdr:rowOff>9525</xdr:rowOff>
    </xdr:to>
    <xdr:graphicFrame macro="">
      <xdr:nvGraphicFramePr>
        <xdr:cNvPr id="65570102" name="Chart 10">
          <a:extLst>
            <a:ext uri="{FF2B5EF4-FFF2-40B4-BE49-F238E27FC236}">
              <a16:creationId xmlns:a16="http://schemas.microsoft.com/office/drawing/2014/main" id="{00000000-0008-0000-3B00-000036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104775</xdr:colOff>
      <xdr:row>247</xdr:row>
      <xdr:rowOff>142875</xdr:rowOff>
    </xdr:from>
    <xdr:to>
      <xdr:col>3</xdr:col>
      <xdr:colOff>152400</xdr:colOff>
      <xdr:row>261</xdr:row>
      <xdr:rowOff>19050</xdr:rowOff>
    </xdr:to>
    <xdr:graphicFrame macro="">
      <xdr:nvGraphicFramePr>
        <xdr:cNvPr id="65570103" name="Chart 11">
          <a:extLst>
            <a:ext uri="{FF2B5EF4-FFF2-40B4-BE49-F238E27FC236}">
              <a16:creationId xmlns:a16="http://schemas.microsoft.com/office/drawing/2014/main" id="{00000000-0008-0000-3B00-000037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361950</xdr:colOff>
      <xdr:row>248</xdr:row>
      <xdr:rowOff>0</xdr:rowOff>
    </xdr:from>
    <xdr:to>
      <xdr:col>7</xdr:col>
      <xdr:colOff>571500</xdr:colOff>
      <xdr:row>261</xdr:row>
      <xdr:rowOff>9525</xdr:rowOff>
    </xdr:to>
    <xdr:graphicFrame macro="">
      <xdr:nvGraphicFramePr>
        <xdr:cNvPr id="65570104" name="Chart 12">
          <a:extLst>
            <a:ext uri="{FF2B5EF4-FFF2-40B4-BE49-F238E27FC236}">
              <a16:creationId xmlns:a16="http://schemas.microsoft.com/office/drawing/2014/main" id="{00000000-0008-0000-3B00-000038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419100</xdr:colOff>
      <xdr:row>67</xdr:row>
      <xdr:rowOff>0</xdr:rowOff>
    </xdr:from>
    <xdr:to>
      <xdr:col>6</xdr:col>
      <xdr:colOff>628650</xdr:colOff>
      <xdr:row>83</xdr:row>
      <xdr:rowOff>123825</xdr:rowOff>
    </xdr:to>
    <xdr:graphicFrame macro="">
      <xdr:nvGraphicFramePr>
        <xdr:cNvPr id="65570105" name="Chart 1">
          <a:extLst>
            <a:ext uri="{FF2B5EF4-FFF2-40B4-BE49-F238E27FC236}">
              <a16:creationId xmlns:a16="http://schemas.microsoft.com/office/drawing/2014/main" id="{00000000-0008-0000-3B00-000039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419100</xdr:colOff>
      <xdr:row>88</xdr:row>
      <xdr:rowOff>0</xdr:rowOff>
    </xdr:from>
    <xdr:to>
      <xdr:col>6</xdr:col>
      <xdr:colOff>628650</xdr:colOff>
      <xdr:row>104</xdr:row>
      <xdr:rowOff>123825</xdr:rowOff>
    </xdr:to>
    <xdr:graphicFrame macro="">
      <xdr:nvGraphicFramePr>
        <xdr:cNvPr id="65570106" name="Chart 2">
          <a:extLst>
            <a:ext uri="{FF2B5EF4-FFF2-40B4-BE49-F238E27FC236}">
              <a16:creationId xmlns:a16="http://schemas.microsoft.com/office/drawing/2014/main" id="{00000000-0008-0000-3B00-00003A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104775</xdr:colOff>
      <xdr:row>139</xdr:row>
      <xdr:rowOff>142875</xdr:rowOff>
    </xdr:from>
    <xdr:to>
      <xdr:col>3</xdr:col>
      <xdr:colOff>152400</xdr:colOff>
      <xdr:row>153</xdr:row>
      <xdr:rowOff>19050</xdr:rowOff>
    </xdr:to>
    <xdr:graphicFrame macro="">
      <xdr:nvGraphicFramePr>
        <xdr:cNvPr id="65570107" name="Chart 3">
          <a:extLst>
            <a:ext uri="{FF2B5EF4-FFF2-40B4-BE49-F238E27FC236}">
              <a16:creationId xmlns:a16="http://schemas.microsoft.com/office/drawing/2014/main" id="{00000000-0008-0000-3B00-00003B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361950</xdr:colOff>
      <xdr:row>140</xdr:row>
      <xdr:rowOff>0</xdr:rowOff>
    </xdr:from>
    <xdr:to>
      <xdr:col>7</xdr:col>
      <xdr:colOff>571500</xdr:colOff>
      <xdr:row>153</xdr:row>
      <xdr:rowOff>9525</xdr:rowOff>
    </xdr:to>
    <xdr:graphicFrame macro="">
      <xdr:nvGraphicFramePr>
        <xdr:cNvPr id="65570108" name="Chart 4">
          <a:extLst>
            <a:ext uri="{FF2B5EF4-FFF2-40B4-BE49-F238E27FC236}">
              <a16:creationId xmlns:a16="http://schemas.microsoft.com/office/drawing/2014/main" id="{00000000-0008-0000-3B00-00003C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104775</xdr:colOff>
      <xdr:row>156</xdr:row>
      <xdr:rowOff>142875</xdr:rowOff>
    </xdr:from>
    <xdr:to>
      <xdr:col>3</xdr:col>
      <xdr:colOff>152400</xdr:colOff>
      <xdr:row>170</xdr:row>
      <xdr:rowOff>19050</xdr:rowOff>
    </xdr:to>
    <xdr:graphicFrame macro="">
      <xdr:nvGraphicFramePr>
        <xdr:cNvPr id="65570109" name="Chart 5">
          <a:extLst>
            <a:ext uri="{FF2B5EF4-FFF2-40B4-BE49-F238E27FC236}">
              <a16:creationId xmlns:a16="http://schemas.microsoft.com/office/drawing/2014/main" id="{00000000-0008-0000-3B00-00003D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361950</xdr:colOff>
      <xdr:row>157</xdr:row>
      <xdr:rowOff>0</xdr:rowOff>
    </xdr:from>
    <xdr:to>
      <xdr:col>7</xdr:col>
      <xdr:colOff>571500</xdr:colOff>
      <xdr:row>170</xdr:row>
      <xdr:rowOff>9525</xdr:rowOff>
    </xdr:to>
    <xdr:graphicFrame macro="">
      <xdr:nvGraphicFramePr>
        <xdr:cNvPr id="65570110" name="Chart 6">
          <a:extLst>
            <a:ext uri="{FF2B5EF4-FFF2-40B4-BE49-F238E27FC236}">
              <a16:creationId xmlns:a16="http://schemas.microsoft.com/office/drawing/2014/main" id="{00000000-0008-0000-3B00-00003E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104775</xdr:colOff>
      <xdr:row>212</xdr:row>
      <xdr:rowOff>142875</xdr:rowOff>
    </xdr:from>
    <xdr:to>
      <xdr:col>3</xdr:col>
      <xdr:colOff>152400</xdr:colOff>
      <xdr:row>226</xdr:row>
      <xdr:rowOff>19050</xdr:rowOff>
    </xdr:to>
    <xdr:graphicFrame macro="">
      <xdr:nvGraphicFramePr>
        <xdr:cNvPr id="65570111" name="Chart 7">
          <a:extLst>
            <a:ext uri="{FF2B5EF4-FFF2-40B4-BE49-F238E27FC236}">
              <a16:creationId xmlns:a16="http://schemas.microsoft.com/office/drawing/2014/main" id="{00000000-0008-0000-3B00-00003F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361950</xdr:colOff>
      <xdr:row>213</xdr:row>
      <xdr:rowOff>0</xdr:rowOff>
    </xdr:from>
    <xdr:to>
      <xdr:col>7</xdr:col>
      <xdr:colOff>571500</xdr:colOff>
      <xdr:row>226</xdr:row>
      <xdr:rowOff>9525</xdr:rowOff>
    </xdr:to>
    <xdr:graphicFrame macro="">
      <xdr:nvGraphicFramePr>
        <xdr:cNvPr id="65570112" name="Chart 8">
          <a:extLst>
            <a:ext uri="{FF2B5EF4-FFF2-40B4-BE49-F238E27FC236}">
              <a16:creationId xmlns:a16="http://schemas.microsoft.com/office/drawing/2014/main" id="{00000000-0008-0000-3B00-000040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104775</xdr:colOff>
      <xdr:row>229</xdr:row>
      <xdr:rowOff>142875</xdr:rowOff>
    </xdr:from>
    <xdr:to>
      <xdr:col>3</xdr:col>
      <xdr:colOff>152400</xdr:colOff>
      <xdr:row>243</xdr:row>
      <xdr:rowOff>19050</xdr:rowOff>
    </xdr:to>
    <xdr:graphicFrame macro="">
      <xdr:nvGraphicFramePr>
        <xdr:cNvPr id="65570113" name="Chart 9">
          <a:extLst>
            <a:ext uri="{FF2B5EF4-FFF2-40B4-BE49-F238E27FC236}">
              <a16:creationId xmlns:a16="http://schemas.microsoft.com/office/drawing/2014/main" id="{00000000-0008-0000-3B00-000041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230</xdr:row>
      <xdr:rowOff>0</xdr:rowOff>
    </xdr:from>
    <xdr:to>
      <xdr:col>7</xdr:col>
      <xdr:colOff>571500</xdr:colOff>
      <xdr:row>243</xdr:row>
      <xdr:rowOff>9525</xdr:rowOff>
    </xdr:to>
    <xdr:graphicFrame macro="">
      <xdr:nvGraphicFramePr>
        <xdr:cNvPr id="65570114" name="Chart 10">
          <a:extLst>
            <a:ext uri="{FF2B5EF4-FFF2-40B4-BE49-F238E27FC236}">
              <a16:creationId xmlns:a16="http://schemas.microsoft.com/office/drawing/2014/main" id="{00000000-0008-0000-3B00-000042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104775</xdr:colOff>
      <xdr:row>247</xdr:row>
      <xdr:rowOff>142875</xdr:rowOff>
    </xdr:from>
    <xdr:to>
      <xdr:col>3</xdr:col>
      <xdr:colOff>152400</xdr:colOff>
      <xdr:row>261</xdr:row>
      <xdr:rowOff>19050</xdr:rowOff>
    </xdr:to>
    <xdr:graphicFrame macro="">
      <xdr:nvGraphicFramePr>
        <xdr:cNvPr id="65570115" name="Chart 11">
          <a:extLst>
            <a:ext uri="{FF2B5EF4-FFF2-40B4-BE49-F238E27FC236}">
              <a16:creationId xmlns:a16="http://schemas.microsoft.com/office/drawing/2014/main" id="{00000000-0008-0000-3B00-000043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361950</xdr:colOff>
      <xdr:row>248</xdr:row>
      <xdr:rowOff>0</xdr:rowOff>
    </xdr:from>
    <xdr:to>
      <xdr:col>7</xdr:col>
      <xdr:colOff>571500</xdr:colOff>
      <xdr:row>261</xdr:row>
      <xdr:rowOff>9525</xdr:rowOff>
    </xdr:to>
    <xdr:graphicFrame macro="">
      <xdr:nvGraphicFramePr>
        <xdr:cNvPr id="65570116" name="Chart 12">
          <a:extLst>
            <a:ext uri="{FF2B5EF4-FFF2-40B4-BE49-F238E27FC236}">
              <a16:creationId xmlns:a16="http://schemas.microsoft.com/office/drawing/2014/main" id="{00000000-0008-0000-3B00-00004485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48</xdr:row>
      <xdr:rowOff>9525</xdr:rowOff>
    </xdr:from>
    <xdr:to>
      <xdr:col>5</xdr:col>
      <xdr:colOff>781050</xdr:colOff>
      <xdr:row>63</xdr:row>
      <xdr:rowOff>95250</xdr:rowOff>
    </xdr:to>
    <xdr:graphicFrame macro="">
      <xdr:nvGraphicFramePr>
        <xdr:cNvPr id="65584155" name="Chart 1">
          <a:extLst>
            <a:ext uri="{FF2B5EF4-FFF2-40B4-BE49-F238E27FC236}">
              <a16:creationId xmlns:a16="http://schemas.microsoft.com/office/drawing/2014/main" id="{00000000-0008-0000-3C00-00001BBC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4233</xdr:colOff>
      <xdr:row>30</xdr:row>
      <xdr:rowOff>14816</xdr:rowOff>
    </xdr:from>
    <xdr:to>
      <xdr:col>11</xdr:col>
      <xdr:colOff>284480</xdr:colOff>
      <xdr:row>43</xdr:row>
      <xdr:rowOff>78316</xdr:rowOff>
    </xdr:to>
    <xdr:graphicFrame macro="">
      <xdr:nvGraphicFramePr>
        <xdr:cNvPr id="2" name="Gráfico 1">
          <a:extLst>
            <a:ext uri="{FF2B5EF4-FFF2-40B4-BE49-F238E27FC236}">
              <a16:creationId xmlns:a16="http://schemas.microsoft.com/office/drawing/2014/main" id="{00000000-0008-0000-3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38099</xdr:colOff>
      <xdr:row>48</xdr:row>
      <xdr:rowOff>31748</xdr:rowOff>
    </xdr:from>
    <xdr:to>
      <xdr:col>11</xdr:col>
      <xdr:colOff>274320</xdr:colOff>
      <xdr:row>66</xdr:row>
      <xdr:rowOff>38099</xdr:rowOff>
    </xdr:to>
    <xdr:graphicFrame macro="">
      <xdr:nvGraphicFramePr>
        <xdr:cNvPr id="3" name="Gráfico 2">
          <a:extLst>
            <a:ext uri="{FF2B5EF4-FFF2-40B4-BE49-F238E27FC236}">
              <a16:creationId xmlns:a16="http://schemas.microsoft.com/office/drawing/2014/main" id="{00000000-0008-0000-3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70</xdr:row>
      <xdr:rowOff>31748</xdr:rowOff>
    </xdr:from>
    <xdr:to>
      <xdr:col>11</xdr:col>
      <xdr:colOff>345440</xdr:colOff>
      <xdr:row>88</xdr:row>
      <xdr:rowOff>38099</xdr:rowOff>
    </xdr:to>
    <xdr:graphicFrame macro="">
      <xdr:nvGraphicFramePr>
        <xdr:cNvPr id="4" name="Gráfico 3">
          <a:extLst>
            <a:ext uri="{FF2B5EF4-FFF2-40B4-BE49-F238E27FC236}">
              <a16:creationId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38099</xdr:colOff>
      <xdr:row>92</xdr:row>
      <xdr:rowOff>31748</xdr:rowOff>
    </xdr:from>
    <xdr:to>
      <xdr:col>11</xdr:col>
      <xdr:colOff>355600</xdr:colOff>
      <xdr:row>110</xdr:row>
      <xdr:rowOff>38099</xdr:rowOff>
    </xdr:to>
    <xdr:graphicFrame macro="">
      <xdr:nvGraphicFramePr>
        <xdr:cNvPr id="5" name="Gráfico 4">
          <a:extLst>
            <a:ext uri="{FF2B5EF4-FFF2-40B4-BE49-F238E27FC236}">
              <a16:creationId xmlns:a16="http://schemas.microsoft.com/office/drawing/2014/main" id="{00000000-0008-0000-3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3280832</xdr:colOff>
      <xdr:row>113</xdr:row>
      <xdr:rowOff>0</xdr:rowOff>
    </xdr:from>
    <xdr:to>
      <xdr:col>11</xdr:col>
      <xdr:colOff>345440</xdr:colOff>
      <xdr:row>131</xdr:row>
      <xdr:rowOff>6351</xdr:rowOff>
    </xdr:to>
    <xdr:graphicFrame macro="">
      <xdr:nvGraphicFramePr>
        <xdr:cNvPr id="6" name="Gráfico 5">
          <a:extLst>
            <a:ext uri="{FF2B5EF4-FFF2-40B4-BE49-F238E27FC236}">
              <a16:creationId xmlns:a16="http://schemas.microsoft.com/office/drawing/2014/main" id="{00000000-0008-0000-3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3280832</xdr:colOff>
      <xdr:row>133</xdr:row>
      <xdr:rowOff>0</xdr:rowOff>
    </xdr:from>
    <xdr:to>
      <xdr:col>11</xdr:col>
      <xdr:colOff>355600</xdr:colOff>
      <xdr:row>151</xdr:row>
      <xdr:rowOff>6351</xdr:rowOff>
    </xdr:to>
    <xdr:graphicFrame macro="">
      <xdr:nvGraphicFramePr>
        <xdr:cNvPr id="7" name="Gráfico 6">
          <a:extLst>
            <a:ext uri="{FF2B5EF4-FFF2-40B4-BE49-F238E27FC236}">
              <a16:creationId xmlns:a16="http://schemas.microsoft.com/office/drawing/2014/main" id="{00000000-0008-0000-3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3280832</xdr:colOff>
      <xdr:row>153</xdr:row>
      <xdr:rowOff>0</xdr:rowOff>
    </xdr:from>
    <xdr:to>
      <xdr:col>11</xdr:col>
      <xdr:colOff>365760</xdr:colOff>
      <xdr:row>171</xdr:row>
      <xdr:rowOff>6351</xdr:rowOff>
    </xdr:to>
    <xdr:graphicFrame macro="">
      <xdr:nvGraphicFramePr>
        <xdr:cNvPr id="8" name="Gráfico 7">
          <a:extLst>
            <a:ext uri="{FF2B5EF4-FFF2-40B4-BE49-F238E27FC236}">
              <a16:creationId xmlns:a16="http://schemas.microsoft.com/office/drawing/2014/main" id="{00000000-0008-0000-3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714375</xdr:colOff>
      <xdr:row>90</xdr:row>
      <xdr:rowOff>95250</xdr:rowOff>
    </xdr:from>
    <xdr:to>
      <xdr:col>1</xdr:col>
      <xdr:colOff>9525</xdr:colOff>
      <xdr:row>91</xdr:row>
      <xdr:rowOff>95250</xdr:rowOff>
    </xdr:to>
    <xdr:sp macro="" textlink="">
      <xdr:nvSpPr>
        <xdr:cNvPr id="59394" name="Rectangle 2">
          <a:extLst>
            <a:ext uri="{FF2B5EF4-FFF2-40B4-BE49-F238E27FC236}">
              <a16:creationId xmlns:a16="http://schemas.microsoft.com/office/drawing/2014/main" id="{00000000-0008-0000-4000-000002E80000}"/>
            </a:ext>
          </a:extLst>
        </xdr:cNvPr>
        <xdr:cNvSpPr>
          <a:spLocks noChangeArrowheads="1"/>
        </xdr:cNvSpPr>
      </xdr:nvSpPr>
      <xdr:spPr bwMode="auto">
        <a:xfrm>
          <a:off x="714375" y="17011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twoCellAnchor>
    <xdr:from>
      <xdr:col>0</xdr:col>
      <xdr:colOff>590550</xdr:colOff>
      <xdr:row>88</xdr:row>
      <xdr:rowOff>28575</xdr:rowOff>
    </xdr:from>
    <xdr:to>
      <xdr:col>8</xdr:col>
      <xdr:colOff>114300</xdr:colOff>
      <xdr:row>106</xdr:row>
      <xdr:rowOff>38100</xdr:rowOff>
    </xdr:to>
    <xdr:graphicFrame macro="">
      <xdr:nvGraphicFramePr>
        <xdr:cNvPr id="65588277" name="Chart 1">
          <a:extLst>
            <a:ext uri="{FF2B5EF4-FFF2-40B4-BE49-F238E27FC236}">
              <a16:creationId xmlns:a16="http://schemas.microsoft.com/office/drawing/2014/main" id="{00000000-0008-0000-4000-000035CC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723900</xdr:colOff>
      <xdr:row>89</xdr:row>
      <xdr:rowOff>47625</xdr:rowOff>
    </xdr:from>
    <xdr:to>
      <xdr:col>1</xdr:col>
      <xdr:colOff>19050</xdr:colOff>
      <xdr:row>90</xdr:row>
      <xdr:rowOff>47625</xdr:rowOff>
    </xdr:to>
    <xdr:sp macro="" textlink="">
      <xdr:nvSpPr>
        <xdr:cNvPr id="2" name="Rectangle 2">
          <a:extLst>
            <a:ext uri="{FF2B5EF4-FFF2-40B4-BE49-F238E27FC236}">
              <a16:creationId xmlns:a16="http://schemas.microsoft.com/office/drawing/2014/main" id="{00000000-0008-0000-4000-000002000000}"/>
            </a:ext>
          </a:extLst>
        </xdr:cNvPr>
        <xdr:cNvSpPr>
          <a:spLocks noChangeArrowheads="1"/>
        </xdr:cNvSpPr>
      </xdr:nvSpPr>
      <xdr:spPr bwMode="auto">
        <a:xfrm>
          <a:off x="723900" y="18154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568325</xdr:colOff>
      <xdr:row>56</xdr:row>
      <xdr:rowOff>76200</xdr:rowOff>
    </xdr:from>
    <xdr:to>
      <xdr:col>11</xdr:col>
      <xdr:colOff>434975</xdr:colOff>
      <xdr:row>81</xdr:row>
      <xdr:rowOff>12699</xdr:rowOff>
    </xdr:to>
    <xdr:graphicFrame macro="">
      <xdr:nvGraphicFramePr>
        <xdr:cNvPr id="65590299" name="Chart 1">
          <a:extLst>
            <a:ext uri="{FF2B5EF4-FFF2-40B4-BE49-F238E27FC236}">
              <a16:creationId xmlns:a16="http://schemas.microsoft.com/office/drawing/2014/main" id="{00000000-0008-0000-4100-00001BD4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406400</xdr:colOff>
      <xdr:row>85</xdr:row>
      <xdr:rowOff>139700</xdr:rowOff>
    </xdr:from>
    <xdr:to>
      <xdr:col>12</xdr:col>
      <xdr:colOff>38100</xdr:colOff>
      <xdr:row>110</xdr:row>
      <xdr:rowOff>76199</xdr:rowOff>
    </xdr:to>
    <xdr:graphicFrame macro="">
      <xdr:nvGraphicFramePr>
        <xdr:cNvPr id="3" name="Chart 1">
          <a:extLst>
            <a:ext uri="{FF2B5EF4-FFF2-40B4-BE49-F238E27FC236}">
              <a16:creationId xmlns:a16="http://schemas.microsoft.com/office/drawing/2014/main" id="{00000000-0008-0000-4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15</xdr:row>
      <xdr:rowOff>9525</xdr:rowOff>
    </xdr:from>
    <xdr:to>
      <xdr:col>9</xdr:col>
      <xdr:colOff>0</xdr:colOff>
      <xdr:row>39</xdr:row>
      <xdr:rowOff>152400</xdr:rowOff>
    </xdr:to>
    <xdr:graphicFrame macro="">
      <xdr:nvGraphicFramePr>
        <xdr:cNvPr id="65593370" name="Chart 1">
          <a:extLst>
            <a:ext uri="{FF2B5EF4-FFF2-40B4-BE49-F238E27FC236}">
              <a16:creationId xmlns:a16="http://schemas.microsoft.com/office/drawing/2014/main" id="{00000000-0008-0000-4200-00001AE0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9525</xdr:rowOff>
    </xdr:from>
    <xdr:to>
      <xdr:col>12</xdr:col>
      <xdr:colOff>723900</xdr:colOff>
      <xdr:row>41</xdr:row>
      <xdr:rowOff>12700</xdr:rowOff>
    </xdr:to>
    <xdr:graphicFrame macro="">
      <xdr:nvGraphicFramePr>
        <xdr:cNvPr id="65593371" name="Chart 1">
          <a:extLst>
            <a:ext uri="{FF2B5EF4-FFF2-40B4-BE49-F238E27FC236}">
              <a16:creationId xmlns:a16="http://schemas.microsoft.com/office/drawing/2014/main" id="{00000000-0008-0000-4200-00001BE0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48.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49.xml><?xml version="1.0" encoding="utf-8"?>
<xdr:wsDr xmlns:xdr="http://schemas.openxmlformats.org/drawingml/2006/spreadsheetDrawing" xmlns:a="http://schemas.openxmlformats.org/drawingml/2006/main">
  <xdr:twoCellAnchor>
    <xdr:from>
      <xdr:col>0</xdr:col>
      <xdr:colOff>28575</xdr:colOff>
      <xdr:row>19</xdr:row>
      <xdr:rowOff>19050</xdr:rowOff>
    </xdr:from>
    <xdr:to>
      <xdr:col>7</xdr:col>
      <xdr:colOff>409575</xdr:colOff>
      <xdr:row>33</xdr:row>
      <xdr:rowOff>152400</xdr:rowOff>
    </xdr:to>
    <xdr:graphicFrame macro="">
      <xdr:nvGraphicFramePr>
        <xdr:cNvPr id="65597491" name="Chart 1">
          <a:extLst>
            <a:ext uri="{FF2B5EF4-FFF2-40B4-BE49-F238E27FC236}">
              <a16:creationId xmlns:a16="http://schemas.microsoft.com/office/drawing/2014/main" id="{00000000-0008-0000-4300-000033F0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37</xdr:row>
      <xdr:rowOff>19050</xdr:rowOff>
    </xdr:from>
    <xdr:to>
      <xdr:col>7</xdr:col>
      <xdr:colOff>390525</xdr:colOff>
      <xdr:row>58</xdr:row>
      <xdr:rowOff>38100</xdr:rowOff>
    </xdr:to>
    <xdr:graphicFrame macro="">
      <xdr:nvGraphicFramePr>
        <xdr:cNvPr id="65597492" name="Chart 2">
          <a:extLst>
            <a:ext uri="{FF2B5EF4-FFF2-40B4-BE49-F238E27FC236}">
              <a16:creationId xmlns:a16="http://schemas.microsoft.com/office/drawing/2014/main" id="{00000000-0008-0000-4300-000034F0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19</xdr:row>
      <xdr:rowOff>19050</xdr:rowOff>
    </xdr:from>
    <xdr:to>
      <xdr:col>7</xdr:col>
      <xdr:colOff>409575</xdr:colOff>
      <xdr:row>33</xdr:row>
      <xdr:rowOff>152400</xdr:rowOff>
    </xdr:to>
    <xdr:graphicFrame macro="">
      <xdr:nvGraphicFramePr>
        <xdr:cNvPr id="65597493" name="Chart 1">
          <a:extLst>
            <a:ext uri="{FF2B5EF4-FFF2-40B4-BE49-F238E27FC236}">
              <a16:creationId xmlns:a16="http://schemas.microsoft.com/office/drawing/2014/main" id="{00000000-0008-0000-4300-000035F0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37</xdr:row>
      <xdr:rowOff>19050</xdr:rowOff>
    </xdr:from>
    <xdr:to>
      <xdr:col>8</xdr:col>
      <xdr:colOff>57150</xdr:colOff>
      <xdr:row>59</xdr:row>
      <xdr:rowOff>57150</xdr:rowOff>
    </xdr:to>
    <xdr:graphicFrame macro="">
      <xdr:nvGraphicFramePr>
        <xdr:cNvPr id="65597494" name="Chart 2">
          <a:extLst>
            <a:ext uri="{FF2B5EF4-FFF2-40B4-BE49-F238E27FC236}">
              <a16:creationId xmlns:a16="http://schemas.microsoft.com/office/drawing/2014/main" id="{00000000-0008-0000-4300-000036F0E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28575</xdr:colOff>
      <xdr:row>8</xdr:row>
      <xdr:rowOff>95250</xdr:rowOff>
    </xdr:from>
    <xdr:to>
      <xdr:col>4</xdr:col>
      <xdr:colOff>200025</xdr:colOff>
      <xdr:row>8</xdr:row>
      <xdr:rowOff>95250</xdr:rowOff>
    </xdr:to>
    <xdr:sp macro="" textlink="">
      <xdr:nvSpPr>
        <xdr:cNvPr id="66178980" name="Line 2">
          <a:extLst>
            <a:ext uri="{FF2B5EF4-FFF2-40B4-BE49-F238E27FC236}">
              <a16:creationId xmlns:a16="http://schemas.microsoft.com/office/drawing/2014/main" id="{00000000-0008-0000-0500-0000A4CFF103}"/>
            </a:ext>
          </a:extLst>
        </xdr:cNvPr>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8981" name="Line 15">
          <a:extLst>
            <a:ext uri="{FF2B5EF4-FFF2-40B4-BE49-F238E27FC236}">
              <a16:creationId xmlns:a16="http://schemas.microsoft.com/office/drawing/2014/main" id="{00000000-0008-0000-0500-0000A5CFF103}"/>
            </a:ext>
          </a:extLst>
        </xdr:cNvPr>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8982" name="Line 17">
          <a:extLst>
            <a:ext uri="{FF2B5EF4-FFF2-40B4-BE49-F238E27FC236}">
              <a16:creationId xmlns:a16="http://schemas.microsoft.com/office/drawing/2014/main" id="{00000000-0008-0000-0500-0000A6CFF103}"/>
            </a:ext>
          </a:extLst>
        </xdr:cNvPr>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8983" name="Line 19">
          <a:extLst>
            <a:ext uri="{FF2B5EF4-FFF2-40B4-BE49-F238E27FC236}">
              <a16:creationId xmlns:a16="http://schemas.microsoft.com/office/drawing/2014/main" id="{00000000-0008-0000-0500-0000A7CFF103}"/>
            </a:ext>
          </a:extLst>
        </xdr:cNvPr>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8984" name="Line 24">
          <a:extLst>
            <a:ext uri="{FF2B5EF4-FFF2-40B4-BE49-F238E27FC236}">
              <a16:creationId xmlns:a16="http://schemas.microsoft.com/office/drawing/2014/main" id="{00000000-0008-0000-0500-0000A8CFF103}"/>
            </a:ext>
          </a:extLst>
        </xdr:cNvPr>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12</xdr:col>
      <xdr:colOff>9525</xdr:colOff>
      <xdr:row>17</xdr:row>
      <xdr:rowOff>85725</xdr:rowOff>
    </xdr:from>
    <xdr:to>
      <xdr:col>12</xdr:col>
      <xdr:colOff>409575</xdr:colOff>
      <xdr:row>17</xdr:row>
      <xdr:rowOff>85725</xdr:rowOff>
    </xdr:to>
    <xdr:sp macro="" textlink="">
      <xdr:nvSpPr>
        <xdr:cNvPr id="66178985" name="Line 26">
          <a:extLst>
            <a:ext uri="{FF2B5EF4-FFF2-40B4-BE49-F238E27FC236}">
              <a16:creationId xmlns:a16="http://schemas.microsoft.com/office/drawing/2014/main" id="{00000000-0008-0000-0500-0000A9CFF103}"/>
            </a:ext>
          </a:extLst>
        </xdr:cNvPr>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8986" name="Line 27">
          <a:extLst>
            <a:ext uri="{FF2B5EF4-FFF2-40B4-BE49-F238E27FC236}">
              <a16:creationId xmlns:a16="http://schemas.microsoft.com/office/drawing/2014/main" id="{00000000-0008-0000-0500-0000AACFF103}"/>
            </a:ext>
          </a:extLst>
        </xdr:cNvPr>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10</xdr:col>
      <xdr:colOff>9525</xdr:colOff>
      <xdr:row>9</xdr:row>
      <xdr:rowOff>85725</xdr:rowOff>
    </xdr:from>
    <xdr:to>
      <xdr:col>14</xdr:col>
      <xdr:colOff>0</xdr:colOff>
      <xdr:row>9</xdr:row>
      <xdr:rowOff>85725</xdr:rowOff>
    </xdr:to>
    <xdr:sp macro="" textlink="">
      <xdr:nvSpPr>
        <xdr:cNvPr id="66178987" name="Line 28">
          <a:extLst>
            <a:ext uri="{FF2B5EF4-FFF2-40B4-BE49-F238E27FC236}">
              <a16:creationId xmlns:a16="http://schemas.microsoft.com/office/drawing/2014/main" id="{00000000-0008-0000-0500-0000ABCFF103}"/>
            </a:ext>
          </a:extLst>
        </xdr:cNvPr>
        <xdr:cNvSpPr>
          <a:spLocks noChangeShapeType="1"/>
        </xdr:cNvSpPr>
      </xdr:nvSpPr>
      <xdr:spPr bwMode="auto">
        <a:xfrm>
          <a:off x="4505325" y="1695450"/>
          <a:ext cx="2038350"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228600</xdr:colOff>
      <xdr:row>9</xdr:row>
      <xdr:rowOff>85725</xdr:rowOff>
    </xdr:to>
    <xdr:sp macro="" textlink="">
      <xdr:nvSpPr>
        <xdr:cNvPr id="66178988" name="Line 29">
          <a:extLst>
            <a:ext uri="{FF2B5EF4-FFF2-40B4-BE49-F238E27FC236}">
              <a16:creationId xmlns:a16="http://schemas.microsoft.com/office/drawing/2014/main" id="{00000000-0008-0000-0500-0000ACCFF103}"/>
            </a:ext>
          </a:extLst>
        </xdr:cNvPr>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8989" name="Line 31">
          <a:extLst>
            <a:ext uri="{FF2B5EF4-FFF2-40B4-BE49-F238E27FC236}">
              <a16:creationId xmlns:a16="http://schemas.microsoft.com/office/drawing/2014/main" id="{00000000-0008-0000-0500-0000ADCFF103}"/>
            </a:ext>
          </a:extLst>
        </xdr:cNvPr>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10</xdr:col>
      <xdr:colOff>9525</xdr:colOff>
      <xdr:row>23</xdr:row>
      <xdr:rowOff>85725</xdr:rowOff>
    </xdr:from>
    <xdr:to>
      <xdr:col>10</xdr:col>
      <xdr:colOff>428625</xdr:colOff>
      <xdr:row>23</xdr:row>
      <xdr:rowOff>85725</xdr:rowOff>
    </xdr:to>
    <xdr:sp macro="" textlink="">
      <xdr:nvSpPr>
        <xdr:cNvPr id="66178990" name="Line 32">
          <a:extLst>
            <a:ext uri="{FF2B5EF4-FFF2-40B4-BE49-F238E27FC236}">
              <a16:creationId xmlns:a16="http://schemas.microsoft.com/office/drawing/2014/main" id="{00000000-0008-0000-0500-0000AECFF103}"/>
            </a:ext>
          </a:extLst>
        </xdr:cNvPr>
        <xdr:cNvSpPr>
          <a:spLocks noChangeShapeType="1"/>
        </xdr:cNvSpPr>
      </xdr:nvSpPr>
      <xdr:spPr bwMode="auto">
        <a:xfrm>
          <a:off x="4505325" y="3962400"/>
          <a:ext cx="419100" cy="0"/>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8991" name="Line 33">
          <a:extLst>
            <a:ext uri="{FF2B5EF4-FFF2-40B4-BE49-F238E27FC236}">
              <a16:creationId xmlns:a16="http://schemas.microsoft.com/office/drawing/2014/main" id="{00000000-0008-0000-0500-0000AFCFF103}"/>
            </a:ext>
          </a:extLst>
        </xdr:cNvPr>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8992" name="Line 35">
          <a:extLst>
            <a:ext uri="{FF2B5EF4-FFF2-40B4-BE49-F238E27FC236}">
              <a16:creationId xmlns:a16="http://schemas.microsoft.com/office/drawing/2014/main" id="{00000000-0008-0000-0500-0000B0CFF103}"/>
            </a:ext>
          </a:extLst>
        </xdr:cNvPr>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8993" name="Line 37">
          <a:extLst>
            <a:ext uri="{FF2B5EF4-FFF2-40B4-BE49-F238E27FC236}">
              <a16:creationId xmlns:a16="http://schemas.microsoft.com/office/drawing/2014/main" id="{00000000-0008-0000-0500-0000B1CFF103}"/>
            </a:ext>
          </a:extLst>
        </xdr:cNvPr>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8994" name="Line 39">
          <a:extLst>
            <a:ext uri="{FF2B5EF4-FFF2-40B4-BE49-F238E27FC236}">
              <a16:creationId xmlns:a16="http://schemas.microsoft.com/office/drawing/2014/main" id="{00000000-0008-0000-0500-0000B2CFF103}"/>
            </a:ext>
          </a:extLst>
        </xdr:cNvPr>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8995" name="Line 40">
          <a:extLst>
            <a:ext uri="{FF2B5EF4-FFF2-40B4-BE49-F238E27FC236}">
              <a16:creationId xmlns:a16="http://schemas.microsoft.com/office/drawing/2014/main" id="{00000000-0008-0000-0500-0000B3CFF103}"/>
            </a:ext>
          </a:extLst>
        </xdr:cNvPr>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178996" name="Line 41">
          <a:extLst>
            <a:ext uri="{FF2B5EF4-FFF2-40B4-BE49-F238E27FC236}">
              <a16:creationId xmlns:a16="http://schemas.microsoft.com/office/drawing/2014/main" id="{00000000-0008-0000-0500-0000B4CFF103}"/>
            </a:ext>
          </a:extLst>
        </xdr:cNvPr>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178997" name="Line 42">
          <a:extLst>
            <a:ext uri="{FF2B5EF4-FFF2-40B4-BE49-F238E27FC236}">
              <a16:creationId xmlns:a16="http://schemas.microsoft.com/office/drawing/2014/main" id="{00000000-0008-0000-0500-0000B5CFF103}"/>
            </a:ext>
          </a:extLst>
        </xdr:cNvPr>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178998" name="Line 43">
          <a:extLst>
            <a:ext uri="{FF2B5EF4-FFF2-40B4-BE49-F238E27FC236}">
              <a16:creationId xmlns:a16="http://schemas.microsoft.com/office/drawing/2014/main" id="{00000000-0008-0000-0500-0000B6CFF103}"/>
            </a:ext>
          </a:extLst>
        </xdr:cNvPr>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2</xdr:col>
      <xdr:colOff>19050</xdr:colOff>
      <xdr:row>37</xdr:row>
      <xdr:rowOff>76200</xdr:rowOff>
    </xdr:from>
    <xdr:to>
      <xdr:col>4</xdr:col>
      <xdr:colOff>190500</xdr:colOff>
      <xdr:row>37</xdr:row>
      <xdr:rowOff>85725</xdr:rowOff>
    </xdr:to>
    <xdr:sp macro="" textlink="">
      <xdr:nvSpPr>
        <xdr:cNvPr id="66178999" name="Line 44">
          <a:extLst>
            <a:ext uri="{FF2B5EF4-FFF2-40B4-BE49-F238E27FC236}">
              <a16:creationId xmlns:a16="http://schemas.microsoft.com/office/drawing/2014/main" id="{00000000-0008-0000-0500-0000B7CFF103}"/>
            </a:ext>
          </a:extLst>
        </xdr:cNvPr>
        <xdr:cNvSpPr>
          <a:spLocks noChangeShapeType="1"/>
        </xdr:cNvSpPr>
      </xdr:nvSpPr>
      <xdr:spPr bwMode="auto">
        <a:xfrm>
          <a:off x="1266825" y="6219825"/>
          <a:ext cx="1381125" cy="9525"/>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179000" name="Line 45">
          <a:extLst>
            <a:ext uri="{FF2B5EF4-FFF2-40B4-BE49-F238E27FC236}">
              <a16:creationId xmlns:a16="http://schemas.microsoft.com/office/drawing/2014/main" id="{00000000-0008-0000-0500-0000B8CFF103}"/>
            </a:ext>
          </a:extLst>
        </xdr:cNvPr>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179001" name="Line 46">
          <a:extLst>
            <a:ext uri="{FF2B5EF4-FFF2-40B4-BE49-F238E27FC236}">
              <a16:creationId xmlns:a16="http://schemas.microsoft.com/office/drawing/2014/main" id="{00000000-0008-0000-0500-0000B9CFF103}"/>
            </a:ext>
          </a:extLst>
        </xdr:cNvPr>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179002" name="Line 51">
          <a:extLst>
            <a:ext uri="{FF2B5EF4-FFF2-40B4-BE49-F238E27FC236}">
              <a16:creationId xmlns:a16="http://schemas.microsoft.com/office/drawing/2014/main" id="{00000000-0008-0000-0500-0000BACFF103}"/>
            </a:ext>
          </a:extLst>
        </xdr:cNvPr>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179003" name="Line 52">
          <a:extLst>
            <a:ext uri="{FF2B5EF4-FFF2-40B4-BE49-F238E27FC236}">
              <a16:creationId xmlns:a16="http://schemas.microsoft.com/office/drawing/2014/main" id="{00000000-0008-0000-0500-0000BBCFF103}"/>
            </a:ext>
          </a:extLst>
        </xdr:cNvPr>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179004" name="Line 53">
          <a:extLst>
            <a:ext uri="{FF2B5EF4-FFF2-40B4-BE49-F238E27FC236}">
              <a16:creationId xmlns:a16="http://schemas.microsoft.com/office/drawing/2014/main" id="{00000000-0008-0000-0500-0000BCCFF103}"/>
            </a:ext>
          </a:extLst>
        </xdr:cNvPr>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228600</xdr:colOff>
      <xdr:row>23</xdr:row>
      <xdr:rowOff>85725</xdr:rowOff>
    </xdr:to>
    <xdr:sp macro="" textlink="">
      <xdr:nvSpPr>
        <xdr:cNvPr id="66179005" name="Line 56">
          <a:extLst>
            <a:ext uri="{FF2B5EF4-FFF2-40B4-BE49-F238E27FC236}">
              <a16:creationId xmlns:a16="http://schemas.microsoft.com/office/drawing/2014/main" id="{00000000-0008-0000-0500-0000BDCFF103}"/>
            </a:ext>
          </a:extLst>
        </xdr:cNvPr>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17</xdr:col>
      <xdr:colOff>9525</xdr:colOff>
      <xdr:row>9</xdr:row>
      <xdr:rowOff>85725</xdr:rowOff>
    </xdr:from>
    <xdr:to>
      <xdr:col>17</xdr:col>
      <xdr:colOff>171450</xdr:colOff>
      <xdr:row>9</xdr:row>
      <xdr:rowOff>85725</xdr:rowOff>
    </xdr:to>
    <xdr:sp macro="" textlink="">
      <xdr:nvSpPr>
        <xdr:cNvPr id="66179006" name="Line 57">
          <a:extLst>
            <a:ext uri="{FF2B5EF4-FFF2-40B4-BE49-F238E27FC236}">
              <a16:creationId xmlns:a16="http://schemas.microsoft.com/office/drawing/2014/main" id="{00000000-0008-0000-0500-0000BECFF103}"/>
            </a:ext>
          </a:extLst>
        </xdr:cNvPr>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17</xdr:col>
      <xdr:colOff>9525</xdr:colOff>
      <xdr:row>23</xdr:row>
      <xdr:rowOff>85725</xdr:rowOff>
    </xdr:from>
    <xdr:to>
      <xdr:col>17</xdr:col>
      <xdr:colOff>171450</xdr:colOff>
      <xdr:row>23</xdr:row>
      <xdr:rowOff>85725</xdr:rowOff>
    </xdr:to>
    <xdr:sp macro="" textlink="">
      <xdr:nvSpPr>
        <xdr:cNvPr id="66179007" name="Line 58">
          <a:extLst>
            <a:ext uri="{FF2B5EF4-FFF2-40B4-BE49-F238E27FC236}">
              <a16:creationId xmlns:a16="http://schemas.microsoft.com/office/drawing/2014/main" id="{00000000-0008-0000-0500-0000BFCFF103}"/>
            </a:ext>
          </a:extLst>
        </xdr:cNvPr>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17</xdr:col>
      <xdr:colOff>171450</xdr:colOff>
      <xdr:row>9</xdr:row>
      <xdr:rowOff>85725</xdr:rowOff>
    </xdr:from>
    <xdr:to>
      <xdr:col>17</xdr:col>
      <xdr:colOff>171450</xdr:colOff>
      <xdr:row>23</xdr:row>
      <xdr:rowOff>85725</xdr:rowOff>
    </xdr:to>
    <xdr:sp macro="" textlink="">
      <xdr:nvSpPr>
        <xdr:cNvPr id="66179008" name="Line 59">
          <a:extLst>
            <a:ext uri="{FF2B5EF4-FFF2-40B4-BE49-F238E27FC236}">
              <a16:creationId xmlns:a16="http://schemas.microsoft.com/office/drawing/2014/main" id="{00000000-0008-0000-0500-0000C0CFF103}"/>
            </a:ext>
          </a:extLst>
        </xdr:cNvPr>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18</xdr:col>
      <xdr:colOff>400050</xdr:colOff>
      <xdr:row>12</xdr:row>
      <xdr:rowOff>47625</xdr:rowOff>
    </xdr:from>
    <xdr:to>
      <xdr:col>18</xdr:col>
      <xdr:colOff>400050</xdr:colOff>
      <xdr:row>13</xdr:row>
      <xdr:rowOff>152400</xdr:rowOff>
    </xdr:to>
    <xdr:sp macro="" textlink="">
      <xdr:nvSpPr>
        <xdr:cNvPr id="66179009" name="Line 61">
          <a:extLst>
            <a:ext uri="{FF2B5EF4-FFF2-40B4-BE49-F238E27FC236}">
              <a16:creationId xmlns:a16="http://schemas.microsoft.com/office/drawing/2014/main" id="{00000000-0008-0000-0500-0000C1CFF103}"/>
            </a:ext>
          </a:extLst>
        </xdr:cNvPr>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14</xdr:col>
      <xdr:colOff>9525</xdr:colOff>
      <xdr:row>26</xdr:row>
      <xdr:rowOff>76200</xdr:rowOff>
    </xdr:from>
    <xdr:to>
      <xdr:col>17</xdr:col>
      <xdr:colOff>161925</xdr:colOff>
      <xdr:row>26</xdr:row>
      <xdr:rowOff>76200</xdr:rowOff>
    </xdr:to>
    <xdr:sp macro="" textlink="">
      <xdr:nvSpPr>
        <xdr:cNvPr id="66179010" name="Line 63">
          <a:extLst>
            <a:ext uri="{FF2B5EF4-FFF2-40B4-BE49-F238E27FC236}">
              <a16:creationId xmlns:a16="http://schemas.microsoft.com/office/drawing/2014/main" id="{00000000-0008-0000-0500-0000C2CFF103}"/>
            </a:ext>
          </a:extLst>
        </xdr:cNvPr>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238125</xdr:colOff>
      <xdr:row>11</xdr:row>
      <xdr:rowOff>85725</xdr:rowOff>
    </xdr:to>
    <xdr:sp macro="" textlink="">
      <xdr:nvSpPr>
        <xdr:cNvPr id="66179011" name="Line 67">
          <a:extLst>
            <a:ext uri="{FF2B5EF4-FFF2-40B4-BE49-F238E27FC236}">
              <a16:creationId xmlns:a16="http://schemas.microsoft.com/office/drawing/2014/main" id="{00000000-0008-0000-0500-0000C3CFF103}"/>
            </a:ext>
          </a:extLst>
        </xdr:cNvPr>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21</xdr:col>
      <xdr:colOff>0</xdr:colOff>
      <xdr:row>11</xdr:row>
      <xdr:rowOff>85725</xdr:rowOff>
    </xdr:from>
    <xdr:to>
      <xdr:col>21</xdr:col>
      <xdr:colOff>247650</xdr:colOff>
      <xdr:row>11</xdr:row>
      <xdr:rowOff>85725</xdr:rowOff>
    </xdr:to>
    <xdr:sp macro="" textlink="">
      <xdr:nvSpPr>
        <xdr:cNvPr id="66179012" name="Line 68">
          <a:extLst>
            <a:ext uri="{FF2B5EF4-FFF2-40B4-BE49-F238E27FC236}">
              <a16:creationId xmlns:a16="http://schemas.microsoft.com/office/drawing/2014/main" id="{00000000-0008-0000-0500-0000C4CFF103}"/>
            </a:ext>
          </a:extLst>
        </xdr:cNvPr>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238125</xdr:colOff>
      <xdr:row>17</xdr:row>
      <xdr:rowOff>85725</xdr:rowOff>
    </xdr:to>
    <xdr:sp macro="" textlink="">
      <xdr:nvSpPr>
        <xdr:cNvPr id="66179013" name="Line 69">
          <a:extLst>
            <a:ext uri="{FF2B5EF4-FFF2-40B4-BE49-F238E27FC236}">
              <a16:creationId xmlns:a16="http://schemas.microsoft.com/office/drawing/2014/main" id="{00000000-0008-0000-0500-0000C5CFF103}"/>
            </a:ext>
          </a:extLst>
        </xdr:cNvPr>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21</xdr:col>
      <xdr:colOff>0</xdr:colOff>
      <xdr:row>17</xdr:row>
      <xdr:rowOff>85725</xdr:rowOff>
    </xdr:from>
    <xdr:to>
      <xdr:col>21</xdr:col>
      <xdr:colOff>247650</xdr:colOff>
      <xdr:row>17</xdr:row>
      <xdr:rowOff>85725</xdr:rowOff>
    </xdr:to>
    <xdr:sp macro="" textlink="">
      <xdr:nvSpPr>
        <xdr:cNvPr id="66179014" name="Line 70">
          <a:extLst>
            <a:ext uri="{FF2B5EF4-FFF2-40B4-BE49-F238E27FC236}">
              <a16:creationId xmlns:a16="http://schemas.microsoft.com/office/drawing/2014/main" id="{00000000-0008-0000-0500-0000C6CFF103}"/>
            </a:ext>
          </a:extLst>
        </xdr:cNvPr>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238125</xdr:colOff>
      <xdr:row>34</xdr:row>
      <xdr:rowOff>85725</xdr:rowOff>
    </xdr:to>
    <xdr:sp macro="" textlink="">
      <xdr:nvSpPr>
        <xdr:cNvPr id="66179015" name="Line 71">
          <a:extLst>
            <a:ext uri="{FF2B5EF4-FFF2-40B4-BE49-F238E27FC236}">
              <a16:creationId xmlns:a16="http://schemas.microsoft.com/office/drawing/2014/main" id="{00000000-0008-0000-0500-0000C7CFF103}"/>
            </a:ext>
          </a:extLst>
        </xdr:cNvPr>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21</xdr:col>
      <xdr:colOff>0</xdr:colOff>
      <xdr:row>34</xdr:row>
      <xdr:rowOff>85725</xdr:rowOff>
    </xdr:from>
    <xdr:to>
      <xdr:col>21</xdr:col>
      <xdr:colOff>247650</xdr:colOff>
      <xdr:row>34</xdr:row>
      <xdr:rowOff>85725</xdr:rowOff>
    </xdr:to>
    <xdr:sp macro="" textlink="">
      <xdr:nvSpPr>
        <xdr:cNvPr id="66179016" name="Line 72">
          <a:extLst>
            <a:ext uri="{FF2B5EF4-FFF2-40B4-BE49-F238E27FC236}">
              <a16:creationId xmlns:a16="http://schemas.microsoft.com/office/drawing/2014/main" id="{00000000-0008-0000-0500-0000C8CFF103}"/>
            </a:ext>
          </a:extLst>
        </xdr:cNvPr>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21</xdr:col>
      <xdr:colOff>0</xdr:colOff>
      <xdr:row>23</xdr:row>
      <xdr:rowOff>85725</xdr:rowOff>
    </xdr:from>
    <xdr:to>
      <xdr:col>21</xdr:col>
      <xdr:colOff>247650</xdr:colOff>
      <xdr:row>23</xdr:row>
      <xdr:rowOff>85725</xdr:rowOff>
    </xdr:to>
    <xdr:sp macro="" textlink="">
      <xdr:nvSpPr>
        <xdr:cNvPr id="66179017" name="Line 73">
          <a:extLst>
            <a:ext uri="{FF2B5EF4-FFF2-40B4-BE49-F238E27FC236}">
              <a16:creationId xmlns:a16="http://schemas.microsoft.com/office/drawing/2014/main" id="{00000000-0008-0000-0500-0000C9CFF103}"/>
            </a:ext>
          </a:extLst>
        </xdr:cNvPr>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17</xdr:col>
      <xdr:colOff>285750</xdr:colOff>
      <xdr:row>23</xdr:row>
      <xdr:rowOff>76200</xdr:rowOff>
    </xdr:from>
    <xdr:to>
      <xdr:col>20</xdr:col>
      <xdr:colOff>0</xdr:colOff>
      <xdr:row>23</xdr:row>
      <xdr:rowOff>76200</xdr:rowOff>
    </xdr:to>
    <xdr:sp macro="" textlink="">
      <xdr:nvSpPr>
        <xdr:cNvPr id="66179018" name="Line 74">
          <a:extLst>
            <a:ext uri="{FF2B5EF4-FFF2-40B4-BE49-F238E27FC236}">
              <a16:creationId xmlns:a16="http://schemas.microsoft.com/office/drawing/2014/main" id="{00000000-0008-0000-0500-0000CACFF103}"/>
            </a:ext>
          </a:extLst>
        </xdr:cNvPr>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22</xdr:col>
      <xdr:colOff>0</xdr:colOff>
      <xdr:row>17</xdr:row>
      <xdr:rowOff>85725</xdr:rowOff>
    </xdr:from>
    <xdr:to>
      <xdr:col>22</xdr:col>
      <xdr:colOff>190500</xdr:colOff>
      <xdr:row>17</xdr:row>
      <xdr:rowOff>85725</xdr:rowOff>
    </xdr:to>
    <xdr:sp macro="" textlink="">
      <xdr:nvSpPr>
        <xdr:cNvPr id="66179019" name="Line 76">
          <a:extLst>
            <a:ext uri="{FF2B5EF4-FFF2-40B4-BE49-F238E27FC236}">
              <a16:creationId xmlns:a16="http://schemas.microsoft.com/office/drawing/2014/main" id="{00000000-0008-0000-0500-0000CBCFF103}"/>
            </a:ext>
          </a:extLst>
        </xdr:cNvPr>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12</xdr:col>
      <xdr:colOff>295275</xdr:colOff>
      <xdr:row>26</xdr:row>
      <xdr:rowOff>85725</xdr:rowOff>
    </xdr:from>
    <xdr:to>
      <xdr:col>13</xdr:col>
      <xdr:colOff>0</xdr:colOff>
      <xdr:row>26</xdr:row>
      <xdr:rowOff>85725</xdr:rowOff>
    </xdr:to>
    <xdr:sp macro="" textlink="">
      <xdr:nvSpPr>
        <xdr:cNvPr id="66179020" name="Line 77">
          <a:extLst>
            <a:ext uri="{FF2B5EF4-FFF2-40B4-BE49-F238E27FC236}">
              <a16:creationId xmlns:a16="http://schemas.microsoft.com/office/drawing/2014/main" id="{00000000-0008-0000-0500-0000CCCFF103}"/>
            </a:ext>
          </a:extLst>
        </xdr:cNvPr>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17</xdr:col>
      <xdr:colOff>152400</xdr:colOff>
      <xdr:row>26</xdr:row>
      <xdr:rowOff>76200</xdr:rowOff>
    </xdr:from>
    <xdr:to>
      <xdr:col>17</xdr:col>
      <xdr:colOff>152400</xdr:colOff>
      <xdr:row>38</xdr:row>
      <xdr:rowOff>95250</xdr:rowOff>
    </xdr:to>
    <xdr:sp macro="" textlink="">
      <xdr:nvSpPr>
        <xdr:cNvPr id="66179021" name="Line 80">
          <a:extLst>
            <a:ext uri="{FF2B5EF4-FFF2-40B4-BE49-F238E27FC236}">
              <a16:creationId xmlns:a16="http://schemas.microsoft.com/office/drawing/2014/main" id="{00000000-0008-0000-0500-0000CDCFF103}"/>
            </a:ext>
          </a:extLst>
        </xdr:cNvPr>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18</xdr:col>
      <xdr:colOff>400050</xdr:colOff>
      <xdr:row>15</xdr:row>
      <xdr:rowOff>9525</xdr:rowOff>
    </xdr:from>
    <xdr:to>
      <xdr:col>18</xdr:col>
      <xdr:colOff>400050</xdr:colOff>
      <xdr:row>17</xdr:row>
      <xdr:rowOff>9525</xdr:rowOff>
    </xdr:to>
    <xdr:sp macro="" textlink="">
      <xdr:nvSpPr>
        <xdr:cNvPr id="66179022" name="Line 87">
          <a:extLst>
            <a:ext uri="{FF2B5EF4-FFF2-40B4-BE49-F238E27FC236}">
              <a16:creationId xmlns:a16="http://schemas.microsoft.com/office/drawing/2014/main" id="{00000000-0008-0000-0500-0000CECFF103}"/>
            </a:ext>
          </a:extLst>
        </xdr:cNvPr>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17</xdr:col>
      <xdr:colOff>152400</xdr:colOff>
      <xdr:row>34</xdr:row>
      <xdr:rowOff>85725</xdr:rowOff>
    </xdr:from>
    <xdr:to>
      <xdr:col>17</xdr:col>
      <xdr:colOff>447675</xdr:colOff>
      <xdr:row>34</xdr:row>
      <xdr:rowOff>85725</xdr:rowOff>
    </xdr:to>
    <xdr:sp macro="" textlink="">
      <xdr:nvSpPr>
        <xdr:cNvPr id="66179023" name="Line 88">
          <a:extLst>
            <a:ext uri="{FF2B5EF4-FFF2-40B4-BE49-F238E27FC236}">
              <a16:creationId xmlns:a16="http://schemas.microsoft.com/office/drawing/2014/main" id="{00000000-0008-0000-0500-0000CFCFF103}"/>
            </a:ext>
          </a:extLst>
        </xdr:cNvPr>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22</xdr:col>
      <xdr:colOff>0</xdr:colOff>
      <xdr:row>11</xdr:row>
      <xdr:rowOff>85725</xdr:rowOff>
    </xdr:from>
    <xdr:to>
      <xdr:col>22</xdr:col>
      <xdr:colOff>0</xdr:colOff>
      <xdr:row>34</xdr:row>
      <xdr:rowOff>85725</xdr:rowOff>
    </xdr:to>
    <xdr:sp macro="" textlink="">
      <xdr:nvSpPr>
        <xdr:cNvPr id="66179024" name="Line 89">
          <a:extLst>
            <a:ext uri="{FF2B5EF4-FFF2-40B4-BE49-F238E27FC236}">
              <a16:creationId xmlns:a16="http://schemas.microsoft.com/office/drawing/2014/main" id="{00000000-0008-0000-0500-0000D0CFF103}"/>
            </a:ext>
          </a:extLst>
        </xdr:cNvPr>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17</xdr:col>
      <xdr:colOff>152400</xdr:colOff>
      <xdr:row>36</xdr:row>
      <xdr:rowOff>66675</xdr:rowOff>
    </xdr:from>
    <xdr:to>
      <xdr:col>17</xdr:col>
      <xdr:colOff>161925</xdr:colOff>
      <xdr:row>36</xdr:row>
      <xdr:rowOff>66675</xdr:rowOff>
    </xdr:to>
    <xdr:sp macro="" textlink="">
      <xdr:nvSpPr>
        <xdr:cNvPr id="66179025" name="Line 90">
          <a:extLst>
            <a:ext uri="{FF2B5EF4-FFF2-40B4-BE49-F238E27FC236}">
              <a16:creationId xmlns:a16="http://schemas.microsoft.com/office/drawing/2014/main" id="{00000000-0008-0000-0500-0000D1CFF103}"/>
            </a:ext>
          </a:extLst>
        </xdr:cNvPr>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10</xdr:col>
      <xdr:colOff>9525</xdr:colOff>
      <xdr:row>35</xdr:row>
      <xdr:rowOff>85725</xdr:rowOff>
    </xdr:from>
    <xdr:to>
      <xdr:col>17</xdr:col>
      <xdr:colOff>152400</xdr:colOff>
      <xdr:row>35</xdr:row>
      <xdr:rowOff>85725</xdr:rowOff>
    </xdr:to>
    <xdr:sp macro="" textlink="">
      <xdr:nvSpPr>
        <xdr:cNvPr id="66179026" name="Line 91">
          <a:extLst>
            <a:ext uri="{FF2B5EF4-FFF2-40B4-BE49-F238E27FC236}">
              <a16:creationId xmlns:a16="http://schemas.microsoft.com/office/drawing/2014/main" id="{00000000-0008-0000-0500-0000D2CFF103}"/>
            </a:ext>
          </a:extLst>
        </xdr:cNvPr>
        <xdr:cNvSpPr>
          <a:spLocks noChangeShapeType="1"/>
        </xdr:cNvSpPr>
      </xdr:nvSpPr>
      <xdr:spPr bwMode="auto">
        <a:xfrm>
          <a:off x="4505325" y="5905500"/>
          <a:ext cx="3314700" cy="0"/>
        </a:xfrm>
        <a:prstGeom prst="line">
          <a:avLst/>
        </a:prstGeom>
        <a:noFill/>
        <a:ln w="9525">
          <a:solidFill>
            <a:srgbClr val="000000"/>
          </a:solidFill>
          <a:round/>
          <a:headEnd/>
          <a:tailEnd/>
        </a:ln>
      </xdr:spPr>
    </xdr:sp>
    <xdr:clientData/>
  </xdr:twoCellAnchor>
  <xdr:twoCellAnchor>
    <xdr:from>
      <xdr:col>14</xdr:col>
      <xdr:colOff>0</xdr:colOff>
      <xdr:row>29</xdr:row>
      <xdr:rowOff>76200</xdr:rowOff>
    </xdr:from>
    <xdr:to>
      <xdr:col>17</xdr:col>
      <xdr:colOff>152400</xdr:colOff>
      <xdr:row>29</xdr:row>
      <xdr:rowOff>76200</xdr:rowOff>
    </xdr:to>
    <xdr:sp macro="" textlink="">
      <xdr:nvSpPr>
        <xdr:cNvPr id="66179027" name="Line 92">
          <a:extLst>
            <a:ext uri="{FF2B5EF4-FFF2-40B4-BE49-F238E27FC236}">
              <a16:creationId xmlns:a16="http://schemas.microsoft.com/office/drawing/2014/main" id="{00000000-0008-0000-0500-0000D3CFF103}"/>
            </a:ext>
          </a:extLst>
        </xdr:cNvPr>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10</xdr:col>
      <xdr:colOff>9525</xdr:colOff>
      <xdr:row>38</xdr:row>
      <xdr:rowOff>85725</xdr:rowOff>
    </xdr:from>
    <xdr:to>
      <xdr:col>17</xdr:col>
      <xdr:colOff>152400</xdr:colOff>
      <xdr:row>38</xdr:row>
      <xdr:rowOff>85725</xdr:rowOff>
    </xdr:to>
    <xdr:sp macro="" textlink="">
      <xdr:nvSpPr>
        <xdr:cNvPr id="66179028" name="Line 93">
          <a:extLst>
            <a:ext uri="{FF2B5EF4-FFF2-40B4-BE49-F238E27FC236}">
              <a16:creationId xmlns:a16="http://schemas.microsoft.com/office/drawing/2014/main" id="{00000000-0008-0000-0500-0000D4CFF103}"/>
            </a:ext>
          </a:extLst>
        </xdr:cNvPr>
        <xdr:cNvSpPr>
          <a:spLocks noChangeShapeType="1"/>
        </xdr:cNvSpPr>
      </xdr:nvSpPr>
      <xdr:spPr bwMode="auto">
        <a:xfrm>
          <a:off x="4505325" y="6391275"/>
          <a:ext cx="3314700" cy="0"/>
        </a:xfrm>
        <a:prstGeom prst="line">
          <a:avLst/>
        </a:prstGeom>
        <a:noFill/>
        <a:ln w="9525">
          <a:solidFill>
            <a:srgbClr val="000000"/>
          </a:solidFill>
          <a:round/>
          <a:headEnd/>
          <a:tailEnd/>
        </a:ln>
      </xdr:spPr>
    </xdr:sp>
    <xdr:clientData/>
  </xdr:twoCellAnchor>
  <xdr:twoCellAnchor>
    <xdr:from>
      <xdr:col>10</xdr:col>
      <xdr:colOff>9525</xdr:colOff>
      <xdr:row>31</xdr:row>
      <xdr:rowOff>85725</xdr:rowOff>
    </xdr:from>
    <xdr:to>
      <xdr:col>17</xdr:col>
      <xdr:colOff>152400</xdr:colOff>
      <xdr:row>31</xdr:row>
      <xdr:rowOff>85725</xdr:rowOff>
    </xdr:to>
    <xdr:sp macro="" textlink="">
      <xdr:nvSpPr>
        <xdr:cNvPr id="66179029" name="Line 94">
          <a:extLst>
            <a:ext uri="{FF2B5EF4-FFF2-40B4-BE49-F238E27FC236}">
              <a16:creationId xmlns:a16="http://schemas.microsoft.com/office/drawing/2014/main" id="{00000000-0008-0000-0500-0000D5CFF103}"/>
            </a:ext>
          </a:extLst>
        </xdr:cNvPr>
        <xdr:cNvSpPr>
          <a:spLocks noChangeShapeType="1"/>
        </xdr:cNvSpPr>
      </xdr:nvSpPr>
      <xdr:spPr bwMode="auto">
        <a:xfrm>
          <a:off x="4505325" y="5257800"/>
          <a:ext cx="3314700" cy="0"/>
        </a:xfrm>
        <a:prstGeom prst="line">
          <a:avLst/>
        </a:prstGeom>
        <a:noFill/>
        <a:ln w="9525">
          <a:solidFill>
            <a:srgbClr val="000000"/>
          </a:solidFill>
          <a:round/>
          <a:headEnd/>
          <a:tailEnd/>
        </a:ln>
      </xdr:spPr>
    </xdr:sp>
    <xdr:clientData/>
  </xdr:twoCellAnchor>
  <xdr:twoCellAnchor>
    <xdr:from>
      <xdr:col>10</xdr:col>
      <xdr:colOff>0</xdr:colOff>
      <xdr:row>20</xdr:row>
      <xdr:rowOff>95250</xdr:rowOff>
    </xdr:from>
    <xdr:to>
      <xdr:col>17</xdr:col>
      <xdr:colOff>171450</xdr:colOff>
      <xdr:row>20</xdr:row>
      <xdr:rowOff>95250</xdr:rowOff>
    </xdr:to>
    <xdr:sp macro="" textlink="">
      <xdr:nvSpPr>
        <xdr:cNvPr id="66179030" name="Line 95">
          <a:extLst>
            <a:ext uri="{FF2B5EF4-FFF2-40B4-BE49-F238E27FC236}">
              <a16:creationId xmlns:a16="http://schemas.microsoft.com/office/drawing/2014/main" id="{00000000-0008-0000-0500-0000D6CFF103}"/>
            </a:ext>
          </a:extLst>
        </xdr:cNvPr>
        <xdr:cNvSpPr>
          <a:spLocks noChangeShapeType="1"/>
        </xdr:cNvSpPr>
      </xdr:nvSpPr>
      <xdr:spPr bwMode="auto">
        <a:xfrm>
          <a:off x="4495800" y="3486150"/>
          <a:ext cx="3343275" cy="0"/>
        </a:xfrm>
        <a:prstGeom prst="line">
          <a:avLst/>
        </a:prstGeom>
        <a:noFill/>
        <a:ln w="9525">
          <a:solidFill>
            <a:srgbClr val="000000"/>
          </a:solidFill>
          <a:round/>
          <a:headEnd/>
          <a:tailEnd/>
        </a:ln>
      </xdr:spPr>
    </xdr:sp>
    <xdr:clientData/>
  </xdr:twoCellAnchor>
  <xdr:twoCellAnchor>
    <xdr:from>
      <xdr:col>14</xdr:col>
      <xdr:colOff>9525</xdr:colOff>
      <xdr:row>17</xdr:row>
      <xdr:rowOff>76200</xdr:rowOff>
    </xdr:from>
    <xdr:to>
      <xdr:col>18</xdr:col>
      <xdr:colOff>0</xdr:colOff>
      <xdr:row>17</xdr:row>
      <xdr:rowOff>76200</xdr:rowOff>
    </xdr:to>
    <xdr:sp macro="" textlink="">
      <xdr:nvSpPr>
        <xdr:cNvPr id="66179031" name="Line 96">
          <a:extLst>
            <a:ext uri="{FF2B5EF4-FFF2-40B4-BE49-F238E27FC236}">
              <a16:creationId xmlns:a16="http://schemas.microsoft.com/office/drawing/2014/main" id="{00000000-0008-0000-0500-0000D7CFF103}"/>
            </a:ext>
          </a:extLst>
        </xdr:cNvPr>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10</xdr:col>
      <xdr:colOff>0</xdr:colOff>
      <xdr:row>16</xdr:row>
      <xdr:rowOff>76200</xdr:rowOff>
    </xdr:from>
    <xdr:to>
      <xdr:col>17</xdr:col>
      <xdr:colOff>171450</xdr:colOff>
      <xdr:row>16</xdr:row>
      <xdr:rowOff>76200</xdr:rowOff>
    </xdr:to>
    <xdr:sp macro="" textlink="">
      <xdr:nvSpPr>
        <xdr:cNvPr id="66179032" name="Line 97">
          <a:extLst>
            <a:ext uri="{FF2B5EF4-FFF2-40B4-BE49-F238E27FC236}">
              <a16:creationId xmlns:a16="http://schemas.microsoft.com/office/drawing/2014/main" id="{00000000-0008-0000-0500-0000D8CFF103}"/>
            </a:ext>
          </a:extLst>
        </xdr:cNvPr>
        <xdr:cNvSpPr>
          <a:spLocks noChangeShapeType="1"/>
        </xdr:cNvSpPr>
      </xdr:nvSpPr>
      <xdr:spPr bwMode="auto">
        <a:xfrm>
          <a:off x="4495800" y="2819400"/>
          <a:ext cx="3343275" cy="0"/>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17</xdr:col>
      <xdr:colOff>171450</xdr:colOff>
      <xdr:row>14</xdr:row>
      <xdr:rowOff>76200</xdr:rowOff>
    </xdr:to>
    <xdr:sp macro="" textlink="">
      <xdr:nvSpPr>
        <xdr:cNvPr id="66179033" name="Line 98">
          <a:extLst>
            <a:ext uri="{FF2B5EF4-FFF2-40B4-BE49-F238E27FC236}">
              <a16:creationId xmlns:a16="http://schemas.microsoft.com/office/drawing/2014/main" id="{00000000-0008-0000-0500-0000D9CFF103}"/>
            </a:ext>
          </a:extLst>
        </xdr:cNvPr>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179034" name="Line 99">
          <a:extLst>
            <a:ext uri="{FF2B5EF4-FFF2-40B4-BE49-F238E27FC236}">
              <a16:creationId xmlns:a16="http://schemas.microsoft.com/office/drawing/2014/main" id="{00000000-0008-0000-0500-0000DACFF103}"/>
            </a:ext>
          </a:extLst>
        </xdr:cNvPr>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179035" name="Line 100">
          <a:extLst>
            <a:ext uri="{FF2B5EF4-FFF2-40B4-BE49-F238E27FC236}">
              <a16:creationId xmlns:a16="http://schemas.microsoft.com/office/drawing/2014/main" id="{00000000-0008-0000-0500-0000DBCFF103}"/>
            </a:ext>
          </a:extLst>
        </xdr:cNvPr>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179037" name="Line 102">
          <a:extLst>
            <a:ext uri="{FF2B5EF4-FFF2-40B4-BE49-F238E27FC236}">
              <a16:creationId xmlns:a16="http://schemas.microsoft.com/office/drawing/2014/main" id="{00000000-0008-0000-0500-0000DDCFF103}"/>
            </a:ext>
          </a:extLst>
        </xdr:cNvPr>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4</xdr:col>
      <xdr:colOff>0</xdr:colOff>
      <xdr:row>23</xdr:row>
      <xdr:rowOff>114300</xdr:rowOff>
    </xdr:from>
    <xdr:to>
      <xdr:col>5</xdr:col>
      <xdr:colOff>0</xdr:colOff>
      <xdr:row>23</xdr:row>
      <xdr:rowOff>133350</xdr:rowOff>
    </xdr:to>
    <xdr:sp macro="" textlink="">
      <xdr:nvSpPr>
        <xdr:cNvPr id="66179038" name="Line 103">
          <a:extLst>
            <a:ext uri="{FF2B5EF4-FFF2-40B4-BE49-F238E27FC236}">
              <a16:creationId xmlns:a16="http://schemas.microsoft.com/office/drawing/2014/main" id="{00000000-0008-0000-0500-0000DECFF103}"/>
            </a:ext>
          </a:extLst>
        </xdr:cNvPr>
        <xdr:cNvSpPr>
          <a:spLocks noChangeShapeType="1"/>
        </xdr:cNvSpPr>
      </xdr:nvSpPr>
      <xdr:spPr bwMode="auto">
        <a:xfrm flipV="1">
          <a:off x="2457450" y="3990975"/>
          <a:ext cx="581025" cy="19050"/>
        </a:xfrm>
        <a:prstGeom prst="line">
          <a:avLst/>
        </a:prstGeom>
        <a:noFill/>
        <a:ln w="9525">
          <a:solidFill>
            <a:srgbClr val="000000"/>
          </a:solidFill>
          <a:round/>
          <a:headEnd/>
          <a:tailEnd type="triangle" w="med" len="med"/>
        </a:ln>
      </xdr:spPr>
    </xdr:sp>
    <xdr:clientData/>
  </xdr:twoCellAnchor>
  <xdr:twoCellAnchor>
    <xdr:from>
      <xdr:col>12</xdr:col>
      <xdr:colOff>9525</xdr:colOff>
      <xdr:row>23</xdr:row>
      <xdr:rowOff>76200</xdr:rowOff>
    </xdr:from>
    <xdr:to>
      <xdr:col>13</xdr:col>
      <xdr:colOff>0</xdr:colOff>
      <xdr:row>23</xdr:row>
      <xdr:rowOff>76200</xdr:rowOff>
    </xdr:to>
    <xdr:sp macro="" textlink="">
      <xdr:nvSpPr>
        <xdr:cNvPr id="66179039" name="Line 104">
          <a:extLst>
            <a:ext uri="{FF2B5EF4-FFF2-40B4-BE49-F238E27FC236}">
              <a16:creationId xmlns:a16="http://schemas.microsoft.com/office/drawing/2014/main" id="{00000000-0008-0000-0500-0000DFCFF103}"/>
            </a:ext>
          </a:extLst>
        </xdr:cNvPr>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179040" name="Line 105">
          <a:extLst>
            <a:ext uri="{FF2B5EF4-FFF2-40B4-BE49-F238E27FC236}">
              <a16:creationId xmlns:a16="http://schemas.microsoft.com/office/drawing/2014/main" id="{00000000-0008-0000-0500-0000E0CFF103}"/>
            </a:ext>
          </a:extLst>
        </xdr:cNvPr>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179041" name="Line 106">
          <a:extLst>
            <a:ext uri="{FF2B5EF4-FFF2-40B4-BE49-F238E27FC236}">
              <a16:creationId xmlns:a16="http://schemas.microsoft.com/office/drawing/2014/main" id="{00000000-0008-0000-0500-0000E1CFF103}"/>
            </a:ext>
          </a:extLst>
        </xdr:cNvPr>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179042" name="Line 107">
          <a:extLst>
            <a:ext uri="{FF2B5EF4-FFF2-40B4-BE49-F238E27FC236}">
              <a16:creationId xmlns:a16="http://schemas.microsoft.com/office/drawing/2014/main" id="{00000000-0008-0000-0500-0000E2CFF103}"/>
            </a:ext>
          </a:extLst>
        </xdr:cNvPr>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179043" name="Line 113">
          <a:extLst>
            <a:ext uri="{FF2B5EF4-FFF2-40B4-BE49-F238E27FC236}">
              <a16:creationId xmlns:a16="http://schemas.microsoft.com/office/drawing/2014/main" id="{00000000-0008-0000-0500-0000E3CFF103}"/>
            </a:ext>
          </a:extLst>
        </xdr:cNvPr>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179044" name="Line 114">
          <a:extLst>
            <a:ext uri="{FF2B5EF4-FFF2-40B4-BE49-F238E27FC236}">
              <a16:creationId xmlns:a16="http://schemas.microsoft.com/office/drawing/2014/main" id="{00000000-0008-0000-0500-0000E4CFF103}"/>
            </a:ext>
          </a:extLst>
        </xdr:cNvPr>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179045" name="Line 116">
          <a:extLst>
            <a:ext uri="{FF2B5EF4-FFF2-40B4-BE49-F238E27FC236}">
              <a16:creationId xmlns:a16="http://schemas.microsoft.com/office/drawing/2014/main" id="{00000000-0008-0000-0500-0000E5CFF103}"/>
            </a:ext>
          </a:extLst>
        </xdr:cNvPr>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179046" name="Line 117">
          <a:extLst>
            <a:ext uri="{FF2B5EF4-FFF2-40B4-BE49-F238E27FC236}">
              <a16:creationId xmlns:a16="http://schemas.microsoft.com/office/drawing/2014/main" id="{00000000-0008-0000-0500-0000E6CFF103}"/>
            </a:ext>
          </a:extLst>
        </xdr:cNvPr>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179047" name="Line 118">
          <a:extLst>
            <a:ext uri="{FF2B5EF4-FFF2-40B4-BE49-F238E27FC236}">
              <a16:creationId xmlns:a16="http://schemas.microsoft.com/office/drawing/2014/main" id="{00000000-0008-0000-0500-0000E7CFF103}"/>
            </a:ext>
          </a:extLst>
        </xdr:cNvPr>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12</xdr:col>
      <xdr:colOff>9525</xdr:colOff>
      <xdr:row>26</xdr:row>
      <xdr:rowOff>85725</xdr:rowOff>
    </xdr:from>
    <xdr:to>
      <xdr:col>12</xdr:col>
      <xdr:colOff>409575</xdr:colOff>
      <xdr:row>26</xdr:row>
      <xdr:rowOff>85725</xdr:rowOff>
    </xdr:to>
    <xdr:sp macro="" textlink="">
      <xdr:nvSpPr>
        <xdr:cNvPr id="66179048" name="Line 119">
          <a:extLst>
            <a:ext uri="{FF2B5EF4-FFF2-40B4-BE49-F238E27FC236}">
              <a16:creationId xmlns:a16="http://schemas.microsoft.com/office/drawing/2014/main" id="{00000000-0008-0000-0500-0000E8CFF103}"/>
            </a:ext>
          </a:extLst>
        </xdr:cNvPr>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12</xdr:col>
      <xdr:colOff>9525</xdr:colOff>
      <xdr:row>29</xdr:row>
      <xdr:rowOff>85725</xdr:rowOff>
    </xdr:from>
    <xdr:to>
      <xdr:col>12</xdr:col>
      <xdr:colOff>409575</xdr:colOff>
      <xdr:row>29</xdr:row>
      <xdr:rowOff>85725</xdr:rowOff>
    </xdr:to>
    <xdr:sp macro="" textlink="">
      <xdr:nvSpPr>
        <xdr:cNvPr id="66179049" name="Line 120">
          <a:extLst>
            <a:ext uri="{FF2B5EF4-FFF2-40B4-BE49-F238E27FC236}">
              <a16:creationId xmlns:a16="http://schemas.microsoft.com/office/drawing/2014/main" id="{00000000-0008-0000-0500-0000E9CFF103}"/>
            </a:ext>
          </a:extLst>
        </xdr:cNvPr>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179050" name="Line 121">
          <a:extLst>
            <a:ext uri="{FF2B5EF4-FFF2-40B4-BE49-F238E27FC236}">
              <a16:creationId xmlns:a16="http://schemas.microsoft.com/office/drawing/2014/main" id="{00000000-0008-0000-0500-0000EACFF103}"/>
            </a:ext>
          </a:extLst>
        </xdr:cNvPr>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4</xdr:col>
      <xdr:colOff>123825</xdr:colOff>
      <xdr:row>14</xdr:row>
      <xdr:rowOff>104775</xdr:rowOff>
    </xdr:from>
    <xdr:to>
      <xdr:col>4</xdr:col>
      <xdr:colOff>561975</xdr:colOff>
      <xdr:row>15</xdr:row>
      <xdr:rowOff>66675</xdr:rowOff>
    </xdr:to>
    <xdr:sp macro="" textlink="">
      <xdr:nvSpPr>
        <xdr:cNvPr id="66179053" name="Line 129">
          <a:extLst>
            <a:ext uri="{FF2B5EF4-FFF2-40B4-BE49-F238E27FC236}">
              <a16:creationId xmlns:a16="http://schemas.microsoft.com/office/drawing/2014/main" id="{00000000-0008-0000-0500-0000EDCFF103}"/>
            </a:ext>
          </a:extLst>
        </xdr:cNvPr>
        <xdr:cNvSpPr>
          <a:spLocks noChangeShapeType="1"/>
        </xdr:cNvSpPr>
      </xdr:nvSpPr>
      <xdr:spPr bwMode="auto">
        <a:xfrm flipV="1">
          <a:off x="2581275" y="2524125"/>
          <a:ext cx="438150" cy="123825"/>
        </a:xfrm>
        <a:prstGeom prst="line">
          <a:avLst/>
        </a:prstGeom>
        <a:noFill/>
        <a:ln w="9525">
          <a:solidFill>
            <a:srgbClr val="000000"/>
          </a:solidFill>
          <a:round/>
          <a:headEnd/>
          <a:tailEnd type="triangle" w="med" len="med"/>
        </a:ln>
      </xdr:spPr>
    </xdr:sp>
    <xdr:clientData/>
  </xdr:twoCellAnchor>
  <xdr:twoCellAnchor>
    <xdr:from>
      <xdr:col>4</xdr:col>
      <xdr:colOff>9525</xdr:colOff>
      <xdr:row>26</xdr:row>
      <xdr:rowOff>95250</xdr:rowOff>
    </xdr:from>
    <xdr:to>
      <xdr:col>10</xdr:col>
      <xdr:colOff>466725</xdr:colOff>
      <xdr:row>27</xdr:row>
      <xdr:rowOff>95250</xdr:rowOff>
    </xdr:to>
    <xdr:sp macro="" textlink="">
      <xdr:nvSpPr>
        <xdr:cNvPr id="66179054" name="Line 130">
          <a:extLst>
            <a:ext uri="{FF2B5EF4-FFF2-40B4-BE49-F238E27FC236}">
              <a16:creationId xmlns:a16="http://schemas.microsoft.com/office/drawing/2014/main" id="{00000000-0008-0000-0500-0000EECFF103}"/>
            </a:ext>
          </a:extLst>
        </xdr:cNvPr>
        <xdr:cNvSpPr>
          <a:spLocks noChangeShapeType="1"/>
        </xdr:cNvSpPr>
      </xdr:nvSpPr>
      <xdr:spPr bwMode="auto">
        <a:xfrm flipV="1">
          <a:off x="2466975" y="4457700"/>
          <a:ext cx="2495550" cy="161925"/>
        </a:xfrm>
        <a:prstGeom prst="line">
          <a:avLst/>
        </a:prstGeom>
        <a:noFill/>
        <a:ln w="9525">
          <a:solidFill>
            <a:srgbClr val="000000"/>
          </a:solidFill>
          <a:round/>
          <a:headEnd/>
          <a:tailEnd type="triangle" w="med" len="med"/>
        </a:ln>
      </xdr:spPr>
    </xdr:sp>
    <xdr:clientData/>
  </xdr:twoCellAnchor>
  <xdr:twoCellAnchor>
    <xdr:from>
      <xdr:col>4</xdr:col>
      <xdr:colOff>466725</xdr:colOff>
      <xdr:row>18</xdr:row>
      <xdr:rowOff>51435</xdr:rowOff>
    </xdr:from>
    <xdr:to>
      <xdr:col>10</xdr:col>
      <xdr:colOff>419100</xdr:colOff>
      <xdr:row>19</xdr:row>
      <xdr:rowOff>47625</xdr:rowOff>
    </xdr:to>
    <xdr:sp macro="" textlink="">
      <xdr:nvSpPr>
        <xdr:cNvPr id="66179055" name="Line 131">
          <a:extLst>
            <a:ext uri="{FF2B5EF4-FFF2-40B4-BE49-F238E27FC236}">
              <a16:creationId xmlns:a16="http://schemas.microsoft.com/office/drawing/2014/main" id="{00000000-0008-0000-0500-0000EFCFF103}"/>
            </a:ext>
          </a:extLst>
        </xdr:cNvPr>
        <xdr:cNvSpPr>
          <a:spLocks noChangeShapeType="1"/>
        </xdr:cNvSpPr>
      </xdr:nvSpPr>
      <xdr:spPr bwMode="auto">
        <a:xfrm>
          <a:off x="2924175" y="3118485"/>
          <a:ext cx="1990725" cy="158115"/>
        </a:xfrm>
        <a:prstGeom prst="line">
          <a:avLst/>
        </a:prstGeom>
        <a:noFill/>
        <a:ln w="9525">
          <a:solidFill>
            <a:srgbClr val="000000"/>
          </a:solidFill>
          <a:round/>
          <a:headEnd/>
          <a:tailEnd type="triangle" w="med" len="med"/>
        </a:ln>
      </xdr:spPr>
    </xdr:sp>
    <xdr:clientData/>
  </xdr:twoCellAnchor>
  <xdr:twoCellAnchor>
    <xdr:from>
      <xdr:col>2</xdr:col>
      <xdr:colOff>28575</xdr:colOff>
      <xdr:row>8</xdr:row>
      <xdr:rowOff>95250</xdr:rowOff>
    </xdr:from>
    <xdr:to>
      <xdr:col>4</xdr:col>
      <xdr:colOff>200025</xdr:colOff>
      <xdr:row>8</xdr:row>
      <xdr:rowOff>95250</xdr:rowOff>
    </xdr:to>
    <xdr:sp macro="" textlink="">
      <xdr:nvSpPr>
        <xdr:cNvPr id="66179056" name="Line 2">
          <a:extLst>
            <a:ext uri="{FF2B5EF4-FFF2-40B4-BE49-F238E27FC236}">
              <a16:creationId xmlns:a16="http://schemas.microsoft.com/office/drawing/2014/main" id="{00000000-0008-0000-0500-0000F0CFF103}"/>
            </a:ext>
          </a:extLst>
        </xdr:cNvPr>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9057" name="Line 15">
          <a:extLst>
            <a:ext uri="{FF2B5EF4-FFF2-40B4-BE49-F238E27FC236}">
              <a16:creationId xmlns:a16="http://schemas.microsoft.com/office/drawing/2014/main" id="{00000000-0008-0000-0500-0000F1CFF103}"/>
            </a:ext>
          </a:extLst>
        </xdr:cNvPr>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9058" name="Line 17">
          <a:extLst>
            <a:ext uri="{FF2B5EF4-FFF2-40B4-BE49-F238E27FC236}">
              <a16:creationId xmlns:a16="http://schemas.microsoft.com/office/drawing/2014/main" id="{00000000-0008-0000-0500-0000F2CFF103}"/>
            </a:ext>
          </a:extLst>
        </xdr:cNvPr>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9059" name="Line 19">
          <a:extLst>
            <a:ext uri="{FF2B5EF4-FFF2-40B4-BE49-F238E27FC236}">
              <a16:creationId xmlns:a16="http://schemas.microsoft.com/office/drawing/2014/main" id="{00000000-0008-0000-0500-0000F3CFF103}"/>
            </a:ext>
          </a:extLst>
        </xdr:cNvPr>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9060" name="Line 24">
          <a:extLst>
            <a:ext uri="{FF2B5EF4-FFF2-40B4-BE49-F238E27FC236}">
              <a16:creationId xmlns:a16="http://schemas.microsoft.com/office/drawing/2014/main" id="{00000000-0008-0000-0500-0000F4CFF103}"/>
            </a:ext>
          </a:extLst>
        </xdr:cNvPr>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12</xdr:col>
      <xdr:colOff>9525</xdr:colOff>
      <xdr:row>17</xdr:row>
      <xdr:rowOff>85725</xdr:rowOff>
    </xdr:from>
    <xdr:to>
      <xdr:col>12</xdr:col>
      <xdr:colOff>409575</xdr:colOff>
      <xdr:row>17</xdr:row>
      <xdr:rowOff>85725</xdr:rowOff>
    </xdr:to>
    <xdr:sp macro="" textlink="">
      <xdr:nvSpPr>
        <xdr:cNvPr id="66179061" name="Line 26">
          <a:extLst>
            <a:ext uri="{FF2B5EF4-FFF2-40B4-BE49-F238E27FC236}">
              <a16:creationId xmlns:a16="http://schemas.microsoft.com/office/drawing/2014/main" id="{00000000-0008-0000-0500-0000F5CFF103}"/>
            </a:ext>
          </a:extLst>
        </xdr:cNvPr>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9062" name="Line 27">
          <a:extLst>
            <a:ext uri="{FF2B5EF4-FFF2-40B4-BE49-F238E27FC236}">
              <a16:creationId xmlns:a16="http://schemas.microsoft.com/office/drawing/2014/main" id="{00000000-0008-0000-0500-0000F6CFF103}"/>
            </a:ext>
          </a:extLst>
        </xdr:cNvPr>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9</xdr:col>
      <xdr:colOff>361950</xdr:colOff>
      <xdr:row>9</xdr:row>
      <xdr:rowOff>85725</xdr:rowOff>
    </xdr:from>
    <xdr:to>
      <xdr:col>14</xdr:col>
      <xdr:colOff>0</xdr:colOff>
      <xdr:row>9</xdr:row>
      <xdr:rowOff>85725</xdr:rowOff>
    </xdr:to>
    <xdr:sp macro="" textlink="">
      <xdr:nvSpPr>
        <xdr:cNvPr id="66179063" name="Line 28">
          <a:extLst>
            <a:ext uri="{FF2B5EF4-FFF2-40B4-BE49-F238E27FC236}">
              <a16:creationId xmlns:a16="http://schemas.microsoft.com/office/drawing/2014/main" id="{00000000-0008-0000-0500-0000F7CFF103}"/>
            </a:ext>
          </a:extLst>
        </xdr:cNvPr>
        <xdr:cNvSpPr>
          <a:spLocks noChangeShapeType="1"/>
        </xdr:cNvSpPr>
      </xdr:nvSpPr>
      <xdr:spPr bwMode="auto">
        <a:xfrm>
          <a:off x="5095875" y="1695450"/>
          <a:ext cx="2828925"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228600</xdr:colOff>
      <xdr:row>9</xdr:row>
      <xdr:rowOff>85725</xdr:rowOff>
    </xdr:to>
    <xdr:sp macro="" textlink="">
      <xdr:nvSpPr>
        <xdr:cNvPr id="66179064" name="Line 29">
          <a:extLst>
            <a:ext uri="{FF2B5EF4-FFF2-40B4-BE49-F238E27FC236}">
              <a16:creationId xmlns:a16="http://schemas.microsoft.com/office/drawing/2014/main" id="{00000000-0008-0000-0500-0000F8CFF103}"/>
            </a:ext>
          </a:extLst>
        </xdr:cNvPr>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9065" name="Line 31">
          <a:extLst>
            <a:ext uri="{FF2B5EF4-FFF2-40B4-BE49-F238E27FC236}">
              <a16:creationId xmlns:a16="http://schemas.microsoft.com/office/drawing/2014/main" id="{00000000-0008-0000-0500-0000F9CFF103}"/>
            </a:ext>
          </a:extLst>
        </xdr:cNvPr>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8</xdr:col>
      <xdr:colOff>66675</xdr:colOff>
      <xdr:row>23</xdr:row>
      <xdr:rowOff>85724</xdr:rowOff>
    </xdr:from>
    <xdr:to>
      <xdr:col>11</xdr:col>
      <xdr:colOff>1</xdr:colOff>
      <xdr:row>23</xdr:row>
      <xdr:rowOff>95249</xdr:rowOff>
    </xdr:to>
    <xdr:sp macro="" textlink="">
      <xdr:nvSpPr>
        <xdr:cNvPr id="66179066" name="Line 32">
          <a:extLst>
            <a:ext uri="{FF2B5EF4-FFF2-40B4-BE49-F238E27FC236}">
              <a16:creationId xmlns:a16="http://schemas.microsoft.com/office/drawing/2014/main" id="{00000000-0008-0000-0500-0000FACFF103}"/>
            </a:ext>
          </a:extLst>
        </xdr:cNvPr>
        <xdr:cNvSpPr>
          <a:spLocks noChangeShapeType="1"/>
        </xdr:cNvSpPr>
      </xdr:nvSpPr>
      <xdr:spPr bwMode="auto">
        <a:xfrm flipV="1">
          <a:off x="4562475" y="3962399"/>
          <a:ext cx="1457326" cy="9525"/>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9067" name="Line 33">
          <a:extLst>
            <a:ext uri="{FF2B5EF4-FFF2-40B4-BE49-F238E27FC236}">
              <a16:creationId xmlns:a16="http://schemas.microsoft.com/office/drawing/2014/main" id="{00000000-0008-0000-0500-0000FBCFF103}"/>
            </a:ext>
          </a:extLst>
        </xdr:cNvPr>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9068" name="Line 35">
          <a:extLst>
            <a:ext uri="{FF2B5EF4-FFF2-40B4-BE49-F238E27FC236}">
              <a16:creationId xmlns:a16="http://schemas.microsoft.com/office/drawing/2014/main" id="{00000000-0008-0000-0500-0000FCCFF103}"/>
            </a:ext>
          </a:extLst>
        </xdr:cNvPr>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9069" name="Line 37">
          <a:extLst>
            <a:ext uri="{FF2B5EF4-FFF2-40B4-BE49-F238E27FC236}">
              <a16:creationId xmlns:a16="http://schemas.microsoft.com/office/drawing/2014/main" id="{00000000-0008-0000-0500-0000FDCFF103}"/>
            </a:ext>
          </a:extLst>
        </xdr:cNvPr>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9070" name="Line 39">
          <a:extLst>
            <a:ext uri="{FF2B5EF4-FFF2-40B4-BE49-F238E27FC236}">
              <a16:creationId xmlns:a16="http://schemas.microsoft.com/office/drawing/2014/main" id="{00000000-0008-0000-0500-0000FECFF103}"/>
            </a:ext>
          </a:extLst>
        </xdr:cNvPr>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9071" name="Line 40">
          <a:extLst>
            <a:ext uri="{FF2B5EF4-FFF2-40B4-BE49-F238E27FC236}">
              <a16:creationId xmlns:a16="http://schemas.microsoft.com/office/drawing/2014/main" id="{00000000-0008-0000-0500-0000FFCFF103}"/>
            </a:ext>
          </a:extLst>
        </xdr:cNvPr>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953216" name="Line 41">
          <a:extLst>
            <a:ext uri="{FF2B5EF4-FFF2-40B4-BE49-F238E27FC236}">
              <a16:creationId xmlns:a16="http://schemas.microsoft.com/office/drawing/2014/main" id="{00000000-0008-0000-0500-000000A0FD03}"/>
            </a:ext>
          </a:extLst>
        </xdr:cNvPr>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953217" name="Line 42">
          <a:extLst>
            <a:ext uri="{FF2B5EF4-FFF2-40B4-BE49-F238E27FC236}">
              <a16:creationId xmlns:a16="http://schemas.microsoft.com/office/drawing/2014/main" id="{00000000-0008-0000-0500-000001A0FD03}"/>
            </a:ext>
          </a:extLst>
        </xdr:cNvPr>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953218" name="Line 43">
          <a:extLst>
            <a:ext uri="{FF2B5EF4-FFF2-40B4-BE49-F238E27FC236}">
              <a16:creationId xmlns:a16="http://schemas.microsoft.com/office/drawing/2014/main" id="{00000000-0008-0000-0500-000002A0FD03}"/>
            </a:ext>
          </a:extLst>
        </xdr:cNvPr>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953220" name="Line 45">
          <a:extLst>
            <a:ext uri="{FF2B5EF4-FFF2-40B4-BE49-F238E27FC236}">
              <a16:creationId xmlns:a16="http://schemas.microsoft.com/office/drawing/2014/main" id="{00000000-0008-0000-0500-000004A0FD03}"/>
            </a:ext>
          </a:extLst>
        </xdr:cNvPr>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953221" name="Line 46">
          <a:extLst>
            <a:ext uri="{FF2B5EF4-FFF2-40B4-BE49-F238E27FC236}">
              <a16:creationId xmlns:a16="http://schemas.microsoft.com/office/drawing/2014/main" id="{00000000-0008-0000-0500-000005A0FD03}"/>
            </a:ext>
          </a:extLst>
        </xdr:cNvPr>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953222" name="Line 51">
          <a:extLst>
            <a:ext uri="{FF2B5EF4-FFF2-40B4-BE49-F238E27FC236}">
              <a16:creationId xmlns:a16="http://schemas.microsoft.com/office/drawing/2014/main" id="{00000000-0008-0000-0500-000006A0FD03}"/>
            </a:ext>
          </a:extLst>
        </xdr:cNvPr>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953223" name="Line 52">
          <a:extLst>
            <a:ext uri="{FF2B5EF4-FFF2-40B4-BE49-F238E27FC236}">
              <a16:creationId xmlns:a16="http://schemas.microsoft.com/office/drawing/2014/main" id="{00000000-0008-0000-0500-000007A0FD03}"/>
            </a:ext>
          </a:extLst>
        </xdr:cNvPr>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953224" name="Line 53">
          <a:extLst>
            <a:ext uri="{FF2B5EF4-FFF2-40B4-BE49-F238E27FC236}">
              <a16:creationId xmlns:a16="http://schemas.microsoft.com/office/drawing/2014/main" id="{00000000-0008-0000-0500-000008A0FD03}"/>
            </a:ext>
          </a:extLst>
        </xdr:cNvPr>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228600</xdr:colOff>
      <xdr:row>23</xdr:row>
      <xdr:rowOff>85725</xdr:rowOff>
    </xdr:to>
    <xdr:sp macro="" textlink="">
      <xdr:nvSpPr>
        <xdr:cNvPr id="66953225" name="Line 56">
          <a:extLst>
            <a:ext uri="{FF2B5EF4-FFF2-40B4-BE49-F238E27FC236}">
              <a16:creationId xmlns:a16="http://schemas.microsoft.com/office/drawing/2014/main" id="{00000000-0008-0000-0500-000009A0FD03}"/>
            </a:ext>
          </a:extLst>
        </xdr:cNvPr>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17</xdr:col>
      <xdr:colOff>9525</xdr:colOff>
      <xdr:row>9</xdr:row>
      <xdr:rowOff>85725</xdr:rowOff>
    </xdr:from>
    <xdr:to>
      <xdr:col>17</xdr:col>
      <xdr:colOff>171450</xdr:colOff>
      <xdr:row>9</xdr:row>
      <xdr:rowOff>85725</xdr:rowOff>
    </xdr:to>
    <xdr:sp macro="" textlink="">
      <xdr:nvSpPr>
        <xdr:cNvPr id="66953226" name="Line 57">
          <a:extLst>
            <a:ext uri="{FF2B5EF4-FFF2-40B4-BE49-F238E27FC236}">
              <a16:creationId xmlns:a16="http://schemas.microsoft.com/office/drawing/2014/main" id="{00000000-0008-0000-0500-00000AA0FD03}"/>
            </a:ext>
          </a:extLst>
        </xdr:cNvPr>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17</xdr:col>
      <xdr:colOff>9525</xdr:colOff>
      <xdr:row>23</xdr:row>
      <xdr:rowOff>85725</xdr:rowOff>
    </xdr:from>
    <xdr:to>
      <xdr:col>17</xdr:col>
      <xdr:colOff>171450</xdr:colOff>
      <xdr:row>23</xdr:row>
      <xdr:rowOff>85725</xdr:rowOff>
    </xdr:to>
    <xdr:sp macro="" textlink="">
      <xdr:nvSpPr>
        <xdr:cNvPr id="66953227" name="Line 58">
          <a:extLst>
            <a:ext uri="{FF2B5EF4-FFF2-40B4-BE49-F238E27FC236}">
              <a16:creationId xmlns:a16="http://schemas.microsoft.com/office/drawing/2014/main" id="{00000000-0008-0000-0500-00000BA0FD03}"/>
            </a:ext>
          </a:extLst>
        </xdr:cNvPr>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17</xdr:col>
      <xdr:colOff>171450</xdr:colOff>
      <xdr:row>9</xdr:row>
      <xdr:rowOff>85725</xdr:rowOff>
    </xdr:from>
    <xdr:to>
      <xdr:col>17</xdr:col>
      <xdr:colOff>171450</xdr:colOff>
      <xdr:row>23</xdr:row>
      <xdr:rowOff>85725</xdr:rowOff>
    </xdr:to>
    <xdr:sp macro="" textlink="">
      <xdr:nvSpPr>
        <xdr:cNvPr id="66953228" name="Line 59">
          <a:extLst>
            <a:ext uri="{FF2B5EF4-FFF2-40B4-BE49-F238E27FC236}">
              <a16:creationId xmlns:a16="http://schemas.microsoft.com/office/drawing/2014/main" id="{00000000-0008-0000-0500-00000CA0FD03}"/>
            </a:ext>
          </a:extLst>
        </xdr:cNvPr>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18</xdr:col>
      <xdr:colOff>400050</xdr:colOff>
      <xdr:row>12</xdr:row>
      <xdr:rowOff>47625</xdr:rowOff>
    </xdr:from>
    <xdr:to>
      <xdr:col>18</xdr:col>
      <xdr:colOff>400050</xdr:colOff>
      <xdr:row>13</xdr:row>
      <xdr:rowOff>152400</xdr:rowOff>
    </xdr:to>
    <xdr:sp macro="" textlink="">
      <xdr:nvSpPr>
        <xdr:cNvPr id="66953229" name="Line 61">
          <a:extLst>
            <a:ext uri="{FF2B5EF4-FFF2-40B4-BE49-F238E27FC236}">
              <a16:creationId xmlns:a16="http://schemas.microsoft.com/office/drawing/2014/main" id="{00000000-0008-0000-0500-00000DA0FD03}"/>
            </a:ext>
          </a:extLst>
        </xdr:cNvPr>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14</xdr:col>
      <xdr:colOff>9525</xdr:colOff>
      <xdr:row>26</xdr:row>
      <xdr:rowOff>76200</xdr:rowOff>
    </xdr:from>
    <xdr:to>
      <xdr:col>17</xdr:col>
      <xdr:colOff>161925</xdr:colOff>
      <xdr:row>26</xdr:row>
      <xdr:rowOff>76200</xdr:rowOff>
    </xdr:to>
    <xdr:sp macro="" textlink="">
      <xdr:nvSpPr>
        <xdr:cNvPr id="66953230" name="Line 63">
          <a:extLst>
            <a:ext uri="{FF2B5EF4-FFF2-40B4-BE49-F238E27FC236}">
              <a16:creationId xmlns:a16="http://schemas.microsoft.com/office/drawing/2014/main" id="{00000000-0008-0000-0500-00000EA0FD03}"/>
            </a:ext>
          </a:extLst>
        </xdr:cNvPr>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238125</xdr:colOff>
      <xdr:row>11</xdr:row>
      <xdr:rowOff>85725</xdr:rowOff>
    </xdr:to>
    <xdr:sp macro="" textlink="">
      <xdr:nvSpPr>
        <xdr:cNvPr id="66953231" name="Line 67">
          <a:extLst>
            <a:ext uri="{FF2B5EF4-FFF2-40B4-BE49-F238E27FC236}">
              <a16:creationId xmlns:a16="http://schemas.microsoft.com/office/drawing/2014/main" id="{00000000-0008-0000-0500-00000FA0FD03}"/>
            </a:ext>
          </a:extLst>
        </xdr:cNvPr>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21</xdr:col>
      <xdr:colOff>0</xdr:colOff>
      <xdr:row>11</xdr:row>
      <xdr:rowOff>85725</xdr:rowOff>
    </xdr:from>
    <xdr:to>
      <xdr:col>21</xdr:col>
      <xdr:colOff>247650</xdr:colOff>
      <xdr:row>11</xdr:row>
      <xdr:rowOff>85725</xdr:rowOff>
    </xdr:to>
    <xdr:sp macro="" textlink="">
      <xdr:nvSpPr>
        <xdr:cNvPr id="66953232" name="Line 68">
          <a:extLst>
            <a:ext uri="{FF2B5EF4-FFF2-40B4-BE49-F238E27FC236}">
              <a16:creationId xmlns:a16="http://schemas.microsoft.com/office/drawing/2014/main" id="{00000000-0008-0000-0500-000010A0FD03}"/>
            </a:ext>
          </a:extLst>
        </xdr:cNvPr>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238125</xdr:colOff>
      <xdr:row>17</xdr:row>
      <xdr:rowOff>85725</xdr:rowOff>
    </xdr:to>
    <xdr:sp macro="" textlink="">
      <xdr:nvSpPr>
        <xdr:cNvPr id="66953233" name="Line 69">
          <a:extLst>
            <a:ext uri="{FF2B5EF4-FFF2-40B4-BE49-F238E27FC236}">
              <a16:creationId xmlns:a16="http://schemas.microsoft.com/office/drawing/2014/main" id="{00000000-0008-0000-0500-000011A0FD03}"/>
            </a:ext>
          </a:extLst>
        </xdr:cNvPr>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21</xdr:col>
      <xdr:colOff>0</xdr:colOff>
      <xdr:row>17</xdr:row>
      <xdr:rowOff>85725</xdr:rowOff>
    </xdr:from>
    <xdr:to>
      <xdr:col>21</xdr:col>
      <xdr:colOff>247650</xdr:colOff>
      <xdr:row>17</xdr:row>
      <xdr:rowOff>85725</xdr:rowOff>
    </xdr:to>
    <xdr:sp macro="" textlink="">
      <xdr:nvSpPr>
        <xdr:cNvPr id="66953234" name="Line 70">
          <a:extLst>
            <a:ext uri="{FF2B5EF4-FFF2-40B4-BE49-F238E27FC236}">
              <a16:creationId xmlns:a16="http://schemas.microsoft.com/office/drawing/2014/main" id="{00000000-0008-0000-0500-000012A0FD03}"/>
            </a:ext>
          </a:extLst>
        </xdr:cNvPr>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238125</xdr:colOff>
      <xdr:row>34</xdr:row>
      <xdr:rowOff>85725</xdr:rowOff>
    </xdr:to>
    <xdr:sp macro="" textlink="">
      <xdr:nvSpPr>
        <xdr:cNvPr id="66953235" name="Line 71">
          <a:extLst>
            <a:ext uri="{FF2B5EF4-FFF2-40B4-BE49-F238E27FC236}">
              <a16:creationId xmlns:a16="http://schemas.microsoft.com/office/drawing/2014/main" id="{00000000-0008-0000-0500-000013A0FD03}"/>
            </a:ext>
          </a:extLst>
        </xdr:cNvPr>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21</xdr:col>
      <xdr:colOff>0</xdr:colOff>
      <xdr:row>34</xdr:row>
      <xdr:rowOff>85725</xdr:rowOff>
    </xdr:from>
    <xdr:to>
      <xdr:col>21</xdr:col>
      <xdr:colOff>247650</xdr:colOff>
      <xdr:row>34</xdr:row>
      <xdr:rowOff>85725</xdr:rowOff>
    </xdr:to>
    <xdr:sp macro="" textlink="">
      <xdr:nvSpPr>
        <xdr:cNvPr id="66953236" name="Line 72">
          <a:extLst>
            <a:ext uri="{FF2B5EF4-FFF2-40B4-BE49-F238E27FC236}">
              <a16:creationId xmlns:a16="http://schemas.microsoft.com/office/drawing/2014/main" id="{00000000-0008-0000-0500-000014A0FD03}"/>
            </a:ext>
          </a:extLst>
        </xdr:cNvPr>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21</xdr:col>
      <xdr:colOff>0</xdr:colOff>
      <xdr:row>23</xdr:row>
      <xdr:rowOff>85725</xdr:rowOff>
    </xdr:from>
    <xdr:to>
      <xdr:col>21</xdr:col>
      <xdr:colOff>247650</xdr:colOff>
      <xdr:row>23</xdr:row>
      <xdr:rowOff>85725</xdr:rowOff>
    </xdr:to>
    <xdr:sp macro="" textlink="">
      <xdr:nvSpPr>
        <xdr:cNvPr id="66953237" name="Line 73">
          <a:extLst>
            <a:ext uri="{FF2B5EF4-FFF2-40B4-BE49-F238E27FC236}">
              <a16:creationId xmlns:a16="http://schemas.microsoft.com/office/drawing/2014/main" id="{00000000-0008-0000-0500-000015A0FD03}"/>
            </a:ext>
          </a:extLst>
        </xdr:cNvPr>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17</xdr:col>
      <xdr:colOff>285750</xdr:colOff>
      <xdr:row>23</xdr:row>
      <xdr:rowOff>76200</xdr:rowOff>
    </xdr:from>
    <xdr:to>
      <xdr:col>20</xdr:col>
      <xdr:colOff>0</xdr:colOff>
      <xdr:row>23</xdr:row>
      <xdr:rowOff>76200</xdr:rowOff>
    </xdr:to>
    <xdr:sp macro="" textlink="">
      <xdr:nvSpPr>
        <xdr:cNvPr id="66953238" name="Line 74">
          <a:extLst>
            <a:ext uri="{FF2B5EF4-FFF2-40B4-BE49-F238E27FC236}">
              <a16:creationId xmlns:a16="http://schemas.microsoft.com/office/drawing/2014/main" id="{00000000-0008-0000-0500-000016A0FD03}"/>
            </a:ext>
          </a:extLst>
        </xdr:cNvPr>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22</xdr:col>
      <xdr:colOff>0</xdr:colOff>
      <xdr:row>17</xdr:row>
      <xdr:rowOff>85725</xdr:rowOff>
    </xdr:from>
    <xdr:to>
      <xdr:col>22</xdr:col>
      <xdr:colOff>190500</xdr:colOff>
      <xdr:row>17</xdr:row>
      <xdr:rowOff>85725</xdr:rowOff>
    </xdr:to>
    <xdr:sp macro="" textlink="">
      <xdr:nvSpPr>
        <xdr:cNvPr id="66953239" name="Line 76">
          <a:extLst>
            <a:ext uri="{FF2B5EF4-FFF2-40B4-BE49-F238E27FC236}">
              <a16:creationId xmlns:a16="http://schemas.microsoft.com/office/drawing/2014/main" id="{00000000-0008-0000-0500-000017A0FD03}"/>
            </a:ext>
          </a:extLst>
        </xdr:cNvPr>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12</xdr:col>
      <xdr:colOff>295275</xdr:colOff>
      <xdr:row>26</xdr:row>
      <xdr:rowOff>85725</xdr:rowOff>
    </xdr:from>
    <xdr:to>
      <xdr:col>13</xdr:col>
      <xdr:colOff>0</xdr:colOff>
      <xdr:row>26</xdr:row>
      <xdr:rowOff>85725</xdr:rowOff>
    </xdr:to>
    <xdr:sp macro="" textlink="">
      <xdr:nvSpPr>
        <xdr:cNvPr id="66953240" name="Line 77">
          <a:extLst>
            <a:ext uri="{FF2B5EF4-FFF2-40B4-BE49-F238E27FC236}">
              <a16:creationId xmlns:a16="http://schemas.microsoft.com/office/drawing/2014/main" id="{00000000-0008-0000-0500-000018A0FD03}"/>
            </a:ext>
          </a:extLst>
        </xdr:cNvPr>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17</xdr:col>
      <xdr:colOff>152400</xdr:colOff>
      <xdr:row>26</xdr:row>
      <xdr:rowOff>76200</xdr:rowOff>
    </xdr:from>
    <xdr:to>
      <xdr:col>17</xdr:col>
      <xdr:colOff>152400</xdr:colOff>
      <xdr:row>38</xdr:row>
      <xdr:rowOff>95250</xdr:rowOff>
    </xdr:to>
    <xdr:sp macro="" textlink="">
      <xdr:nvSpPr>
        <xdr:cNvPr id="66953241" name="Line 80">
          <a:extLst>
            <a:ext uri="{FF2B5EF4-FFF2-40B4-BE49-F238E27FC236}">
              <a16:creationId xmlns:a16="http://schemas.microsoft.com/office/drawing/2014/main" id="{00000000-0008-0000-0500-000019A0FD03}"/>
            </a:ext>
          </a:extLst>
        </xdr:cNvPr>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18</xdr:col>
      <xdr:colOff>400050</xdr:colOff>
      <xdr:row>15</xdr:row>
      <xdr:rowOff>9525</xdr:rowOff>
    </xdr:from>
    <xdr:to>
      <xdr:col>18</xdr:col>
      <xdr:colOff>400050</xdr:colOff>
      <xdr:row>17</xdr:row>
      <xdr:rowOff>9525</xdr:rowOff>
    </xdr:to>
    <xdr:sp macro="" textlink="">
      <xdr:nvSpPr>
        <xdr:cNvPr id="66953242" name="Line 87">
          <a:extLst>
            <a:ext uri="{FF2B5EF4-FFF2-40B4-BE49-F238E27FC236}">
              <a16:creationId xmlns:a16="http://schemas.microsoft.com/office/drawing/2014/main" id="{00000000-0008-0000-0500-00001AA0FD03}"/>
            </a:ext>
          </a:extLst>
        </xdr:cNvPr>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17</xdr:col>
      <xdr:colOff>152400</xdr:colOff>
      <xdr:row>34</xdr:row>
      <xdr:rowOff>85725</xdr:rowOff>
    </xdr:from>
    <xdr:to>
      <xdr:col>17</xdr:col>
      <xdr:colOff>447675</xdr:colOff>
      <xdr:row>34</xdr:row>
      <xdr:rowOff>85725</xdr:rowOff>
    </xdr:to>
    <xdr:sp macro="" textlink="">
      <xdr:nvSpPr>
        <xdr:cNvPr id="66953243" name="Line 88">
          <a:extLst>
            <a:ext uri="{FF2B5EF4-FFF2-40B4-BE49-F238E27FC236}">
              <a16:creationId xmlns:a16="http://schemas.microsoft.com/office/drawing/2014/main" id="{00000000-0008-0000-0500-00001BA0FD03}"/>
            </a:ext>
          </a:extLst>
        </xdr:cNvPr>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22</xdr:col>
      <xdr:colOff>0</xdr:colOff>
      <xdr:row>11</xdr:row>
      <xdr:rowOff>85725</xdr:rowOff>
    </xdr:from>
    <xdr:to>
      <xdr:col>22</xdr:col>
      <xdr:colOff>0</xdr:colOff>
      <xdr:row>34</xdr:row>
      <xdr:rowOff>85725</xdr:rowOff>
    </xdr:to>
    <xdr:sp macro="" textlink="">
      <xdr:nvSpPr>
        <xdr:cNvPr id="66953244" name="Line 89">
          <a:extLst>
            <a:ext uri="{FF2B5EF4-FFF2-40B4-BE49-F238E27FC236}">
              <a16:creationId xmlns:a16="http://schemas.microsoft.com/office/drawing/2014/main" id="{00000000-0008-0000-0500-00001CA0FD03}"/>
            </a:ext>
          </a:extLst>
        </xdr:cNvPr>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17</xdr:col>
      <xdr:colOff>152400</xdr:colOff>
      <xdr:row>36</xdr:row>
      <xdr:rowOff>66675</xdr:rowOff>
    </xdr:from>
    <xdr:to>
      <xdr:col>17</xdr:col>
      <xdr:colOff>161925</xdr:colOff>
      <xdr:row>36</xdr:row>
      <xdr:rowOff>66675</xdr:rowOff>
    </xdr:to>
    <xdr:sp macro="" textlink="">
      <xdr:nvSpPr>
        <xdr:cNvPr id="66953245" name="Line 90">
          <a:extLst>
            <a:ext uri="{FF2B5EF4-FFF2-40B4-BE49-F238E27FC236}">
              <a16:creationId xmlns:a16="http://schemas.microsoft.com/office/drawing/2014/main" id="{00000000-0008-0000-0500-00001DA0FD03}"/>
            </a:ext>
          </a:extLst>
        </xdr:cNvPr>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8</xdr:col>
      <xdr:colOff>85725</xdr:colOff>
      <xdr:row>35</xdr:row>
      <xdr:rowOff>85725</xdr:rowOff>
    </xdr:from>
    <xdr:to>
      <xdr:col>17</xdr:col>
      <xdr:colOff>152400</xdr:colOff>
      <xdr:row>35</xdr:row>
      <xdr:rowOff>85725</xdr:rowOff>
    </xdr:to>
    <xdr:sp macro="" textlink="">
      <xdr:nvSpPr>
        <xdr:cNvPr id="66953246" name="Line 91">
          <a:extLst>
            <a:ext uri="{FF2B5EF4-FFF2-40B4-BE49-F238E27FC236}">
              <a16:creationId xmlns:a16="http://schemas.microsoft.com/office/drawing/2014/main" id="{00000000-0008-0000-0500-00001EA0FD03}"/>
            </a:ext>
          </a:extLst>
        </xdr:cNvPr>
        <xdr:cNvSpPr>
          <a:spLocks noChangeShapeType="1"/>
        </xdr:cNvSpPr>
      </xdr:nvSpPr>
      <xdr:spPr bwMode="auto">
        <a:xfrm>
          <a:off x="4581525" y="5905500"/>
          <a:ext cx="4619625" cy="0"/>
        </a:xfrm>
        <a:prstGeom prst="line">
          <a:avLst/>
        </a:prstGeom>
        <a:noFill/>
        <a:ln w="9525">
          <a:solidFill>
            <a:srgbClr val="000000"/>
          </a:solidFill>
          <a:round/>
          <a:headEnd/>
          <a:tailEnd/>
        </a:ln>
      </xdr:spPr>
    </xdr:sp>
    <xdr:clientData/>
  </xdr:twoCellAnchor>
  <xdr:twoCellAnchor>
    <xdr:from>
      <xdr:col>14</xdr:col>
      <xdr:colOff>0</xdr:colOff>
      <xdr:row>29</xdr:row>
      <xdr:rowOff>76200</xdr:rowOff>
    </xdr:from>
    <xdr:to>
      <xdr:col>17</xdr:col>
      <xdr:colOff>152400</xdr:colOff>
      <xdr:row>29</xdr:row>
      <xdr:rowOff>76200</xdr:rowOff>
    </xdr:to>
    <xdr:sp macro="" textlink="">
      <xdr:nvSpPr>
        <xdr:cNvPr id="66953247" name="Line 92">
          <a:extLst>
            <a:ext uri="{FF2B5EF4-FFF2-40B4-BE49-F238E27FC236}">
              <a16:creationId xmlns:a16="http://schemas.microsoft.com/office/drawing/2014/main" id="{00000000-0008-0000-0500-00001FA0FD03}"/>
            </a:ext>
          </a:extLst>
        </xdr:cNvPr>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8</xdr:col>
      <xdr:colOff>133351</xdr:colOff>
      <xdr:row>38</xdr:row>
      <xdr:rowOff>85725</xdr:rowOff>
    </xdr:from>
    <xdr:to>
      <xdr:col>17</xdr:col>
      <xdr:colOff>152401</xdr:colOff>
      <xdr:row>38</xdr:row>
      <xdr:rowOff>85725</xdr:rowOff>
    </xdr:to>
    <xdr:sp macro="" textlink="">
      <xdr:nvSpPr>
        <xdr:cNvPr id="66953248" name="Line 93">
          <a:extLst>
            <a:ext uri="{FF2B5EF4-FFF2-40B4-BE49-F238E27FC236}">
              <a16:creationId xmlns:a16="http://schemas.microsoft.com/office/drawing/2014/main" id="{00000000-0008-0000-0500-000020A0FD03}"/>
            </a:ext>
          </a:extLst>
        </xdr:cNvPr>
        <xdr:cNvSpPr>
          <a:spLocks noChangeShapeType="1"/>
        </xdr:cNvSpPr>
      </xdr:nvSpPr>
      <xdr:spPr bwMode="auto">
        <a:xfrm>
          <a:off x="4629151" y="6391275"/>
          <a:ext cx="4572000" cy="0"/>
        </a:xfrm>
        <a:prstGeom prst="line">
          <a:avLst/>
        </a:prstGeom>
        <a:noFill/>
        <a:ln w="9525">
          <a:solidFill>
            <a:srgbClr val="000000"/>
          </a:solidFill>
          <a:round/>
          <a:headEnd/>
          <a:tailEnd/>
        </a:ln>
      </xdr:spPr>
    </xdr:sp>
    <xdr:clientData/>
  </xdr:twoCellAnchor>
  <xdr:twoCellAnchor>
    <xdr:from>
      <xdr:col>8</xdr:col>
      <xdr:colOff>38101</xdr:colOff>
      <xdr:row>31</xdr:row>
      <xdr:rowOff>85725</xdr:rowOff>
    </xdr:from>
    <xdr:to>
      <xdr:col>17</xdr:col>
      <xdr:colOff>152401</xdr:colOff>
      <xdr:row>31</xdr:row>
      <xdr:rowOff>85725</xdr:rowOff>
    </xdr:to>
    <xdr:sp macro="" textlink="">
      <xdr:nvSpPr>
        <xdr:cNvPr id="66953249" name="Line 94">
          <a:extLst>
            <a:ext uri="{FF2B5EF4-FFF2-40B4-BE49-F238E27FC236}">
              <a16:creationId xmlns:a16="http://schemas.microsoft.com/office/drawing/2014/main" id="{00000000-0008-0000-0500-000021A0FD03}"/>
            </a:ext>
          </a:extLst>
        </xdr:cNvPr>
        <xdr:cNvSpPr>
          <a:spLocks noChangeShapeType="1"/>
        </xdr:cNvSpPr>
      </xdr:nvSpPr>
      <xdr:spPr bwMode="auto">
        <a:xfrm>
          <a:off x="4533901" y="5257800"/>
          <a:ext cx="4667250" cy="0"/>
        </a:xfrm>
        <a:prstGeom prst="line">
          <a:avLst/>
        </a:prstGeom>
        <a:noFill/>
        <a:ln w="9525">
          <a:solidFill>
            <a:srgbClr val="000000"/>
          </a:solidFill>
          <a:round/>
          <a:headEnd/>
          <a:tailEnd/>
        </a:ln>
      </xdr:spPr>
    </xdr:sp>
    <xdr:clientData/>
  </xdr:twoCellAnchor>
  <xdr:twoCellAnchor>
    <xdr:from>
      <xdr:col>8</xdr:col>
      <xdr:colOff>95250</xdr:colOff>
      <xdr:row>20</xdr:row>
      <xdr:rowOff>85725</xdr:rowOff>
    </xdr:from>
    <xdr:to>
      <xdr:col>17</xdr:col>
      <xdr:colOff>171450</xdr:colOff>
      <xdr:row>20</xdr:row>
      <xdr:rowOff>95250</xdr:rowOff>
    </xdr:to>
    <xdr:sp macro="" textlink="">
      <xdr:nvSpPr>
        <xdr:cNvPr id="66953250" name="Line 95">
          <a:extLst>
            <a:ext uri="{FF2B5EF4-FFF2-40B4-BE49-F238E27FC236}">
              <a16:creationId xmlns:a16="http://schemas.microsoft.com/office/drawing/2014/main" id="{00000000-0008-0000-0500-000022A0FD03}"/>
            </a:ext>
          </a:extLst>
        </xdr:cNvPr>
        <xdr:cNvSpPr>
          <a:spLocks noChangeShapeType="1"/>
        </xdr:cNvSpPr>
      </xdr:nvSpPr>
      <xdr:spPr bwMode="auto">
        <a:xfrm>
          <a:off x="4591050" y="3476625"/>
          <a:ext cx="4629150" cy="9525"/>
        </a:xfrm>
        <a:prstGeom prst="line">
          <a:avLst/>
        </a:prstGeom>
        <a:noFill/>
        <a:ln w="9525">
          <a:solidFill>
            <a:srgbClr val="000000"/>
          </a:solidFill>
          <a:round/>
          <a:headEnd/>
          <a:tailEnd/>
        </a:ln>
      </xdr:spPr>
    </xdr:sp>
    <xdr:clientData/>
  </xdr:twoCellAnchor>
  <xdr:twoCellAnchor>
    <xdr:from>
      <xdr:col>14</xdr:col>
      <xdr:colOff>9525</xdr:colOff>
      <xdr:row>17</xdr:row>
      <xdr:rowOff>76200</xdr:rowOff>
    </xdr:from>
    <xdr:to>
      <xdr:col>18</xdr:col>
      <xdr:colOff>0</xdr:colOff>
      <xdr:row>17</xdr:row>
      <xdr:rowOff>76200</xdr:rowOff>
    </xdr:to>
    <xdr:sp macro="" textlink="">
      <xdr:nvSpPr>
        <xdr:cNvPr id="66953251" name="Line 96">
          <a:extLst>
            <a:ext uri="{FF2B5EF4-FFF2-40B4-BE49-F238E27FC236}">
              <a16:creationId xmlns:a16="http://schemas.microsoft.com/office/drawing/2014/main" id="{00000000-0008-0000-0500-000023A0FD03}"/>
            </a:ext>
          </a:extLst>
        </xdr:cNvPr>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8</xdr:col>
      <xdr:colOff>171451</xdr:colOff>
      <xdr:row>16</xdr:row>
      <xdr:rowOff>76199</xdr:rowOff>
    </xdr:from>
    <xdr:to>
      <xdr:col>17</xdr:col>
      <xdr:colOff>171451</xdr:colOff>
      <xdr:row>16</xdr:row>
      <xdr:rowOff>85724</xdr:rowOff>
    </xdr:to>
    <xdr:sp macro="" textlink="">
      <xdr:nvSpPr>
        <xdr:cNvPr id="66953252" name="Line 97">
          <a:extLst>
            <a:ext uri="{FF2B5EF4-FFF2-40B4-BE49-F238E27FC236}">
              <a16:creationId xmlns:a16="http://schemas.microsoft.com/office/drawing/2014/main" id="{00000000-0008-0000-0500-000024A0FD03}"/>
            </a:ext>
          </a:extLst>
        </xdr:cNvPr>
        <xdr:cNvSpPr>
          <a:spLocks noChangeShapeType="1"/>
        </xdr:cNvSpPr>
      </xdr:nvSpPr>
      <xdr:spPr bwMode="auto">
        <a:xfrm flipV="1">
          <a:off x="4667251" y="2819399"/>
          <a:ext cx="4552950" cy="9525"/>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17</xdr:col>
      <xdr:colOff>171450</xdr:colOff>
      <xdr:row>14</xdr:row>
      <xdr:rowOff>76200</xdr:rowOff>
    </xdr:to>
    <xdr:sp macro="" textlink="">
      <xdr:nvSpPr>
        <xdr:cNvPr id="66953253" name="Line 98">
          <a:extLst>
            <a:ext uri="{FF2B5EF4-FFF2-40B4-BE49-F238E27FC236}">
              <a16:creationId xmlns:a16="http://schemas.microsoft.com/office/drawing/2014/main" id="{00000000-0008-0000-0500-000025A0FD03}"/>
            </a:ext>
          </a:extLst>
        </xdr:cNvPr>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953254" name="Line 99">
          <a:extLst>
            <a:ext uri="{FF2B5EF4-FFF2-40B4-BE49-F238E27FC236}">
              <a16:creationId xmlns:a16="http://schemas.microsoft.com/office/drawing/2014/main" id="{00000000-0008-0000-0500-000026A0FD03}"/>
            </a:ext>
          </a:extLst>
        </xdr:cNvPr>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953255" name="Line 100">
          <a:extLst>
            <a:ext uri="{FF2B5EF4-FFF2-40B4-BE49-F238E27FC236}">
              <a16:creationId xmlns:a16="http://schemas.microsoft.com/office/drawing/2014/main" id="{00000000-0008-0000-0500-000027A0FD03}"/>
            </a:ext>
          </a:extLst>
        </xdr:cNvPr>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2</xdr:col>
      <xdr:colOff>28575</xdr:colOff>
      <xdr:row>26</xdr:row>
      <xdr:rowOff>40006</xdr:rowOff>
    </xdr:from>
    <xdr:to>
      <xdr:col>10</xdr:col>
      <xdr:colOff>495300</xdr:colOff>
      <xdr:row>26</xdr:row>
      <xdr:rowOff>85725</xdr:rowOff>
    </xdr:to>
    <xdr:sp macro="" textlink="">
      <xdr:nvSpPr>
        <xdr:cNvPr id="66953256" name="Line 101">
          <a:extLst>
            <a:ext uri="{FF2B5EF4-FFF2-40B4-BE49-F238E27FC236}">
              <a16:creationId xmlns:a16="http://schemas.microsoft.com/office/drawing/2014/main" id="{00000000-0008-0000-0500-000028A0FD03}"/>
            </a:ext>
          </a:extLst>
        </xdr:cNvPr>
        <xdr:cNvSpPr>
          <a:spLocks noChangeShapeType="1"/>
        </xdr:cNvSpPr>
      </xdr:nvSpPr>
      <xdr:spPr bwMode="auto">
        <a:xfrm>
          <a:off x="1276350" y="4402456"/>
          <a:ext cx="3714750" cy="45719"/>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953257" name="Line 102">
          <a:extLst>
            <a:ext uri="{FF2B5EF4-FFF2-40B4-BE49-F238E27FC236}">
              <a16:creationId xmlns:a16="http://schemas.microsoft.com/office/drawing/2014/main" id="{00000000-0008-0000-0500-000029A0FD03}"/>
            </a:ext>
          </a:extLst>
        </xdr:cNvPr>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12</xdr:col>
      <xdr:colOff>9525</xdr:colOff>
      <xdr:row>23</xdr:row>
      <xdr:rowOff>76200</xdr:rowOff>
    </xdr:from>
    <xdr:to>
      <xdr:col>13</xdr:col>
      <xdr:colOff>0</xdr:colOff>
      <xdr:row>23</xdr:row>
      <xdr:rowOff>76200</xdr:rowOff>
    </xdr:to>
    <xdr:sp macro="" textlink="">
      <xdr:nvSpPr>
        <xdr:cNvPr id="66953259" name="Line 104">
          <a:extLst>
            <a:ext uri="{FF2B5EF4-FFF2-40B4-BE49-F238E27FC236}">
              <a16:creationId xmlns:a16="http://schemas.microsoft.com/office/drawing/2014/main" id="{00000000-0008-0000-0500-00002BA0FD03}"/>
            </a:ext>
          </a:extLst>
        </xdr:cNvPr>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953260" name="Line 105">
          <a:extLst>
            <a:ext uri="{FF2B5EF4-FFF2-40B4-BE49-F238E27FC236}">
              <a16:creationId xmlns:a16="http://schemas.microsoft.com/office/drawing/2014/main" id="{00000000-0008-0000-0500-00002CA0FD03}"/>
            </a:ext>
          </a:extLst>
        </xdr:cNvPr>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953261" name="Line 106">
          <a:extLst>
            <a:ext uri="{FF2B5EF4-FFF2-40B4-BE49-F238E27FC236}">
              <a16:creationId xmlns:a16="http://schemas.microsoft.com/office/drawing/2014/main" id="{00000000-0008-0000-0500-00002DA0FD03}"/>
            </a:ext>
          </a:extLst>
        </xdr:cNvPr>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953262" name="Line 107">
          <a:extLst>
            <a:ext uri="{FF2B5EF4-FFF2-40B4-BE49-F238E27FC236}">
              <a16:creationId xmlns:a16="http://schemas.microsoft.com/office/drawing/2014/main" id="{00000000-0008-0000-0500-00002EA0FD03}"/>
            </a:ext>
          </a:extLst>
        </xdr:cNvPr>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953263" name="Line 113">
          <a:extLst>
            <a:ext uri="{FF2B5EF4-FFF2-40B4-BE49-F238E27FC236}">
              <a16:creationId xmlns:a16="http://schemas.microsoft.com/office/drawing/2014/main" id="{00000000-0008-0000-0500-00002FA0FD03}"/>
            </a:ext>
          </a:extLst>
        </xdr:cNvPr>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953264" name="Line 114">
          <a:extLst>
            <a:ext uri="{FF2B5EF4-FFF2-40B4-BE49-F238E27FC236}">
              <a16:creationId xmlns:a16="http://schemas.microsoft.com/office/drawing/2014/main" id="{00000000-0008-0000-0500-000030A0FD03}"/>
            </a:ext>
          </a:extLst>
        </xdr:cNvPr>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953265" name="Line 116">
          <a:extLst>
            <a:ext uri="{FF2B5EF4-FFF2-40B4-BE49-F238E27FC236}">
              <a16:creationId xmlns:a16="http://schemas.microsoft.com/office/drawing/2014/main" id="{00000000-0008-0000-0500-000031A0FD03}"/>
            </a:ext>
          </a:extLst>
        </xdr:cNvPr>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953266" name="Line 117">
          <a:extLst>
            <a:ext uri="{FF2B5EF4-FFF2-40B4-BE49-F238E27FC236}">
              <a16:creationId xmlns:a16="http://schemas.microsoft.com/office/drawing/2014/main" id="{00000000-0008-0000-0500-000032A0FD03}"/>
            </a:ext>
          </a:extLst>
        </xdr:cNvPr>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953267" name="Line 118">
          <a:extLst>
            <a:ext uri="{FF2B5EF4-FFF2-40B4-BE49-F238E27FC236}">
              <a16:creationId xmlns:a16="http://schemas.microsoft.com/office/drawing/2014/main" id="{00000000-0008-0000-0500-000033A0FD03}"/>
            </a:ext>
          </a:extLst>
        </xdr:cNvPr>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12</xdr:col>
      <xdr:colOff>9525</xdr:colOff>
      <xdr:row>26</xdr:row>
      <xdr:rowOff>85725</xdr:rowOff>
    </xdr:from>
    <xdr:to>
      <xdr:col>12</xdr:col>
      <xdr:colOff>409575</xdr:colOff>
      <xdr:row>26</xdr:row>
      <xdr:rowOff>85725</xdr:rowOff>
    </xdr:to>
    <xdr:sp macro="" textlink="">
      <xdr:nvSpPr>
        <xdr:cNvPr id="66953268" name="Line 119">
          <a:extLst>
            <a:ext uri="{FF2B5EF4-FFF2-40B4-BE49-F238E27FC236}">
              <a16:creationId xmlns:a16="http://schemas.microsoft.com/office/drawing/2014/main" id="{00000000-0008-0000-0500-000034A0FD03}"/>
            </a:ext>
          </a:extLst>
        </xdr:cNvPr>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12</xdr:col>
      <xdr:colOff>9525</xdr:colOff>
      <xdr:row>29</xdr:row>
      <xdr:rowOff>85725</xdr:rowOff>
    </xdr:from>
    <xdr:to>
      <xdr:col>12</xdr:col>
      <xdr:colOff>409575</xdr:colOff>
      <xdr:row>29</xdr:row>
      <xdr:rowOff>85725</xdr:rowOff>
    </xdr:to>
    <xdr:sp macro="" textlink="">
      <xdr:nvSpPr>
        <xdr:cNvPr id="66953269" name="Line 120">
          <a:extLst>
            <a:ext uri="{FF2B5EF4-FFF2-40B4-BE49-F238E27FC236}">
              <a16:creationId xmlns:a16="http://schemas.microsoft.com/office/drawing/2014/main" id="{00000000-0008-0000-0500-000035A0FD03}"/>
            </a:ext>
          </a:extLst>
        </xdr:cNvPr>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953270" name="Line 121">
          <a:extLst>
            <a:ext uri="{FF2B5EF4-FFF2-40B4-BE49-F238E27FC236}">
              <a16:creationId xmlns:a16="http://schemas.microsoft.com/office/drawing/2014/main" id="{00000000-0008-0000-0500-000036A0FD03}"/>
            </a:ext>
          </a:extLst>
        </xdr:cNvPr>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14</xdr:col>
      <xdr:colOff>47624</xdr:colOff>
      <xdr:row>18</xdr:row>
      <xdr:rowOff>85723</xdr:rowOff>
    </xdr:from>
    <xdr:to>
      <xdr:col>17</xdr:col>
      <xdr:colOff>171449</xdr:colOff>
      <xdr:row>19</xdr:row>
      <xdr:rowOff>66674</xdr:rowOff>
    </xdr:to>
    <xdr:sp macro="" textlink="">
      <xdr:nvSpPr>
        <xdr:cNvPr id="66953272" name="Line 128">
          <a:extLst>
            <a:ext uri="{FF2B5EF4-FFF2-40B4-BE49-F238E27FC236}">
              <a16:creationId xmlns:a16="http://schemas.microsoft.com/office/drawing/2014/main" id="{00000000-0008-0000-0500-000038A0FD03}"/>
            </a:ext>
          </a:extLst>
        </xdr:cNvPr>
        <xdr:cNvSpPr>
          <a:spLocks noChangeShapeType="1"/>
        </xdr:cNvSpPr>
      </xdr:nvSpPr>
      <xdr:spPr bwMode="auto">
        <a:xfrm flipV="1">
          <a:off x="7972424" y="3152773"/>
          <a:ext cx="1247775" cy="142876"/>
        </a:xfrm>
        <a:prstGeom prst="line">
          <a:avLst/>
        </a:prstGeom>
        <a:noFill/>
        <a:ln w="9525">
          <a:solidFill>
            <a:srgbClr val="000000"/>
          </a:solidFill>
          <a:round/>
          <a:headEnd/>
          <a:tailEnd/>
        </a:ln>
      </xdr:spPr>
    </xdr:sp>
    <xdr:clientData/>
  </xdr:twoCellAnchor>
  <xdr:twoCellAnchor>
    <xdr:from>
      <xdr:col>12</xdr:col>
      <xdr:colOff>9524</xdr:colOff>
      <xdr:row>19</xdr:row>
      <xdr:rowOff>57149</xdr:rowOff>
    </xdr:from>
    <xdr:to>
      <xdr:col>12</xdr:col>
      <xdr:colOff>390525</xdr:colOff>
      <xdr:row>19</xdr:row>
      <xdr:rowOff>102868</xdr:rowOff>
    </xdr:to>
    <xdr:sp macro="" textlink="">
      <xdr:nvSpPr>
        <xdr:cNvPr id="149" name="Line 26">
          <a:extLst>
            <a:ext uri="{FF2B5EF4-FFF2-40B4-BE49-F238E27FC236}">
              <a16:creationId xmlns:a16="http://schemas.microsoft.com/office/drawing/2014/main" id="{00000000-0008-0000-0500-000095000000}"/>
            </a:ext>
          </a:extLst>
        </xdr:cNvPr>
        <xdr:cNvSpPr>
          <a:spLocks noChangeShapeType="1"/>
        </xdr:cNvSpPr>
      </xdr:nvSpPr>
      <xdr:spPr bwMode="auto">
        <a:xfrm>
          <a:off x="6324599" y="3286124"/>
          <a:ext cx="381001" cy="45719"/>
        </a:xfrm>
        <a:prstGeom prst="line">
          <a:avLst/>
        </a:prstGeom>
        <a:noFill/>
        <a:ln w="9525">
          <a:solidFill>
            <a:srgbClr val="000000"/>
          </a:solidFill>
          <a:round/>
          <a:headEnd/>
          <a:tailEnd/>
        </a:ln>
      </xdr:spPr>
    </xdr:sp>
    <xdr:clientData/>
  </xdr:twoCellAnchor>
  <xdr:twoCellAnchor>
    <xdr:from>
      <xdr:col>4</xdr:col>
      <xdr:colOff>133350</xdr:colOff>
      <xdr:row>9</xdr:row>
      <xdr:rowOff>152399</xdr:rowOff>
    </xdr:from>
    <xdr:to>
      <xdr:col>5</xdr:col>
      <xdr:colOff>47625</xdr:colOff>
      <xdr:row>12</xdr:row>
      <xdr:rowOff>38099</xdr:rowOff>
    </xdr:to>
    <xdr:sp macro="" textlink="">
      <xdr:nvSpPr>
        <xdr:cNvPr id="146" name="Line 102">
          <a:extLst>
            <a:ext uri="{FF2B5EF4-FFF2-40B4-BE49-F238E27FC236}">
              <a16:creationId xmlns:a16="http://schemas.microsoft.com/office/drawing/2014/main" id="{00000000-0008-0000-0500-000092000000}"/>
            </a:ext>
          </a:extLst>
        </xdr:cNvPr>
        <xdr:cNvSpPr>
          <a:spLocks noChangeShapeType="1"/>
        </xdr:cNvSpPr>
      </xdr:nvSpPr>
      <xdr:spPr bwMode="auto">
        <a:xfrm flipV="1">
          <a:off x="2590800" y="1762124"/>
          <a:ext cx="495300" cy="371475"/>
        </a:xfrm>
        <a:prstGeom prst="line">
          <a:avLst/>
        </a:prstGeom>
        <a:noFill/>
        <a:ln w="9525">
          <a:solidFill>
            <a:srgbClr val="000000"/>
          </a:solidFill>
          <a:round/>
          <a:headEnd/>
          <a:tailEnd type="triangle" w="med" len="me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752475</xdr:colOff>
      <xdr:row>51</xdr:row>
      <xdr:rowOff>114300</xdr:rowOff>
    </xdr:from>
    <xdr:to>
      <xdr:col>9</xdr:col>
      <xdr:colOff>47625</xdr:colOff>
      <xdr:row>73</xdr:row>
      <xdr:rowOff>66675</xdr:rowOff>
    </xdr:to>
    <xdr:graphicFrame macro="">
      <xdr:nvGraphicFramePr>
        <xdr:cNvPr id="65602611" name="Chart 1">
          <a:extLst>
            <a:ext uri="{FF2B5EF4-FFF2-40B4-BE49-F238E27FC236}">
              <a16:creationId xmlns:a16="http://schemas.microsoft.com/office/drawing/2014/main" id="{00000000-0008-0000-4400-00003304E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771525</xdr:colOff>
      <xdr:row>25</xdr:row>
      <xdr:rowOff>9525</xdr:rowOff>
    </xdr:from>
    <xdr:to>
      <xdr:col>9</xdr:col>
      <xdr:colOff>0</xdr:colOff>
      <xdr:row>46</xdr:row>
      <xdr:rowOff>0</xdr:rowOff>
    </xdr:to>
    <xdr:graphicFrame macro="">
      <xdr:nvGraphicFramePr>
        <xdr:cNvPr id="65602612" name="Chart 2">
          <a:extLst>
            <a:ext uri="{FF2B5EF4-FFF2-40B4-BE49-F238E27FC236}">
              <a16:creationId xmlns:a16="http://schemas.microsoft.com/office/drawing/2014/main" id="{00000000-0008-0000-4400-00003404E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752475</xdr:colOff>
      <xdr:row>51</xdr:row>
      <xdr:rowOff>114300</xdr:rowOff>
    </xdr:from>
    <xdr:to>
      <xdr:col>9</xdr:col>
      <xdr:colOff>47625</xdr:colOff>
      <xdr:row>73</xdr:row>
      <xdr:rowOff>66675</xdr:rowOff>
    </xdr:to>
    <xdr:graphicFrame macro="">
      <xdr:nvGraphicFramePr>
        <xdr:cNvPr id="65602613" name="Chart 1">
          <a:extLst>
            <a:ext uri="{FF2B5EF4-FFF2-40B4-BE49-F238E27FC236}">
              <a16:creationId xmlns:a16="http://schemas.microsoft.com/office/drawing/2014/main" id="{00000000-0008-0000-4400-00003504E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771525</xdr:colOff>
      <xdr:row>24</xdr:row>
      <xdr:rowOff>127000</xdr:rowOff>
    </xdr:from>
    <xdr:to>
      <xdr:col>9</xdr:col>
      <xdr:colOff>0</xdr:colOff>
      <xdr:row>46</xdr:row>
      <xdr:rowOff>1</xdr:rowOff>
    </xdr:to>
    <xdr:graphicFrame macro="">
      <xdr:nvGraphicFramePr>
        <xdr:cNvPr id="65602614" name="Chart 1976">
          <a:extLst>
            <a:ext uri="{FF2B5EF4-FFF2-40B4-BE49-F238E27FC236}">
              <a16:creationId xmlns:a16="http://schemas.microsoft.com/office/drawing/2014/main" id="{00000000-0008-0000-4400-00003604E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9525</xdr:colOff>
      <xdr:row>24</xdr:row>
      <xdr:rowOff>0</xdr:rowOff>
    </xdr:from>
    <xdr:to>
      <xdr:col>8</xdr:col>
      <xdr:colOff>104775</xdr:colOff>
      <xdr:row>37</xdr:row>
      <xdr:rowOff>152400</xdr:rowOff>
    </xdr:to>
    <xdr:graphicFrame macro="">
      <xdr:nvGraphicFramePr>
        <xdr:cNvPr id="60377017" name="Chart 1">
          <a:extLst>
            <a:ext uri="{FF2B5EF4-FFF2-40B4-BE49-F238E27FC236}">
              <a16:creationId xmlns:a16="http://schemas.microsoft.com/office/drawing/2014/main" id="{00000000-0008-0000-4500-0000B9479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42</xdr:row>
      <xdr:rowOff>0</xdr:rowOff>
    </xdr:from>
    <xdr:to>
      <xdr:col>8</xdr:col>
      <xdr:colOff>104775</xdr:colOff>
      <xdr:row>56</xdr:row>
      <xdr:rowOff>0</xdr:rowOff>
    </xdr:to>
    <xdr:graphicFrame macro="">
      <xdr:nvGraphicFramePr>
        <xdr:cNvPr id="60377018" name="Chart 2">
          <a:extLst>
            <a:ext uri="{FF2B5EF4-FFF2-40B4-BE49-F238E27FC236}">
              <a16:creationId xmlns:a16="http://schemas.microsoft.com/office/drawing/2014/main" id="{00000000-0008-0000-4500-0000BA479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142875</xdr:colOff>
      <xdr:row>47</xdr:row>
      <xdr:rowOff>142875</xdr:rowOff>
    </xdr:from>
    <xdr:ext cx="609600" cy="180975"/>
    <xdr:sp macro="" textlink="">
      <xdr:nvSpPr>
        <xdr:cNvPr id="71683" name="Texto 6">
          <a:extLst>
            <a:ext uri="{FF2B5EF4-FFF2-40B4-BE49-F238E27FC236}">
              <a16:creationId xmlns:a16="http://schemas.microsoft.com/office/drawing/2014/main" id="{00000000-0008-0000-4500-000003180100}"/>
            </a:ext>
          </a:extLst>
        </xdr:cNvPr>
        <xdr:cNvSpPr txBox="1">
          <a:spLocks noChangeArrowheads="1"/>
        </xdr:cNvSpPr>
      </xdr:nvSpPr>
      <xdr:spPr bwMode="auto">
        <a:xfrm>
          <a:off x="3629025" y="823912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6</xdr:col>
      <xdr:colOff>523875</xdr:colOff>
      <xdr:row>26</xdr:row>
      <xdr:rowOff>114300</xdr:rowOff>
    </xdr:from>
    <xdr:ext cx="609600" cy="180975"/>
    <xdr:sp macro="" textlink="">
      <xdr:nvSpPr>
        <xdr:cNvPr id="71684" name="Texto 7">
          <a:extLst>
            <a:ext uri="{FF2B5EF4-FFF2-40B4-BE49-F238E27FC236}">
              <a16:creationId xmlns:a16="http://schemas.microsoft.com/office/drawing/2014/main" id="{00000000-0008-0000-4500-000004180100}"/>
            </a:ext>
          </a:extLst>
        </xdr:cNvPr>
        <xdr:cNvSpPr txBox="1">
          <a:spLocks noChangeArrowheads="1"/>
        </xdr:cNvSpPr>
      </xdr:nvSpPr>
      <xdr:spPr bwMode="auto">
        <a:xfrm>
          <a:off x="4010025" y="5010150"/>
          <a:ext cx="6096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52</xdr:row>
      <xdr:rowOff>0</xdr:rowOff>
    </xdr:from>
    <xdr:ext cx="619125" cy="180975"/>
    <xdr:sp macro="" textlink="">
      <xdr:nvSpPr>
        <xdr:cNvPr id="71685" name="Texto 8">
          <a:extLst>
            <a:ext uri="{FF2B5EF4-FFF2-40B4-BE49-F238E27FC236}">
              <a16:creationId xmlns:a16="http://schemas.microsoft.com/office/drawing/2014/main" id="{00000000-0008-0000-4500-000005180100}"/>
            </a:ext>
          </a:extLst>
        </xdr:cNvPr>
        <xdr:cNvSpPr txBox="1">
          <a:spLocks noChangeArrowheads="1"/>
        </xdr:cNvSpPr>
      </xdr:nvSpPr>
      <xdr:spPr bwMode="auto">
        <a:xfrm>
          <a:off x="3381375" y="890587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oneCellAnchor>
    <xdr:from>
      <xdr:col>2</xdr:col>
      <xdr:colOff>9525</xdr:colOff>
      <xdr:row>32</xdr:row>
      <xdr:rowOff>57150</xdr:rowOff>
    </xdr:from>
    <xdr:ext cx="619125" cy="180975"/>
    <xdr:sp macro="" textlink="">
      <xdr:nvSpPr>
        <xdr:cNvPr id="71686" name="Texto 9">
          <a:extLst>
            <a:ext uri="{FF2B5EF4-FFF2-40B4-BE49-F238E27FC236}">
              <a16:creationId xmlns:a16="http://schemas.microsoft.com/office/drawing/2014/main" id="{00000000-0008-0000-4500-000006180100}"/>
            </a:ext>
          </a:extLst>
        </xdr:cNvPr>
        <xdr:cNvSpPr txBox="1">
          <a:spLocks noChangeArrowheads="1"/>
        </xdr:cNvSpPr>
      </xdr:nvSpPr>
      <xdr:spPr bwMode="auto">
        <a:xfrm>
          <a:off x="1095375" y="5924550"/>
          <a:ext cx="6191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381000</xdr:colOff>
      <xdr:row>68</xdr:row>
      <xdr:rowOff>9525</xdr:rowOff>
    </xdr:from>
    <xdr:to>
      <xdr:col>8</xdr:col>
      <xdr:colOff>485775</xdr:colOff>
      <xdr:row>82</xdr:row>
      <xdr:rowOff>9525</xdr:rowOff>
    </xdr:to>
    <xdr:graphicFrame macro="">
      <xdr:nvGraphicFramePr>
        <xdr:cNvPr id="60377023" name="Chart 7">
          <a:extLst>
            <a:ext uri="{FF2B5EF4-FFF2-40B4-BE49-F238E27FC236}">
              <a16:creationId xmlns:a16="http://schemas.microsoft.com/office/drawing/2014/main" id="{00000000-0008-0000-4500-0000BF479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6</xdr:col>
      <xdr:colOff>504825</xdr:colOff>
      <xdr:row>74</xdr:row>
      <xdr:rowOff>19050</xdr:rowOff>
    </xdr:from>
    <xdr:ext cx="609600" cy="180975"/>
    <xdr:sp macro="" textlink="">
      <xdr:nvSpPr>
        <xdr:cNvPr id="71688" name="Texto 6">
          <a:extLst>
            <a:ext uri="{FF2B5EF4-FFF2-40B4-BE49-F238E27FC236}">
              <a16:creationId xmlns:a16="http://schemas.microsoft.com/office/drawing/2014/main" id="{00000000-0008-0000-4500-000008180100}"/>
            </a:ext>
          </a:extLst>
        </xdr:cNvPr>
        <xdr:cNvSpPr txBox="1">
          <a:spLocks noChangeArrowheads="1"/>
        </xdr:cNvSpPr>
      </xdr:nvSpPr>
      <xdr:spPr bwMode="auto">
        <a:xfrm>
          <a:off x="3990975" y="1248727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4</xdr:col>
      <xdr:colOff>495300</xdr:colOff>
      <xdr:row>76</xdr:row>
      <xdr:rowOff>85725</xdr:rowOff>
    </xdr:from>
    <xdr:ext cx="619125" cy="180975"/>
    <xdr:sp macro="" textlink="">
      <xdr:nvSpPr>
        <xdr:cNvPr id="71689" name="Texto 8">
          <a:extLst>
            <a:ext uri="{FF2B5EF4-FFF2-40B4-BE49-F238E27FC236}">
              <a16:creationId xmlns:a16="http://schemas.microsoft.com/office/drawing/2014/main" id="{00000000-0008-0000-4500-000009180100}"/>
            </a:ext>
          </a:extLst>
        </xdr:cNvPr>
        <xdr:cNvSpPr txBox="1">
          <a:spLocks noChangeArrowheads="1"/>
        </xdr:cNvSpPr>
      </xdr:nvSpPr>
      <xdr:spPr bwMode="auto">
        <a:xfrm>
          <a:off x="2781300" y="12877800"/>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400050</xdr:colOff>
      <xdr:row>86</xdr:row>
      <xdr:rowOff>0</xdr:rowOff>
    </xdr:from>
    <xdr:to>
      <xdr:col>8</xdr:col>
      <xdr:colOff>504825</xdr:colOff>
      <xdr:row>100</xdr:row>
      <xdr:rowOff>0</xdr:rowOff>
    </xdr:to>
    <xdr:graphicFrame macro="">
      <xdr:nvGraphicFramePr>
        <xdr:cNvPr id="60377026" name="Chart 10">
          <a:extLst>
            <a:ext uri="{FF2B5EF4-FFF2-40B4-BE49-F238E27FC236}">
              <a16:creationId xmlns:a16="http://schemas.microsoft.com/office/drawing/2014/main" id="{00000000-0008-0000-4500-0000C2479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6</xdr:col>
      <xdr:colOff>542925</xdr:colOff>
      <xdr:row>92</xdr:row>
      <xdr:rowOff>28575</xdr:rowOff>
    </xdr:from>
    <xdr:ext cx="609600" cy="180975"/>
    <xdr:sp macro="" textlink="">
      <xdr:nvSpPr>
        <xdr:cNvPr id="71691" name="Texto 6">
          <a:extLst>
            <a:ext uri="{FF2B5EF4-FFF2-40B4-BE49-F238E27FC236}">
              <a16:creationId xmlns:a16="http://schemas.microsoft.com/office/drawing/2014/main" id="{00000000-0008-0000-4500-00000B180100}"/>
            </a:ext>
          </a:extLst>
        </xdr:cNvPr>
        <xdr:cNvSpPr txBox="1">
          <a:spLocks noChangeArrowheads="1"/>
        </xdr:cNvSpPr>
      </xdr:nvSpPr>
      <xdr:spPr bwMode="auto">
        <a:xfrm>
          <a:off x="4029075" y="15411450"/>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94</xdr:row>
      <xdr:rowOff>114300</xdr:rowOff>
    </xdr:from>
    <xdr:ext cx="619125" cy="180975"/>
    <xdr:sp macro="" textlink="">
      <xdr:nvSpPr>
        <xdr:cNvPr id="71692" name="Texto 8">
          <a:extLst>
            <a:ext uri="{FF2B5EF4-FFF2-40B4-BE49-F238E27FC236}">
              <a16:creationId xmlns:a16="http://schemas.microsoft.com/office/drawing/2014/main" id="{00000000-0008-0000-4500-00000C180100}"/>
            </a:ext>
          </a:extLst>
        </xdr:cNvPr>
        <xdr:cNvSpPr txBox="1">
          <a:spLocks noChangeArrowheads="1"/>
        </xdr:cNvSpPr>
      </xdr:nvSpPr>
      <xdr:spPr bwMode="auto">
        <a:xfrm>
          <a:off x="3381375" y="1582102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wsDr>
</file>

<file path=xl/drawings/drawing52.xml><?xml version="1.0" encoding="utf-8"?>
<xdr:wsDr xmlns:xdr="http://schemas.openxmlformats.org/drawingml/2006/spreadsheetDrawing" xmlns:a="http://schemas.openxmlformats.org/drawingml/2006/main">
  <xdr:twoCellAnchor>
    <xdr:from>
      <xdr:col>1</xdr:col>
      <xdr:colOff>342900</xdr:colOff>
      <xdr:row>24</xdr:row>
      <xdr:rowOff>19050</xdr:rowOff>
    </xdr:from>
    <xdr:to>
      <xdr:col>11</xdr:col>
      <xdr:colOff>9525</xdr:colOff>
      <xdr:row>39</xdr:row>
      <xdr:rowOff>19050</xdr:rowOff>
    </xdr:to>
    <xdr:graphicFrame macro="">
      <xdr:nvGraphicFramePr>
        <xdr:cNvPr id="32773109" name="Chart 1">
          <a:extLst>
            <a:ext uri="{FF2B5EF4-FFF2-40B4-BE49-F238E27FC236}">
              <a16:creationId xmlns:a16="http://schemas.microsoft.com/office/drawing/2014/main" id="{00000000-0008-0000-4700-0000F513F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342900</xdr:colOff>
      <xdr:row>44</xdr:row>
      <xdr:rowOff>19050</xdr:rowOff>
    </xdr:from>
    <xdr:to>
      <xdr:col>11</xdr:col>
      <xdr:colOff>9525</xdr:colOff>
      <xdr:row>59</xdr:row>
      <xdr:rowOff>19050</xdr:rowOff>
    </xdr:to>
    <xdr:graphicFrame macro="">
      <xdr:nvGraphicFramePr>
        <xdr:cNvPr id="32773110" name="Chart 2">
          <a:extLst>
            <a:ext uri="{FF2B5EF4-FFF2-40B4-BE49-F238E27FC236}">
              <a16:creationId xmlns:a16="http://schemas.microsoft.com/office/drawing/2014/main" id="{00000000-0008-0000-4700-0000F613F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0.01073</cdr:x>
      <cdr:y>0.10155</cdr:y>
    </cdr:from>
    <cdr:to>
      <cdr:x>0.07507</cdr:x>
      <cdr:y>0.16017</cdr:y>
    </cdr:to>
    <cdr:sp macro="" textlink="">
      <cdr:nvSpPr>
        <cdr:cNvPr id="77825" name="Texto 1"/>
        <cdr:cNvSpPr txBox="1">
          <a:spLocks xmlns:a="http://schemas.openxmlformats.org/drawingml/2006/main" noChangeArrowheads="1"/>
        </cdr:cNvSpPr>
      </cdr:nvSpPr>
      <cdr:spPr bwMode="auto">
        <a:xfrm xmlns:a="http://schemas.openxmlformats.org/drawingml/2006/main">
          <a:off x="48955" y="246659"/>
          <a:ext cx="293550" cy="1423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4.xml><?xml version="1.0" encoding="utf-8"?>
<c:userShapes xmlns:c="http://schemas.openxmlformats.org/drawingml/2006/chart">
  <cdr:relSizeAnchor xmlns:cdr="http://schemas.openxmlformats.org/drawingml/2006/chartDrawing">
    <cdr:from>
      <cdr:x>0.01342</cdr:x>
      <cdr:y>0.14469</cdr:y>
    </cdr:from>
    <cdr:to>
      <cdr:x>0.07776</cdr:x>
      <cdr:y>0.20331</cdr:y>
    </cdr:to>
    <cdr:sp macro="" textlink="">
      <cdr:nvSpPr>
        <cdr:cNvPr id="78849" name="Texto 1"/>
        <cdr:cNvSpPr txBox="1">
          <a:spLocks xmlns:a="http://schemas.openxmlformats.org/drawingml/2006/main" noChangeArrowheads="1"/>
        </cdr:cNvSpPr>
      </cdr:nvSpPr>
      <cdr:spPr bwMode="auto">
        <a:xfrm xmlns:a="http://schemas.openxmlformats.org/drawingml/2006/main">
          <a:off x="62744" y="355995"/>
          <a:ext cx="285579" cy="1429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95250</xdr:colOff>
      <xdr:row>40</xdr:row>
      <xdr:rowOff>9525</xdr:rowOff>
    </xdr:to>
    <xdr:graphicFrame macro="">
      <xdr:nvGraphicFramePr>
        <xdr:cNvPr id="32776181" name="Chart 1">
          <a:extLst>
            <a:ext uri="{FF2B5EF4-FFF2-40B4-BE49-F238E27FC236}">
              <a16:creationId xmlns:a16="http://schemas.microsoft.com/office/drawing/2014/main" id="{00000000-0008-0000-5100-0000F51FF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76182" name="Chart 2">
          <a:extLst>
            <a:ext uri="{FF2B5EF4-FFF2-40B4-BE49-F238E27FC236}">
              <a16:creationId xmlns:a16="http://schemas.microsoft.com/office/drawing/2014/main" id="{00000000-0008-0000-5100-0000F61FF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523875</xdr:colOff>
      <xdr:row>21</xdr:row>
      <xdr:rowOff>19050</xdr:rowOff>
    </xdr:from>
    <xdr:to>
      <xdr:col>8</xdr:col>
      <xdr:colOff>0</xdr:colOff>
      <xdr:row>39</xdr:row>
      <xdr:rowOff>9525</xdr:rowOff>
    </xdr:to>
    <xdr:graphicFrame macro="">
      <xdr:nvGraphicFramePr>
        <xdr:cNvPr id="32779253" name="Chart 1">
          <a:extLst>
            <a:ext uri="{FF2B5EF4-FFF2-40B4-BE49-F238E27FC236}">
              <a16:creationId xmlns:a16="http://schemas.microsoft.com/office/drawing/2014/main" id="{00000000-0008-0000-5200-0000F52BF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46</xdr:row>
      <xdr:rowOff>0</xdr:rowOff>
    </xdr:from>
    <xdr:to>
      <xdr:col>8</xdr:col>
      <xdr:colOff>0</xdr:colOff>
      <xdr:row>63</xdr:row>
      <xdr:rowOff>114300</xdr:rowOff>
    </xdr:to>
    <xdr:graphicFrame macro="">
      <xdr:nvGraphicFramePr>
        <xdr:cNvPr id="32779254" name="Chart 2">
          <a:extLst>
            <a:ext uri="{FF2B5EF4-FFF2-40B4-BE49-F238E27FC236}">
              <a16:creationId xmlns:a16="http://schemas.microsoft.com/office/drawing/2014/main" id="{00000000-0008-0000-5200-0000F62BF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523875</xdr:colOff>
      <xdr:row>21</xdr:row>
      <xdr:rowOff>19050</xdr:rowOff>
    </xdr:from>
    <xdr:to>
      <xdr:col>8</xdr:col>
      <xdr:colOff>0</xdr:colOff>
      <xdr:row>39</xdr:row>
      <xdr:rowOff>9525</xdr:rowOff>
    </xdr:to>
    <xdr:graphicFrame macro="">
      <xdr:nvGraphicFramePr>
        <xdr:cNvPr id="32782325" name="Chart 1">
          <a:extLst>
            <a:ext uri="{FF2B5EF4-FFF2-40B4-BE49-F238E27FC236}">
              <a16:creationId xmlns:a16="http://schemas.microsoft.com/office/drawing/2014/main" id="{00000000-0008-0000-5300-0000F537F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46</xdr:row>
      <xdr:rowOff>0</xdr:rowOff>
    </xdr:from>
    <xdr:to>
      <xdr:col>8</xdr:col>
      <xdr:colOff>0</xdr:colOff>
      <xdr:row>63</xdr:row>
      <xdr:rowOff>114300</xdr:rowOff>
    </xdr:to>
    <xdr:graphicFrame macro="">
      <xdr:nvGraphicFramePr>
        <xdr:cNvPr id="32782326" name="Chart 2">
          <a:extLst>
            <a:ext uri="{FF2B5EF4-FFF2-40B4-BE49-F238E27FC236}">
              <a16:creationId xmlns:a16="http://schemas.microsoft.com/office/drawing/2014/main" id="{00000000-0008-0000-5300-0000F637F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523875</xdr:colOff>
      <xdr:row>21</xdr:row>
      <xdr:rowOff>19050</xdr:rowOff>
    </xdr:from>
    <xdr:to>
      <xdr:col>8</xdr:col>
      <xdr:colOff>0</xdr:colOff>
      <xdr:row>39</xdr:row>
      <xdr:rowOff>9525</xdr:rowOff>
    </xdr:to>
    <xdr:graphicFrame macro="">
      <xdr:nvGraphicFramePr>
        <xdr:cNvPr id="32785397" name="Chart 1">
          <a:extLst>
            <a:ext uri="{FF2B5EF4-FFF2-40B4-BE49-F238E27FC236}">
              <a16:creationId xmlns:a16="http://schemas.microsoft.com/office/drawing/2014/main" id="{00000000-0008-0000-5400-0000F543F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46</xdr:row>
      <xdr:rowOff>0</xdr:rowOff>
    </xdr:from>
    <xdr:to>
      <xdr:col>8</xdr:col>
      <xdr:colOff>0</xdr:colOff>
      <xdr:row>63</xdr:row>
      <xdr:rowOff>114300</xdr:rowOff>
    </xdr:to>
    <xdr:graphicFrame macro="">
      <xdr:nvGraphicFramePr>
        <xdr:cNvPr id="32785398" name="Chart 2">
          <a:extLst>
            <a:ext uri="{FF2B5EF4-FFF2-40B4-BE49-F238E27FC236}">
              <a16:creationId xmlns:a16="http://schemas.microsoft.com/office/drawing/2014/main" id="{00000000-0008-0000-5400-0000F643F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523875</xdr:colOff>
      <xdr:row>21</xdr:row>
      <xdr:rowOff>19050</xdr:rowOff>
    </xdr:from>
    <xdr:to>
      <xdr:col>8</xdr:col>
      <xdr:colOff>0</xdr:colOff>
      <xdr:row>39</xdr:row>
      <xdr:rowOff>9525</xdr:rowOff>
    </xdr:to>
    <xdr:graphicFrame macro="">
      <xdr:nvGraphicFramePr>
        <xdr:cNvPr id="32788469" name="Chart 1">
          <a:extLst>
            <a:ext uri="{FF2B5EF4-FFF2-40B4-BE49-F238E27FC236}">
              <a16:creationId xmlns:a16="http://schemas.microsoft.com/office/drawing/2014/main" id="{00000000-0008-0000-5500-0000F54FF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46</xdr:row>
      <xdr:rowOff>0</xdr:rowOff>
    </xdr:from>
    <xdr:to>
      <xdr:col>8</xdr:col>
      <xdr:colOff>0</xdr:colOff>
      <xdr:row>63</xdr:row>
      <xdr:rowOff>114300</xdr:rowOff>
    </xdr:to>
    <xdr:graphicFrame macro="">
      <xdr:nvGraphicFramePr>
        <xdr:cNvPr id="32788470" name="Chart 2">
          <a:extLst>
            <a:ext uri="{FF2B5EF4-FFF2-40B4-BE49-F238E27FC236}">
              <a16:creationId xmlns:a16="http://schemas.microsoft.com/office/drawing/2014/main" id="{00000000-0008-0000-5500-0000F64FF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31</xdr:row>
      <xdr:rowOff>114299</xdr:rowOff>
    </xdr:from>
    <xdr:to>
      <xdr:col>6</xdr:col>
      <xdr:colOff>523875</xdr:colOff>
      <xdr:row>48</xdr:row>
      <xdr:rowOff>0</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91541" name="Chart 1">
          <a:extLst>
            <a:ext uri="{FF2B5EF4-FFF2-40B4-BE49-F238E27FC236}">
              <a16:creationId xmlns:a16="http://schemas.microsoft.com/office/drawing/2014/main" id="{00000000-0008-0000-5600-0000F55BF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91542" name="Chart 2">
          <a:extLst>
            <a:ext uri="{FF2B5EF4-FFF2-40B4-BE49-F238E27FC236}">
              <a16:creationId xmlns:a16="http://schemas.microsoft.com/office/drawing/2014/main" id="{00000000-0008-0000-5600-0000F65BF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xdr:colOff>
      <xdr:row>63</xdr:row>
      <xdr:rowOff>9525</xdr:rowOff>
    </xdr:from>
    <xdr:to>
      <xdr:col>5</xdr:col>
      <xdr:colOff>628650</xdr:colOff>
      <xdr:row>113</xdr:row>
      <xdr:rowOff>28575</xdr:rowOff>
    </xdr:to>
    <xdr:graphicFrame macro="">
      <xdr:nvGraphicFramePr>
        <xdr:cNvPr id="65491994" name="Chart 1">
          <a:extLst>
            <a:ext uri="{FF2B5EF4-FFF2-40B4-BE49-F238E27FC236}">
              <a16:creationId xmlns:a16="http://schemas.microsoft.com/office/drawing/2014/main" id="{00000000-0008-0000-0B00-00001A54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152400</xdr:rowOff>
    </xdr:from>
    <xdr:to>
      <xdr:col>5</xdr:col>
      <xdr:colOff>600075</xdr:colOff>
      <xdr:row>113</xdr:row>
      <xdr:rowOff>9525</xdr:rowOff>
    </xdr:to>
    <xdr:graphicFrame macro="">
      <xdr:nvGraphicFramePr>
        <xdr:cNvPr id="65491995" name="Chart 1">
          <a:extLst>
            <a:ext uri="{FF2B5EF4-FFF2-40B4-BE49-F238E27FC236}">
              <a16:creationId xmlns:a16="http://schemas.microsoft.com/office/drawing/2014/main" id="{00000000-0008-0000-0B00-00001B54E7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2013</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0.98796</cdr:y>
    </cdr:to>
    <cdr:sp macro="" textlink="">
      <cdr:nvSpPr>
        <cdr:cNvPr id="8195" name="Text Box 3"/>
        <cdr:cNvSpPr txBox="1">
          <a:spLocks xmlns:a="http://schemas.openxmlformats.org/drawingml/2006/main" noChangeArrowheads="1"/>
        </cdr:cNvSpPr>
      </cdr:nvSpPr>
      <cdr:spPr bwMode="auto">
        <a:xfrm xmlns:a="http://schemas.openxmlformats.org/drawingml/2006/main">
          <a:off x="108098" y="7787296"/>
          <a:ext cx="845410" cy="2428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950" b="1" i="0" strike="noStrike">
              <a:solidFill>
                <a:srgbClr val="000000"/>
              </a:solidFill>
              <a:latin typeface="Arial"/>
              <a:cs typeface="Arial"/>
            </a:rPr>
            <a:t>Fuente :  INE</a:t>
          </a:r>
        </a:p>
      </cdr:txBody>
    </cdr:sp>
  </cdr:relSizeAnchor>
  <cdr:relSizeAnchor xmlns:cdr="http://schemas.openxmlformats.org/drawingml/2006/chartDrawing">
    <cdr:from>
      <cdr:x>0.16439</cdr:x>
      <cdr:y>0.51309</cdr:y>
    </cdr:from>
    <cdr:to>
      <cdr:x>0.31091</cdr:x>
      <cdr:y>0.63614</cdr:y>
    </cdr:to>
    <cdr:pic>
      <cdr:nvPicPr>
        <cdr:cNvPr id="8196" name="Picture 4">
          <a:extLst xmlns:a="http://schemas.openxmlformats.org/drawingml/2006/main">
            <a:ext uri="{FF2B5EF4-FFF2-40B4-BE49-F238E27FC236}">
              <a16:creationId xmlns:a16="http://schemas.microsoft.com/office/drawing/2014/main" id="{916FB1EE-B121-BA6E-4A38-E52D7E6CA6F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a:extLst xmlns:a="http://schemas.openxmlformats.org/drawingml/2006/main">
            <a:ext uri="{FF2B5EF4-FFF2-40B4-BE49-F238E27FC236}">
              <a16:creationId xmlns:a16="http://schemas.microsoft.com/office/drawing/2014/main" id="{0A4C3546-C0AB-D3C2-679A-8A2407234314}"/>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drawings/drawing9.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2023</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1</cdr:y>
    </cdr:to>
    <cdr:sp macro="" textlink="">
      <cdr:nvSpPr>
        <cdr:cNvPr id="8195" name="Text Box 3"/>
        <cdr:cNvSpPr txBox="1">
          <a:spLocks xmlns:a="http://schemas.openxmlformats.org/drawingml/2006/main" noChangeArrowheads="1"/>
        </cdr:cNvSpPr>
      </cdr:nvSpPr>
      <cdr:spPr bwMode="auto">
        <a:xfrm xmlns:a="http://schemas.openxmlformats.org/drawingml/2006/main">
          <a:off x="104695" y="7775025"/>
          <a:ext cx="843603" cy="3402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800" b="1" i="0" strike="noStrike">
              <a:solidFill>
                <a:srgbClr val="000000"/>
              </a:solidFill>
              <a:latin typeface="Arial"/>
              <a:cs typeface="Arial"/>
            </a:rPr>
            <a:t>Fuente :  INE censo</a:t>
          </a:r>
          <a:r>
            <a:rPr lang="es-ES" sz="800" b="1" i="0" strike="noStrike" baseline="0">
              <a:solidFill>
                <a:srgbClr val="000000"/>
              </a:solidFill>
              <a:latin typeface="Arial"/>
              <a:cs typeface="Arial"/>
            </a:rPr>
            <a:t> 2017</a:t>
          </a:r>
          <a:endParaRPr lang="es-ES" sz="800" b="1" i="0" strike="noStrike">
            <a:solidFill>
              <a:srgbClr val="000000"/>
            </a:solidFill>
            <a:latin typeface="Arial"/>
            <a:cs typeface="Arial"/>
          </a:endParaRPr>
        </a:p>
      </cdr:txBody>
    </cdr:sp>
  </cdr:relSizeAnchor>
  <cdr:relSizeAnchor xmlns:cdr="http://schemas.openxmlformats.org/drawingml/2006/chartDrawing">
    <cdr:from>
      <cdr:x>0.16439</cdr:x>
      <cdr:y>0.51309</cdr:y>
    </cdr:from>
    <cdr:to>
      <cdr:x>0.31091</cdr:x>
      <cdr:y>0.63614</cdr:y>
    </cdr:to>
    <cdr:pic>
      <cdr:nvPicPr>
        <cdr:cNvPr id="8196" name="Picture 4">
          <a:extLst xmlns:a="http://schemas.openxmlformats.org/drawingml/2006/main">
            <a:ext uri="{FF2B5EF4-FFF2-40B4-BE49-F238E27FC236}">
              <a16:creationId xmlns:a16="http://schemas.microsoft.com/office/drawing/2014/main" id="{9E6D0BBF-BA7A-B97E-448C-2A325976C0BB}"/>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a:extLst xmlns:a="http://schemas.openxmlformats.org/drawingml/2006/main">
            <a:ext uri="{FF2B5EF4-FFF2-40B4-BE49-F238E27FC236}">
              <a16:creationId xmlns:a16="http://schemas.microsoft.com/office/drawing/2014/main" id="{39385C1B-82FC-B82C-CE83-4EBE6C5130B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8.89.45\rem_45\Poblacion\POB_SSALUD_COMU_1990_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8.89.18\Rem_SSA\Rem2023\cons\A\108104A00.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8.89.18\Rem_SSA\Rem2023\cons\A\108011A00.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8.89.18\Rem_SSA\Rem2023\cons\A\200362A00.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8.89.18\Rem_SSA\Rem2023\cons\A\200462A00.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8.89.18\Rem_SSA\Rem2023\cons\A\201222A00.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8.89.45\rem_45\Rem2023\INTERCONSULTAS20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8.89.45\rem_45\Rem2023\cons\A\108000A00.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8.89.45\rem_45\Rem2023\cons\A\108307A00.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8.89.45\rem_45\Rem2023\cons\A\108707A00.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8.89.45\rem_45\Rem2023\cons\A\108404A00.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ilena%20Mira\Documents\Documentos\Poblacion\aconcagua-2002-2035-comunas.xlsx" TargetMode="External"/><Relationship Id="rId1" Type="http://schemas.openxmlformats.org/officeDocument/2006/relationships/externalLinkPath" Target="/Users/Milena%20Mira/Documents/Documentos/Poblacion/aconcagua-2002-2035-comuna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8.89.45\rem_45\Rem2023\cons\A\108306A00.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8.89.45\rem_45\Rem2023\cons\A\108302A00.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0.8.89.45\rem_45\Rem2023\cons\A\108700A00.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8.89.45\rem_45\Rem2023\cons\A\108308A00.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8.89.45\rem_45\Rem2023\cons\A\108405A0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8.89.45\rem_45\Rem2023\cons\A\108301A00.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0.8.89.45\rem_45\Rem2021\cons\A\108305Acon.xlsb"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8.89.45\rem_45\Rem2021\cons\A\108312Acon.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8.89.45\rem_45\Rem2021\cons\A\108712Acon.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8.89.45\rem_45\Rem2021\cons\A\108310Acon.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lena%20Mira/Documents/Documentos/Rp20/RP20%202023/Naci2023.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8.89.45\rem_45\Rem2021\cons\A\108304Acon.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8.89.45\rem_45\Rem2021\cons\A\200345Acon.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8.89.45\rem_45\Rem2021\cons\A\Postas406Acon.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8.89.45\rem_45\Rem2021\cons\A\108309Acon.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8.89.45\rem_45\Rem2021\cons\A\108409Acon.xlsb"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8.89.45\rem_45\Rem2021\cons\A\108709Acon.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8.89.45\rem_45\Rem2021\cons\A\108311Acon.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8.89.45\rem_45\Rem2021\cons\A\108300Acon.xlsb"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8.89.45\rem_45\Rem2021\cons\A\108303Acon.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0.8.89.45\rem_45\Rem2021\cons\A\108703Acon.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ilena%20Mira/Documents/Documentos/Rp20/RP20%202022/Naci2022.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0.8.89.45\rem_45\Rem2023\cons\A\108101A00.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8.89.45\rem_45\Rem2023\cons\A\200462A00.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8.89.45\rem_45\Rem2023\cons\A\108100A00.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0.8.89.45\rem_45\Rem2023\cons\A\108305A00.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0.8.89.45\rem_45\Rem2023\cons\A\108312A00.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0.8.89.45\rem_45\Rem2023\cons\A\108712A00.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0.8.89.45\rem_45\Rem2023\cons\A\200362A00.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0.8.89.45\rem_45\Rem2023\cons\A\108310A00.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8.89.45\rem_45\Rem2023\cons\A\108011A00.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10.8.89.45\rem_45\Rem2023\cons\A\108104A0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8.89.45\rem_45\Rem2022\cons\A\consulta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8.89.45\rem_45\Rem2023\cons\A\108304A00.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8.89.45\rem_45\Rem2023\cons\A\108105A00.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0.8.89.45\rem_45\Rem2023\cons\A\108309A00.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8.89.45\rem_45\Rem2023\cons\A\108102A00.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8.89.45\rem_45\Rem2023\cons\A\108300A00.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0.8.89.45\rem_45\Rem2023\cons\A\108303A00.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0.8.89.45\rem_45\Rem2023\cons\A\108703A00.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8.89.45\rem_45\Rem2022\cons\D\108000D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8.89.45\rem_45\Rem2021\cons\D\108000D0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8.89.45\rem_45\Rem2022\cons\A\POSTAS401A0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8.89.45\rem_45\Rem2023\cons\A\consult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8.89.45\rem_45\Rem2022\cons\A\POSTAS406A00.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8.89.45\rem_45\Rem2023\cons\A\200345A00.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10.8.89.45\rem_45\Rem2023\cons\A\108409A00.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8.89.45\rem_45\Rem2023\cons\A\108709A00.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8.89.45\rem_45\Rem2023\cons\A\108311A00.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8.89.45\rem_45\Rem2023\Rem12\P\108307P12.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0.8.89.45\rem_45\Rem2023\Rem12\P\108707P12.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8.89.45\rem_45\Rem2023\Rem12\P\108306P12.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8.89.45\rem_45\Rem2023\Rem12\P\108302P12.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8.89.45\rem_45\Rem2023\Rem12\P\108700P12.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10.8.89.18\Rem_SSA\Rem2023\cons\A\108100A00.xlsm" TargetMode="External"/><Relationship Id="rId1" Type="http://schemas.openxmlformats.org/officeDocument/2006/relationships/externalLinkPath" Target="file:///\\10.8.89.18\Rem_SSA\Rem2023\cons\A\108100A00.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0.8.89.45\rem_45\Rem2023\Rem12\P\108308P12.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8.89.45\rem_45\Rem2023\Rem12\P\108301P12.xlsm"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8.89.45\rem_45\Rem2023\Rem12\P\108305P12.xlsm"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8.89.45\rem_45\Rem2023\Rem12\P\108312P12.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10.8.89.45\rem_45\Rem2023\Rem12\P\108712P12.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8.89.45\rem_45\Rem2023\Rem12\P\108310P12.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8.89.45\rem_45\Rem2023\Rem12\P\108304P12.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8.89.45\rem_45\Rem2023\Rem12\P\200345P12.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8.89.45\rem_45\Rem2023\Rem12\P\108309P12.xlsm"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8.89.45\rem_45\Rem2023\Rem12\P\108709P1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8.89.18\Rem_SSA\Rem2023\cons\A\108101A00.xlsm"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8.89.45\rem_45\Rem2023\Rem12\P\108311P12.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8.89.45\rem_45\Rem2023\Rem12\P\108300P12.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10.8.89.45\rem_45\Rem2023\Rem12\P\108303P12.xlsm"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10.8.89.45\rem_45\Rem2023\Rem12\P\108703P12.xlsm"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8.89.45\rem_45\Rem2023\Rem12\P\200362P12.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10.8.89.45\rem_45\Rem2023\Rem12\P\200462P12.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8.89.45\rem_45\Rem2022\cons\A\108703A00.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0.8.89.45\rem_45\Rem2023\cons\A\201045A00.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0.8.89.45\rem_45\Rem2023\cons\A\108811A00.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10.8.89.45\rem_45\Rem2023\cons\A\108munA00.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8.89.18\Rem_SSA\Rem2023\cons\A\108102A00.xlsm"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10.8.89.18\Rem_SSA\Rem2023\cons\B\108305BS00.xlsm"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0.8.89.18\Rem_SSA\Rem2023\cons\B\108306BS00.xlsm"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10.8.89.18\Rem_SSA\Rem2023\cons\B\108300BS00.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8.89.18\Rem_SSA\Rem2023\cons\B\108000BM00.xlsm" TargetMode="External"/></Relationships>
</file>

<file path=xl/externalLinks/_rels/externalLink94.xml.rels><?xml version="1.0" encoding="UTF-8" standalone="yes"?>
<Relationships xmlns="http://schemas.openxmlformats.org/package/2006/relationships"><Relationship Id="rId2" Type="http://schemas.openxmlformats.org/officeDocument/2006/relationships/externalLinkPath" Target="file:///D:\Mem%202023%20V1\MEMORIA%20SSA%202023%20GP.xlsx" TargetMode="External"/><Relationship Id="rId1" Type="http://schemas.openxmlformats.org/officeDocument/2006/relationships/externalLinkPath" Target="file:///D:\Mem%202023%20V1\MEMORIA%20SSA%202023%20G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Hoja1"/>
      <sheetName val="20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row r="71">
          <cell r="B71">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row r="71">
          <cell r="B71">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row r="71">
          <cell r="B71">
            <v>3352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row r="71">
          <cell r="B71">
            <v>3565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row r="71">
          <cell r="B71">
            <v>380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
      <sheetName val="feb"/>
      <sheetName val="marz"/>
      <sheetName val="abril"/>
      <sheetName val="mayo"/>
      <sheetName val="junio"/>
      <sheetName val="julio"/>
      <sheetName val="agosto"/>
      <sheetName val="sept"/>
      <sheetName val="oct"/>
      <sheetName val="nov"/>
      <sheetName val="dic"/>
      <sheetName val="con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D5">
            <v>39</v>
          </cell>
          <cell r="E5">
            <v>0</v>
          </cell>
          <cell r="F5">
            <v>87</v>
          </cell>
          <cell r="G5">
            <v>0</v>
          </cell>
          <cell r="H5">
            <v>96</v>
          </cell>
          <cell r="I5">
            <v>0</v>
          </cell>
          <cell r="J5">
            <v>53</v>
          </cell>
          <cell r="K5">
            <v>3</v>
          </cell>
          <cell r="L5">
            <v>42</v>
          </cell>
          <cell r="M5">
            <v>6</v>
          </cell>
          <cell r="N5">
            <v>20</v>
          </cell>
          <cell r="O5">
            <v>0</v>
          </cell>
          <cell r="P5">
            <v>108</v>
          </cell>
          <cell r="Q5">
            <v>0</v>
          </cell>
          <cell r="R5">
            <v>261</v>
          </cell>
          <cell r="S5">
            <v>0</v>
          </cell>
          <cell r="T5">
            <v>52</v>
          </cell>
          <cell r="U5">
            <v>0</v>
          </cell>
          <cell r="V5">
            <v>72</v>
          </cell>
          <cell r="W5">
            <v>0</v>
          </cell>
          <cell r="X5">
            <v>33</v>
          </cell>
          <cell r="Y5">
            <v>0</v>
          </cell>
          <cell r="Z5">
            <v>44</v>
          </cell>
          <cell r="AA5">
            <v>0</v>
          </cell>
          <cell r="AB5">
            <v>92</v>
          </cell>
          <cell r="AC5">
            <v>0</v>
          </cell>
        </row>
        <row r="6">
          <cell r="D6">
            <v>0</v>
          </cell>
          <cell r="E6">
            <v>389</v>
          </cell>
          <cell r="F6">
            <v>0</v>
          </cell>
          <cell r="G6">
            <v>463</v>
          </cell>
          <cell r="H6">
            <v>42</v>
          </cell>
          <cell r="I6">
            <v>355</v>
          </cell>
          <cell r="J6">
            <v>37</v>
          </cell>
          <cell r="K6">
            <v>204</v>
          </cell>
          <cell r="L6">
            <v>0</v>
          </cell>
          <cell r="M6">
            <v>275</v>
          </cell>
          <cell r="N6">
            <v>0</v>
          </cell>
          <cell r="O6">
            <v>200</v>
          </cell>
          <cell r="P6">
            <v>0</v>
          </cell>
          <cell r="Q6">
            <v>623</v>
          </cell>
          <cell r="R6">
            <v>1</v>
          </cell>
          <cell r="S6">
            <v>787</v>
          </cell>
          <cell r="T6">
            <v>0</v>
          </cell>
          <cell r="U6">
            <v>161</v>
          </cell>
          <cell r="V6">
            <v>2</v>
          </cell>
          <cell r="W6">
            <v>800</v>
          </cell>
          <cell r="X6">
            <v>1</v>
          </cell>
          <cell r="Y6">
            <v>135</v>
          </cell>
          <cell r="Z6">
            <v>1</v>
          </cell>
          <cell r="AA6">
            <v>296</v>
          </cell>
          <cell r="AB6">
            <v>0</v>
          </cell>
          <cell r="AC6">
            <v>416</v>
          </cell>
        </row>
        <row r="7">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row>
        <row r="8">
          <cell r="D8">
            <v>0</v>
          </cell>
          <cell r="E8">
            <v>0</v>
          </cell>
          <cell r="F8">
            <v>0</v>
          </cell>
          <cell r="G8">
            <v>0</v>
          </cell>
          <cell r="H8">
            <v>0</v>
          </cell>
          <cell r="I8">
            <v>0</v>
          </cell>
          <cell r="J8">
            <v>2</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row>
        <row r="9">
          <cell r="D9">
            <v>0</v>
          </cell>
          <cell r="E9">
            <v>5</v>
          </cell>
          <cell r="F9">
            <v>0</v>
          </cell>
          <cell r="G9">
            <v>1</v>
          </cell>
          <cell r="H9">
            <v>0</v>
          </cell>
          <cell r="I9">
            <v>0</v>
          </cell>
          <cell r="J9">
            <v>0</v>
          </cell>
          <cell r="K9">
            <v>3</v>
          </cell>
          <cell r="L9">
            <v>0</v>
          </cell>
          <cell r="M9">
            <v>1</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row>
        <row r="10">
          <cell r="D10">
            <v>0</v>
          </cell>
          <cell r="E10">
            <v>0</v>
          </cell>
          <cell r="F10">
            <v>3</v>
          </cell>
          <cell r="G10">
            <v>0</v>
          </cell>
          <cell r="H10">
            <v>0</v>
          </cell>
          <cell r="I10">
            <v>0</v>
          </cell>
          <cell r="J10">
            <v>4</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row>
        <row r="11">
          <cell r="D11">
            <v>0</v>
          </cell>
          <cell r="E11">
            <v>0</v>
          </cell>
          <cell r="F11">
            <v>0</v>
          </cell>
          <cell r="G11">
            <v>1</v>
          </cell>
          <cell r="H11">
            <v>0</v>
          </cell>
          <cell r="I11">
            <v>0</v>
          </cell>
          <cell r="J11">
            <v>0</v>
          </cell>
          <cell r="K11">
            <v>2</v>
          </cell>
          <cell r="L11">
            <v>0</v>
          </cell>
          <cell r="M11">
            <v>0</v>
          </cell>
          <cell r="N11">
            <v>0</v>
          </cell>
          <cell r="O11">
            <v>1</v>
          </cell>
          <cell r="P11">
            <v>0</v>
          </cell>
          <cell r="Q11">
            <v>0</v>
          </cell>
          <cell r="R11">
            <v>0</v>
          </cell>
          <cell r="S11">
            <v>0</v>
          </cell>
          <cell r="T11">
            <v>0</v>
          </cell>
          <cell r="U11">
            <v>0</v>
          </cell>
          <cell r="V11">
            <v>0</v>
          </cell>
          <cell r="W11">
            <v>0</v>
          </cell>
          <cell r="X11">
            <v>0</v>
          </cell>
          <cell r="Y11">
            <v>0</v>
          </cell>
          <cell r="Z11">
            <v>0</v>
          </cell>
          <cell r="AA11">
            <v>0</v>
          </cell>
          <cell r="AB11">
            <v>0</v>
          </cell>
          <cell r="AC11">
            <v>0</v>
          </cell>
        </row>
        <row r="12">
          <cell r="D12">
            <v>0</v>
          </cell>
          <cell r="E12">
            <v>0</v>
          </cell>
          <cell r="F12">
            <v>0</v>
          </cell>
          <cell r="G12">
            <v>0</v>
          </cell>
          <cell r="H12">
            <v>0</v>
          </cell>
          <cell r="I12">
            <v>0</v>
          </cell>
          <cell r="J12">
            <v>1</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D13">
            <v>0</v>
          </cell>
          <cell r="E13">
            <v>0</v>
          </cell>
          <cell r="F13">
            <v>0</v>
          </cell>
          <cell r="G13">
            <v>0</v>
          </cell>
          <cell r="H13">
            <v>0</v>
          </cell>
          <cell r="I13">
            <v>0</v>
          </cell>
          <cell r="J13">
            <v>0</v>
          </cell>
          <cell r="K13">
            <v>0</v>
          </cell>
          <cell r="L13">
            <v>0</v>
          </cell>
          <cell r="M13">
            <v>3</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D14">
            <v>0</v>
          </cell>
          <cell r="E14">
            <v>0</v>
          </cell>
          <cell r="F14">
            <v>0</v>
          </cell>
          <cell r="G14">
            <v>0</v>
          </cell>
          <cell r="H14">
            <v>0</v>
          </cell>
          <cell r="I14">
            <v>0</v>
          </cell>
          <cell r="J14">
            <v>1</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row>
        <row r="19">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row>
        <row r="20">
          <cell r="D20">
            <v>0</v>
          </cell>
          <cell r="E20">
            <v>0</v>
          </cell>
          <cell r="F20">
            <v>0</v>
          </cell>
          <cell r="G20">
            <v>1</v>
          </cell>
          <cell r="H20">
            <v>0</v>
          </cell>
          <cell r="I20">
            <v>0</v>
          </cell>
          <cell r="J20">
            <v>0</v>
          </cell>
          <cell r="K20">
            <v>1</v>
          </cell>
          <cell r="L20">
            <v>0</v>
          </cell>
          <cell r="M20">
            <v>0</v>
          </cell>
          <cell r="N20">
            <v>0</v>
          </cell>
          <cell r="O20">
            <v>0</v>
          </cell>
          <cell r="P20">
            <v>0</v>
          </cell>
          <cell r="Q20">
            <v>5</v>
          </cell>
          <cell r="R20">
            <v>0</v>
          </cell>
          <cell r="S20">
            <v>0</v>
          </cell>
          <cell r="T20">
            <v>0</v>
          </cell>
          <cell r="U20">
            <v>0</v>
          </cell>
          <cell r="V20">
            <v>0</v>
          </cell>
          <cell r="W20">
            <v>0</v>
          </cell>
          <cell r="X20">
            <v>0</v>
          </cell>
          <cell r="Y20">
            <v>0</v>
          </cell>
          <cell r="Z20">
            <v>0</v>
          </cell>
          <cell r="AA20">
            <v>11</v>
          </cell>
          <cell r="AB20">
            <v>0</v>
          </cell>
          <cell r="AC20">
            <v>0</v>
          </cell>
        </row>
        <row r="21">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row>
        <row r="24">
          <cell r="D24">
            <v>0</v>
          </cell>
          <cell r="E24">
            <v>0</v>
          </cell>
          <cell r="F24">
            <v>0</v>
          </cell>
          <cell r="G24">
            <v>0</v>
          </cell>
          <cell r="H24">
            <v>0</v>
          </cell>
          <cell r="I24">
            <v>0</v>
          </cell>
          <cell r="J24">
            <v>0</v>
          </cell>
          <cell r="K24">
            <v>0</v>
          </cell>
          <cell r="L24">
            <v>0</v>
          </cell>
          <cell r="M24">
            <v>0</v>
          </cell>
          <cell r="N24">
            <v>0</v>
          </cell>
          <cell r="O24">
            <v>1</v>
          </cell>
          <cell r="P24">
            <v>0</v>
          </cell>
          <cell r="Q24">
            <v>0</v>
          </cell>
          <cell r="R24">
            <v>0</v>
          </cell>
          <cell r="S24">
            <v>7</v>
          </cell>
          <cell r="T24">
            <v>0</v>
          </cell>
          <cell r="U24">
            <v>11</v>
          </cell>
          <cell r="V24">
            <v>0</v>
          </cell>
          <cell r="W24">
            <v>0</v>
          </cell>
          <cell r="X24">
            <v>0</v>
          </cell>
          <cell r="Y24">
            <v>0</v>
          </cell>
          <cell r="Z24">
            <v>0</v>
          </cell>
          <cell r="AA24">
            <v>3</v>
          </cell>
          <cell r="AB24">
            <v>0</v>
          </cell>
          <cell r="AC24">
            <v>1</v>
          </cell>
        </row>
        <row r="25">
          <cell r="D25">
            <v>1</v>
          </cell>
          <cell r="E25">
            <v>22</v>
          </cell>
          <cell r="F25">
            <v>16</v>
          </cell>
          <cell r="G25">
            <v>74</v>
          </cell>
          <cell r="H25">
            <v>2</v>
          </cell>
          <cell r="I25">
            <v>11</v>
          </cell>
          <cell r="J25">
            <v>8</v>
          </cell>
          <cell r="K25">
            <v>33</v>
          </cell>
          <cell r="L25">
            <v>2</v>
          </cell>
          <cell r="M25">
            <v>17</v>
          </cell>
          <cell r="N25">
            <v>6</v>
          </cell>
          <cell r="O25">
            <v>17</v>
          </cell>
          <cell r="P25">
            <v>17</v>
          </cell>
          <cell r="Q25">
            <v>52</v>
          </cell>
          <cell r="R25">
            <v>4</v>
          </cell>
          <cell r="S25">
            <v>26</v>
          </cell>
          <cell r="T25">
            <v>1</v>
          </cell>
          <cell r="U25">
            <v>22</v>
          </cell>
          <cell r="V25">
            <v>4</v>
          </cell>
          <cell r="W25">
            <v>36</v>
          </cell>
          <cell r="X25">
            <v>0</v>
          </cell>
          <cell r="Y25">
            <v>22</v>
          </cell>
          <cell r="Z25">
            <v>19</v>
          </cell>
          <cell r="AA25">
            <v>63</v>
          </cell>
          <cell r="AB25">
            <v>1</v>
          </cell>
          <cell r="AC25">
            <v>18</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1</v>
          </cell>
          <cell r="AC26">
            <v>7</v>
          </cell>
        </row>
        <row r="27">
          <cell r="D27">
            <v>0</v>
          </cell>
          <cell r="E27">
            <v>8</v>
          </cell>
          <cell r="F27">
            <v>0</v>
          </cell>
          <cell r="G27">
            <v>27</v>
          </cell>
          <cell r="H27">
            <v>0</v>
          </cell>
          <cell r="I27">
            <v>9</v>
          </cell>
          <cell r="J27">
            <v>1</v>
          </cell>
          <cell r="K27">
            <v>11</v>
          </cell>
          <cell r="L27">
            <v>0</v>
          </cell>
          <cell r="M27">
            <v>17</v>
          </cell>
          <cell r="N27">
            <v>0</v>
          </cell>
          <cell r="O27">
            <v>0</v>
          </cell>
          <cell r="P27">
            <v>0</v>
          </cell>
          <cell r="Q27">
            <v>1</v>
          </cell>
          <cell r="R27">
            <v>0</v>
          </cell>
          <cell r="S27">
            <v>0</v>
          </cell>
          <cell r="T27">
            <v>0</v>
          </cell>
          <cell r="U27">
            <v>0</v>
          </cell>
          <cell r="V27">
            <v>0</v>
          </cell>
          <cell r="W27">
            <v>0</v>
          </cell>
          <cell r="X27">
            <v>0</v>
          </cell>
          <cell r="Y27">
            <v>0</v>
          </cell>
          <cell r="Z27">
            <v>0</v>
          </cell>
          <cell r="AA27">
            <v>0</v>
          </cell>
          <cell r="AB27">
            <v>0</v>
          </cell>
          <cell r="AC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row>
        <row r="30">
          <cell r="D30">
            <v>0</v>
          </cell>
          <cell r="E30">
            <v>0</v>
          </cell>
          <cell r="F30">
            <v>2</v>
          </cell>
          <cell r="G30">
            <v>0</v>
          </cell>
          <cell r="H30">
            <v>1</v>
          </cell>
          <cell r="I30">
            <v>0</v>
          </cell>
          <cell r="J30">
            <v>1</v>
          </cell>
          <cell r="K30">
            <v>0</v>
          </cell>
          <cell r="L30">
            <v>0</v>
          </cell>
          <cell r="M30">
            <v>1</v>
          </cell>
          <cell r="N30">
            <v>0</v>
          </cell>
          <cell r="O30">
            <v>0</v>
          </cell>
          <cell r="P30">
            <v>7</v>
          </cell>
          <cell r="Q30">
            <v>0</v>
          </cell>
          <cell r="R30">
            <v>2</v>
          </cell>
          <cell r="S30">
            <v>2</v>
          </cell>
          <cell r="T30">
            <v>0</v>
          </cell>
          <cell r="U30">
            <v>0</v>
          </cell>
          <cell r="V30">
            <v>0</v>
          </cell>
          <cell r="W30">
            <v>0</v>
          </cell>
          <cell r="X30">
            <v>0</v>
          </cell>
          <cell r="Y30">
            <v>0</v>
          </cell>
          <cell r="Z30">
            <v>4</v>
          </cell>
          <cell r="AA30">
            <v>1</v>
          </cell>
          <cell r="AB30">
            <v>1</v>
          </cell>
          <cell r="AC30">
            <v>0</v>
          </cell>
        </row>
        <row r="31">
          <cell r="D31">
            <v>0</v>
          </cell>
          <cell r="E31">
            <v>7</v>
          </cell>
          <cell r="F31">
            <v>0</v>
          </cell>
          <cell r="G31">
            <v>25</v>
          </cell>
          <cell r="H31">
            <v>0</v>
          </cell>
          <cell r="I31">
            <v>17</v>
          </cell>
          <cell r="J31">
            <v>0</v>
          </cell>
          <cell r="K31">
            <v>0</v>
          </cell>
          <cell r="L31">
            <v>0</v>
          </cell>
          <cell r="M31">
            <v>3</v>
          </cell>
          <cell r="N31">
            <v>0</v>
          </cell>
          <cell r="O31">
            <v>0</v>
          </cell>
          <cell r="P31">
            <v>0</v>
          </cell>
          <cell r="Q31">
            <v>41</v>
          </cell>
          <cell r="R31">
            <v>0</v>
          </cell>
          <cell r="S31">
            <v>28</v>
          </cell>
          <cell r="T31">
            <v>0</v>
          </cell>
          <cell r="U31">
            <v>6</v>
          </cell>
          <cell r="V31">
            <v>0</v>
          </cell>
          <cell r="W31">
            <v>6</v>
          </cell>
          <cell r="X31">
            <v>0</v>
          </cell>
          <cell r="Y31">
            <v>0</v>
          </cell>
          <cell r="Z31">
            <v>0</v>
          </cell>
          <cell r="AA31">
            <v>2</v>
          </cell>
          <cell r="AB31">
            <v>0</v>
          </cell>
          <cell r="AC31">
            <v>3</v>
          </cell>
        </row>
        <row r="32">
          <cell r="D32">
            <v>41</v>
          </cell>
          <cell r="E32">
            <v>0</v>
          </cell>
          <cell r="F32">
            <v>27</v>
          </cell>
          <cell r="G32">
            <v>2</v>
          </cell>
          <cell r="H32">
            <v>41</v>
          </cell>
          <cell r="I32">
            <v>0</v>
          </cell>
          <cell r="J32">
            <v>18</v>
          </cell>
          <cell r="K32">
            <v>1</v>
          </cell>
          <cell r="L32">
            <v>25</v>
          </cell>
          <cell r="M32">
            <v>5</v>
          </cell>
          <cell r="N32">
            <v>18</v>
          </cell>
          <cell r="O32">
            <v>0</v>
          </cell>
          <cell r="P32">
            <v>79</v>
          </cell>
          <cell r="Q32">
            <v>0</v>
          </cell>
          <cell r="R32">
            <v>150</v>
          </cell>
          <cell r="S32">
            <v>0</v>
          </cell>
          <cell r="T32">
            <v>32</v>
          </cell>
          <cell r="U32">
            <v>0</v>
          </cell>
          <cell r="V32">
            <v>112</v>
          </cell>
          <cell r="W32">
            <v>0</v>
          </cell>
          <cell r="X32">
            <v>23</v>
          </cell>
          <cell r="Y32">
            <v>0</v>
          </cell>
          <cell r="Z32">
            <v>29</v>
          </cell>
          <cell r="AA32">
            <v>0</v>
          </cell>
          <cell r="AB32">
            <v>35</v>
          </cell>
          <cell r="AC32">
            <v>0</v>
          </cell>
        </row>
        <row r="33">
          <cell r="D33">
            <v>0</v>
          </cell>
          <cell r="E33">
            <v>75</v>
          </cell>
          <cell r="F33">
            <v>0</v>
          </cell>
          <cell r="G33">
            <v>83</v>
          </cell>
          <cell r="H33">
            <v>0</v>
          </cell>
          <cell r="I33">
            <v>73</v>
          </cell>
          <cell r="J33">
            <v>10</v>
          </cell>
          <cell r="K33">
            <v>45</v>
          </cell>
          <cell r="L33">
            <v>0</v>
          </cell>
          <cell r="M33">
            <v>56</v>
          </cell>
          <cell r="N33">
            <v>0</v>
          </cell>
          <cell r="O33">
            <v>29</v>
          </cell>
          <cell r="P33">
            <v>1</v>
          </cell>
          <cell r="Q33">
            <v>142</v>
          </cell>
          <cell r="R33">
            <v>1</v>
          </cell>
          <cell r="S33">
            <v>157</v>
          </cell>
          <cell r="T33">
            <v>0</v>
          </cell>
          <cell r="U33">
            <v>40</v>
          </cell>
          <cell r="V33">
            <v>5</v>
          </cell>
          <cell r="W33">
            <v>101</v>
          </cell>
          <cell r="X33">
            <v>0</v>
          </cell>
          <cell r="Y33">
            <v>31</v>
          </cell>
          <cell r="Z33">
            <v>1</v>
          </cell>
          <cell r="AA33">
            <v>81</v>
          </cell>
          <cell r="AB33">
            <v>0</v>
          </cell>
          <cell r="AC33">
            <v>69</v>
          </cell>
        </row>
        <row r="34">
          <cell r="D34">
            <v>0</v>
          </cell>
          <cell r="E34">
            <v>0</v>
          </cell>
          <cell r="F34">
            <v>0</v>
          </cell>
          <cell r="G34">
            <v>0</v>
          </cell>
          <cell r="H34">
            <v>0</v>
          </cell>
          <cell r="I34">
            <v>0</v>
          </cell>
          <cell r="J34">
            <v>0</v>
          </cell>
          <cell r="K34">
            <v>0</v>
          </cell>
          <cell r="L34">
            <v>0</v>
          </cell>
          <cell r="M34">
            <v>8</v>
          </cell>
          <cell r="N34">
            <v>0</v>
          </cell>
          <cell r="O34">
            <v>0</v>
          </cell>
          <cell r="P34">
            <v>0</v>
          </cell>
          <cell r="Q34">
            <v>0</v>
          </cell>
          <cell r="R34">
            <v>0</v>
          </cell>
          <cell r="S34">
            <v>0</v>
          </cell>
          <cell r="T34">
            <v>0</v>
          </cell>
          <cell r="U34">
            <v>0</v>
          </cell>
          <cell r="V34">
            <v>0</v>
          </cell>
          <cell r="W34">
            <v>0</v>
          </cell>
          <cell r="X34">
            <v>0</v>
          </cell>
          <cell r="Y34">
            <v>0</v>
          </cell>
          <cell r="Z34">
            <v>0</v>
          </cell>
          <cell r="AA34">
            <v>1</v>
          </cell>
          <cell r="AB34">
            <v>0</v>
          </cell>
          <cell r="AC34">
            <v>0</v>
          </cell>
        </row>
        <row r="35">
          <cell r="D35">
            <v>6</v>
          </cell>
          <cell r="E35">
            <v>0</v>
          </cell>
          <cell r="F35">
            <v>28</v>
          </cell>
          <cell r="G35">
            <v>0</v>
          </cell>
          <cell r="H35">
            <v>11</v>
          </cell>
          <cell r="I35">
            <v>0</v>
          </cell>
          <cell r="J35">
            <v>8</v>
          </cell>
          <cell r="K35">
            <v>0</v>
          </cell>
          <cell r="L35">
            <v>7</v>
          </cell>
          <cell r="M35">
            <v>2</v>
          </cell>
          <cell r="N35">
            <v>2</v>
          </cell>
          <cell r="O35">
            <v>0</v>
          </cell>
          <cell r="P35">
            <v>14</v>
          </cell>
          <cell r="Q35">
            <v>0</v>
          </cell>
          <cell r="R35">
            <v>49</v>
          </cell>
          <cell r="S35">
            <v>0</v>
          </cell>
          <cell r="T35">
            <v>0</v>
          </cell>
          <cell r="U35">
            <v>0</v>
          </cell>
          <cell r="V35">
            <v>3</v>
          </cell>
          <cell r="W35">
            <v>0</v>
          </cell>
          <cell r="X35">
            <v>6</v>
          </cell>
          <cell r="Y35">
            <v>0</v>
          </cell>
          <cell r="Z35">
            <v>3</v>
          </cell>
          <cell r="AA35">
            <v>1</v>
          </cell>
          <cell r="AB35">
            <v>16</v>
          </cell>
          <cell r="AC35">
            <v>0</v>
          </cell>
        </row>
        <row r="36">
          <cell r="D36">
            <v>0</v>
          </cell>
          <cell r="E36">
            <v>50</v>
          </cell>
          <cell r="F36">
            <v>0</v>
          </cell>
          <cell r="G36">
            <v>72</v>
          </cell>
          <cell r="H36">
            <v>0</v>
          </cell>
          <cell r="I36">
            <v>36</v>
          </cell>
          <cell r="J36">
            <v>0</v>
          </cell>
          <cell r="K36">
            <v>13</v>
          </cell>
          <cell r="L36">
            <v>0</v>
          </cell>
          <cell r="M36">
            <v>42</v>
          </cell>
          <cell r="N36">
            <v>0</v>
          </cell>
          <cell r="O36">
            <v>5</v>
          </cell>
          <cell r="P36">
            <v>0</v>
          </cell>
          <cell r="Q36">
            <v>84</v>
          </cell>
          <cell r="R36">
            <v>0</v>
          </cell>
          <cell r="S36">
            <v>107</v>
          </cell>
          <cell r="T36">
            <v>0</v>
          </cell>
          <cell r="U36">
            <v>1</v>
          </cell>
          <cell r="V36">
            <v>1</v>
          </cell>
          <cell r="W36">
            <v>4</v>
          </cell>
          <cell r="X36">
            <v>2</v>
          </cell>
          <cell r="Y36">
            <v>6</v>
          </cell>
          <cell r="Z36">
            <v>0</v>
          </cell>
          <cell r="AA36">
            <v>43</v>
          </cell>
          <cell r="AB36">
            <v>0</v>
          </cell>
          <cell r="AC36">
            <v>52</v>
          </cell>
        </row>
        <row r="37">
          <cell r="D37">
            <v>45</v>
          </cell>
          <cell r="E37">
            <v>0</v>
          </cell>
          <cell r="F37">
            <v>94</v>
          </cell>
          <cell r="G37">
            <v>0</v>
          </cell>
          <cell r="H37">
            <v>67</v>
          </cell>
          <cell r="I37">
            <v>0</v>
          </cell>
          <cell r="J37">
            <v>27</v>
          </cell>
          <cell r="K37">
            <v>3</v>
          </cell>
          <cell r="L37">
            <v>27</v>
          </cell>
          <cell r="M37">
            <v>5</v>
          </cell>
          <cell r="N37">
            <v>15</v>
          </cell>
          <cell r="O37">
            <v>0</v>
          </cell>
          <cell r="P37">
            <v>79</v>
          </cell>
          <cell r="Q37">
            <v>0</v>
          </cell>
          <cell r="R37">
            <v>137</v>
          </cell>
          <cell r="S37">
            <v>1</v>
          </cell>
          <cell r="T37">
            <v>35</v>
          </cell>
          <cell r="U37">
            <v>0</v>
          </cell>
          <cell r="V37">
            <v>54</v>
          </cell>
          <cell r="W37">
            <v>0</v>
          </cell>
          <cell r="X37">
            <v>19</v>
          </cell>
          <cell r="Y37">
            <v>0</v>
          </cell>
          <cell r="Z37">
            <v>34</v>
          </cell>
          <cell r="AA37">
            <v>0</v>
          </cell>
          <cell r="AB37">
            <v>55</v>
          </cell>
          <cell r="AC37">
            <v>0</v>
          </cell>
        </row>
        <row r="38">
          <cell r="D38">
            <v>0</v>
          </cell>
          <cell r="E38">
            <v>283</v>
          </cell>
          <cell r="F38">
            <v>0</v>
          </cell>
          <cell r="G38">
            <v>252</v>
          </cell>
          <cell r="H38">
            <v>0</v>
          </cell>
          <cell r="I38">
            <v>188</v>
          </cell>
          <cell r="J38">
            <v>21</v>
          </cell>
          <cell r="K38">
            <v>248</v>
          </cell>
          <cell r="L38">
            <v>0</v>
          </cell>
          <cell r="M38">
            <v>157</v>
          </cell>
          <cell r="N38">
            <v>0</v>
          </cell>
          <cell r="O38">
            <v>96</v>
          </cell>
          <cell r="P38">
            <v>0</v>
          </cell>
          <cell r="Q38">
            <v>468</v>
          </cell>
          <cell r="R38">
            <v>0</v>
          </cell>
          <cell r="S38">
            <v>592</v>
          </cell>
          <cell r="T38">
            <v>0</v>
          </cell>
          <cell r="U38">
            <v>287</v>
          </cell>
          <cell r="V38">
            <v>0</v>
          </cell>
          <cell r="W38">
            <v>419</v>
          </cell>
          <cell r="X38">
            <v>0</v>
          </cell>
          <cell r="Y38">
            <v>150</v>
          </cell>
          <cell r="Z38">
            <v>0</v>
          </cell>
          <cell r="AA38">
            <v>194</v>
          </cell>
          <cell r="AB38">
            <v>0</v>
          </cell>
          <cell r="AC38">
            <v>162</v>
          </cell>
        </row>
        <row r="39">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row>
        <row r="40">
          <cell r="D40">
            <v>0</v>
          </cell>
          <cell r="E40">
            <v>0</v>
          </cell>
          <cell r="F40">
            <v>0</v>
          </cell>
          <cell r="G40">
            <v>0</v>
          </cell>
          <cell r="H40">
            <v>0</v>
          </cell>
          <cell r="I40">
            <v>0</v>
          </cell>
          <cell r="J40">
            <v>8</v>
          </cell>
          <cell r="K40">
            <v>10</v>
          </cell>
          <cell r="L40">
            <v>0</v>
          </cell>
          <cell r="M40">
            <v>0</v>
          </cell>
          <cell r="N40">
            <v>0</v>
          </cell>
          <cell r="O40">
            <v>4</v>
          </cell>
          <cell r="P40">
            <v>0</v>
          </cell>
          <cell r="Q40">
            <v>0</v>
          </cell>
          <cell r="R40">
            <v>0</v>
          </cell>
          <cell r="S40">
            <v>1</v>
          </cell>
          <cell r="T40">
            <v>0</v>
          </cell>
          <cell r="U40">
            <v>4</v>
          </cell>
          <cell r="V40">
            <v>0</v>
          </cell>
          <cell r="W40">
            <v>1</v>
          </cell>
          <cell r="X40">
            <v>0</v>
          </cell>
          <cell r="Y40">
            <v>0</v>
          </cell>
          <cell r="Z40">
            <v>0</v>
          </cell>
          <cell r="AA40">
            <v>10</v>
          </cell>
          <cell r="AB40">
            <v>0</v>
          </cell>
          <cell r="AC40">
            <v>0</v>
          </cell>
        </row>
        <row r="41">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row>
        <row r="42">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row>
        <row r="44">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row>
        <row r="45">
          <cell r="D45">
            <v>0</v>
          </cell>
          <cell r="E45">
            <v>0</v>
          </cell>
          <cell r="F45">
            <v>0</v>
          </cell>
          <cell r="G45">
            <v>23</v>
          </cell>
          <cell r="H45">
            <v>0</v>
          </cell>
          <cell r="I45">
            <v>0</v>
          </cell>
          <cell r="J45">
            <v>0</v>
          </cell>
          <cell r="K45">
            <v>0</v>
          </cell>
          <cell r="L45">
            <v>0</v>
          </cell>
          <cell r="M45">
            <v>0</v>
          </cell>
          <cell r="N45">
            <v>0</v>
          </cell>
          <cell r="O45">
            <v>0</v>
          </cell>
          <cell r="P45">
            <v>0</v>
          </cell>
          <cell r="Q45">
            <v>0</v>
          </cell>
          <cell r="R45">
            <v>0</v>
          </cell>
          <cell r="S45">
            <v>1</v>
          </cell>
          <cell r="T45">
            <v>0</v>
          </cell>
          <cell r="U45">
            <v>0</v>
          </cell>
          <cell r="V45">
            <v>0</v>
          </cell>
          <cell r="W45">
            <v>0</v>
          </cell>
          <cell r="X45">
            <v>0</v>
          </cell>
          <cell r="Y45">
            <v>0</v>
          </cell>
          <cell r="Z45">
            <v>0</v>
          </cell>
          <cell r="AA45">
            <v>0</v>
          </cell>
          <cell r="AB45">
            <v>0</v>
          </cell>
          <cell r="AC45">
            <v>0</v>
          </cell>
        </row>
        <row r="46">
          <cell r="D46">
            <v>0</v>
          </cell>
          <cell r="E46">
            <v>75</v>
          </cell>
          <cell r="F46">
            <v>0</v>
          </cell>
          <cell r="G46">
            <v>77</v>
          </cell>
          <cell r="H46">
            <v>0</v>
          </cell>
          <cell r="I46">
            <v>53</v>
          </cell>
          <cell r="J46">
            <v>2</v>
          </cell>
          <cell r="K46">
            <v>34</v>
          </cell>
          <cell r="L46">
            <v>0</v>
          </cell>
          <cell r="M46">
            <v>56</v>
          </cell>
          <cell r="N46">
            <v>0</v>
          </cell>
          <cell r="O46">
            <v>34</v>
          </cell>
          <cell r="P46">
            <v>3</v>
          </cell>
          <cell r="Q46">
            <v>118</v>
          </cell>
          <cell r="R46">
            <v>1</v>
          </cell>
          <cell r="S46">
            <v>166</v>
          </cell>
          <cell r="T46">
            <v>0</v>
          </cell>
          <cell r="U46">
            <v>56</v>
          </cell>
          <cell r="V46">
            <v>0</v>
          </cell>
          <cell r="W46">
            <v>103</v>
          </cell>
          <cell r="X46">
            <v>2</v>
          </cell>
          <cell r="Y46">
            <v>32</v>
          </cell>
          <cell r="Z46">
            <v>2</v>
          </cell>
          <cell r="AA46">
            <v>65</v>
          </cell>
          <cell r="AB46">
            <v>1</v>
          </cell>
          <cell r="AC46">
            <v>67</v>
          </cell>
        </row>
        <row r="47">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row>
        <row r="48">
          <cell r="D48">
            <v>0</v>
          </cell>
          <cell r="E48">
            <v>0</v>
          </cell>
          <cell r="F48">
            <v>0</v>
          </cell>
          <cell r="G48">
            <v>0</v>
          </cell>
          <cell r="H48">
            <v>0</v>
          </cell>
          <cell r="I48">
            <v>0</v>
          </cell>
          <cell r="J48">
            <v>0</v>
          </cell>
          <cell r="K48">
            <v>0</v>
          </cell>
          <cell r="L48">
            <v>0</v>
          </cell>
          <cell r="M48">
            <v>0</v>
          </cell>
          <cell r="N48">
            <v>0</v>
          </cell>
          <cell r="O48">
            <v>2</v>
          </cell>
          <cell r="P48">
            <v>0</v>
          </cell>
          <cell r="Q48">
            <v>0</v>
          </cell>
          <cell r="R48">
            <v>0</v>
          </cell>
          <cell r="S48">
            <v>0</v>
          </cell>
          <cell r="T48">
            <v>0</v>
          </cell>
          <cell r="U48">
            <v>0</v>
          </cell>
          <cell r="V48">
            <v>0</v>
          </cell>
          <cell r="W48">
            <v>0</v>
          </cell>
          <cell r="X48">
            <v>0</v>
          </cell>
          <cell r="Y48">
            <v>0</v>
          </cell>
          <cell r="Z48">
            <v>0</v>
          </cell>
          <cell r="AA48">
            <v>0</v>
          </cell>
          <cell r="AB48">
            <v>0</v>
          </cell>
          <cell r="AC48">
            <v>0</v>
          </cell>
        </row>
        <row r="49">
          <cell r="D49">
            <v>0</v>
          </cell>
          <cell r="E49">
            <v>51</v>
          </cell>
          <cell r="F49">
            <v>0</v>
          </cell>
          <cell r="G49">
            <v>143</v>
          </cell>
          <cell r="H49">
            <v>0</v>
          </cell>
          <cell r="I49">
            <v>85</v>
          </cell>
          <cell r="J49">
            <v>6</v>
          </cell>
          <cell r="K49">
            <v>38</v>
          </cell>
          <cell r="L49">
            <v>0</v>
          </cell>
          <cell r="M49">
            <v>84</v>
          </cell>
          <cell r="N49">
            <v>0</v>
          </cell>
          <cell r="O49">
            <v>0</v>
          </cell>
          <cell r="P49">
            <v>1</v>
          </cell>
          <cell r="Q49">
            <v>100</v>
          </cell>
          <cell r="R49">
            <v>0</v>
          </cell>
          <cell r="S49">
            <v>0</v>
          </cell>
          <cell r="T49">
            <v>0</v>
          </cell>
          <cell r="U49">
            <v>11</v>
          </cell>
          <cell r="V49">
            <v>0</v>
          </cell>
          <cell r="W49">
            <v>49</v>
          </cell>
          <cell r="X49">
            <v>0</v>
          </cell>
          <cell r="Y49">
            <v>0</v>
          </cell>
          <cell r="Z49">
            <v>0</v>
          </cell>
          <cell r="AA49">
            <v>4</v>
          </cell>
          <cell r="AB49">
            <v>0</v>
          </cell>
          <cell r="AC49">
            <v>0</v>
          </cell>
        </row>
        <row r="50">
          <cell r="D50">
            <v>0</v>
          </cell>
          <cell r="E50">
            <v>0</v>
          </cell>
          <cell r="F50">
            <v>0</v>
          </cell>
          <cell r="G50">
            <v>0</v>
          </cell>
          <cell r="H50">
            <v>1</v>
          </cell>
          <cell r="I50">
            <v>0</v>
          </cell>
          <cell r="J50">
            <v>3</v>
          </cell>
          <cell r="K50">
            <v>0</v>
          </cell>
          <cell r="L50">
            <v>1</v>
          </cell>
          <cell r="M50">
            <v>0</v>
          </cell>
          <cell r="N50">
            <v>0</v>
          </cell>
          <cell r="O50">
            <v>0</v>
          </cell>
          <cell r="P50">
            <v>1</v>
          </cell>
          <cell r="Q50">
            <v>0</v>
          </cell>
          <cell r="R50">
            <v>0</v>
          </cell>
          <cell r="S50">
            <v>0</v>
          </cell>
          <cell r="T50">
            <v>1</v>
          </cell>
          <cell r="U50">
            <v>0</v>
          </cell>
          <cell r="V50">
            <v>0</v>
          </cell>
          <cell r="W50">
            <v>0</v>
          </cell>
          <cell r="X50">
            <v>0</v>
          </cell>
          <cell r="Y50">
            <v>0</v>
          </cell>
          <cell r="Z50">
            <v>0</v>
          </cell>
          <cell r="AA50">
            <v>0</v>
          </cell>
          <cell r="AB50">
            <v>0</v>
          </cell>
          <cell r="AC50">
            <v>0</v>
          </cell>
        </row>
        <row r="51">
          <cell r="D51">
            <v>0</v>
          </cell>
          <cell r="E51">
            <v>16</v>
          </cell>
          <cell r="F51">
            <v>0</v>
          </cell>
          <cell r="G51">
            <v>356</v>
          </cell>
          <cell r="H51">
            <v>0</v>
          </cell>
          <cell r="I51">
            <v>168</v>
          </cell>
          <cell r="J51">
            <v>6</v>
          </cell>
          <cell r="K51">
            <v>124</v>
          </cell>
          <cell r="L51">
            <v>0</v>
          </cell>
          <cell r="M51">
            <v>119</v>
          </cell>
          <cell r="N51">
            <v>0</v>
          </cell>
          <cell r="O51">
            <v>3</v>
          </cell>
          <cell r="P51">
            <v>0</v>
          </cell>
          <cell r="Q51">
            <v>59</v>
          </cell>
          <cell r="R51">
            <v>0</v>
          </cell>
          <cell r="S51">
            <v>62</v>
          </cell>
          <cell r="T51">
            <v>0</v>
          </cell>
          <cell r="U51">
            <v>129</v>
          </cell>
          <cell r="V51">
            <v>0</v>
          </cell>
          <cell r="W51">
            <v>200</v>
          </cell>
          <cell r="X51">
            <v>0</v>
          </cell>
          <cell r="Y51">
            <v>0</v>
          </cell>
          <cell r="Z51">
            <v>0</v>
          </cell>
          <cell r="AA51">
            <v>34</v>
          </cell>
          <cell r="AB51">
            <v>0</v>
          </cell>
          <cell r="AC51">
            <v>0</v>
          </cell>
        </row>
        <row r="52">
          <cell r="D52">
            <v>111</v>
          </cell>
          <cell r="E52">
            <v>648</v>
          </cell>
          <cell r="F52">
            <v>2</v>
          </cell>
          <cell r="G52">
            <v>463</v>
          </cell>
          <cell r="H52">
            <v>28</v>
          </cell>
          <cell r="I52">
            <v>265</v>
          </cell>
          <cell r="J52">
            <v>21</v>
          </cell>
          <cell r="K52">
            <v>347</v>
          </cell>
          <cell r="L52">
            <v>0</v>
          </cell>
          <cell r="M52">
            <v>404</v>
          </cell>
          <cell r="N52">
            <v>33</v>
          </cell>
          <cell r="O52">
            <v>115</v>
          </cell>
          <cell r="P52">
            <v>106</v>
          </cell>
          <cell r="Q52">
            <v>620</v>
          </cell>
          <cell r="R52">
            <v>203</v>
          </cell>
          <cell r="S52">
            <v>810</v>
          </cell>
          <cell r="T52">
            <v>58</v>
          </cell>
          <cell r="U52">
            <v>330</v>
          </cell>
          <cell r="V52">
            <v>90</v>
          </cell>
          <cell r="W52">
            <v>513</v>
          </cell>
          <cell r="X52">
            <v>20</v>
          </cell>
          <cell r="Y52">
            <v>97</v>
          </cell>
          <cell r="Z52">
            <v>119</v>
          </cell>
          <cell r="AA52">
            <v>458</v>
          </cell>
          <cell r="AB52">
            <v>50</v>
          </cell>
          <cell r="AC52">
            <v>360</v>
          </cell>
        </row>
        <row r="53">
          <cell r="D53">
            <v>25</v>
          </cell>
          <cell r="E53">
            <v>223</v>
          </cell>
          <cell r="F53">
            <v>6</v>
          </cell>
          <cell r="G53">
            <v>233</v>
          </cell>
          <cell r="H53">
            <v>21</v>
          </cell>
          <cell r="I53">
            <v>158</v>
          </cell>
          <cell r="J53">
            <v>43</v>
          </cell>
          <cell r="K53">
            <v>53</v>
          </cell>
          <cell r="L53">
            <v>5</v>
          </cell>
          <cell r="M53">
            <v>124</v>
          </cell>
          <cell r="N53">
            <v>11</v>
          </cell>
          <cell r="O53">
            <v>56</v>
          </cell>
          <cell r="P53">
            <v>68</v>
          </cell>
          <cell r="Q53">
            <v>270</v>
          </cell>
          <cell r="R53">
            <v>132</v>
          </cell>
          <cell r="S53">
            <v>347</v>
          </cell>
          <cell r="T53">
            <v>31</v>
          </cell>
          <cell r="U53">
            <v>94</v>
          </cell>
          <cell r="V53">
            <v>66</v>
          </cell>
          <cell r="W53">
            <v>242</v>
          </cell>
          <cell r="X53">
            <v>20</v>
          </cell>
          <cell r="Y53">
            <v>50</v>
          </cell>
          <cell r="Z53">
            <v>39</v>
          </cell>
          <cell r="AA53">
            <v>161</v>
          </cell>
          <cell r="AB53">
            <v>53</v>
          </cell>
          <cell r="AC53">
            <v>181</v>
          </cell>
        </row>
        <row r="54">
          <cell r="D54">
            <v>19</v>
          </cell>
          <cell r="E54">
            <v>0</v>
          </cell>
          <cell r="F54">
            <v>20</v>
          </cell>
          <cell r="G54">
            <v>0</v>
          </cell>
          <cell r="H54">
            <v>40</v>
          </cell>
          <cell r="I54">
            <v>0</v>
          </cell>
          <cell r="J54">
            <v>26</v>
          </cell>
          <cell r="K54">
            <v>1</v>
          </cell>
          <cell r="L54">
            <v>23</v>
          </cell>
          <cell r="M54">
            <v>0</v>
          </cell>
          <cell r="N54">
            <v>5</v>
          </cell>
          <cell r="O54">
            <v>0</v>
          </cell>
          <cell r="P54">
            <v>70</v>
          </cell>
          <cell r="Q54">
            <v>1</v>
          </cell>
          <cell r="R54">
            <v>60</v>
          </cell>
          <cell r="S54">
            <v>0</v>
          </cell>
          <cell r="T54">
            <v>30</v>
          </cell>
          <cell r="U54">
            <v>0</v>
          </cell>
          <cell r="V54">
            <v>18</v>
          </cell>
          <cell r="W54">
            <v>59</v>
          </cell>
          <cell r="X54">
            <v>16</v>
          </cell>
          <cell r="Y54">
            <v>0</v>
          </cell>
          <cell r="Z54">
            <v>37</v>
          </cell>
          <cell r="AA54">
            <v>2</v>
          </cell>
          <cell r="AB54">
            <v>25</v>
          </cell>
          <cell r="AC54">
            <v>0</v>
          </cell>
        </row>
        <row r="55">
          <cell r="D55">
            <v>0</v>
          </cell>
          <cell r="E55">
            <v>206</v>
          </cell>
          <cell r="F55">
            <v>0</v>
          </cell>
          <cell r="G55">
            <v>207</v>
          </cell>
          <cell r="H55">
            <v>0</v>
          </cell>
          <cell r="I55">
            <v>113</v>
          </cell>
          <cell r="J55">
            <v>7</v>
          </cell>
          <cell r="K55">
            <v>80</v>
          </cell>
          <cell r="L55">
            <v>0</v>
          </cell>
          <cell r="M55">
            <v>104</v>
          </cell>
          <cell r="N55">
            <v>3</v>
          </cell>
          <cell r="O55">
            <v>66</v>
          </cell>
          <cell r="P55">
            <v>0</v>
          </cell>
          <cell r="Q55">
            <v>223</v>
          </cell>
          <cell r="R55">
            <v>0</v>
          </cell>
          <cell r="S55">
            <v>436</v>
          </cell>
          <cell r="T55">
            <v>0</v>
          </cell>
          <cell r="U55">
            <v>153</v>
          </cell>
          <cell r="V55">
            <v>36</v>
          </cell>
          <cell r="W55">
            <v>160</v>
          </cell>
          <cell r="X55">
            <v>0</v>
          </cell>
          <cell r="Y55">
            <v>65</v>
          </cell>
          <cell r="Z55">
            <v>0</v>
          </cell>
          <cell r="AA55">
            <v>132</v>
          </cell>
          <cell r="AB55">
            <v>0</v>
          </cell>
          <cell r="AC55">
            <v>154</v>
          </cell>
        </row>
        <row r="56">
          <cell r="D56">
            <v>0</v>
          </cell>
          <cell r="E56">
            <v>0</v>
          </cell>
          <cell r="F56">
            <v>0</v>
          </cell>
          <cell r="G56">
            <v>0</v>
          </cell>
          <cell r="H56">
            <v>1</v>
          </cell>
          <cell r="I56">
            <v>0</v>
          </cell>
          <cell r="J56">
            <v>0</v>
          </cell>
          <cell r="K56">
            <v>4</v>
          </cell>
          <cell r="L56">
            <v>0</v>
          </cell>
          <cell r="M56">
            <v>0</v>
          </cell>
          <cell r="N56">
            <v>0</v>
          </cell>
          <cell r="O56">
            <v>0</v>
          </cell>
          <cell r="P56">
            <v>0</v>
          </cell>
          <cell r="Q56">
            <v>0</v>
          </cell>
          <cell r="R56">
            <v>1</v>
          </cell>
          <cell r="S56">
            <v>28</v>
          </cell>
          <cell r="T56">
            <v>0</v>
          </cell>
          <cell r="U56">
            <v>0</v>
          </cell>
          <cell r="V56">
            <v>3</v>
          </cell>
          <cell r="W56">
            <v>0</v>
          </cell>
          <cell r="X56">
            <v>0</v>
          </cell>
          <cell r="Y56">
            <v>0</v>
          </cell>
          <cell r="Z56">
            <v>1</v>
          </cell>
          <cell r="AA56">
            <v>1</v>
          </cell>
          <cell r="AB56">
            <v>0</v>
          </cell>
          <cell r="AC56">
            <v>0</v>
          </cell>
        </row>
        <row r="57">
          <cell r="D57">
            <v>0</v>
          </cell>
          <cell r="E57">
            <v>126</v>
          </cell>
          <cell r="F57">
            <v>0</v>
          </cell>
          <cell r="G57">
            <v>125</v>
          </cell>
          <cell r="H57">
            <v>0</v>
          </cell>
          <cell r="I57">
            <v>66</v>
          </cell>
          <cell r="J57">
            <v>1</v>
          </cell>
          <cell r="K57">
            <v>31</v>
          </cell>
          <cell r="L57">
            <v>0</v>
          </cell>
          <cell r="M57">
            <v>80</v>
          </cell>
          <cell r="N57">
            <v>0</v>
          </cell>
          <cell r="O57">
            <v>37</v>
          </cell>
          <cell r="P57">
            <v>0</v>
          </cell>
          <cell r="Q57">
            <v>178</v>
          </cell>
          <cell r="R57">
            <v>0</v>
          </cell>
          <cell r="S57">
            <v>208</v>
          </cell>
          <cell r="T57">
            <v>0</v>
          </cell>
          <cell r="U57">
            <v>58</v>
          </cell>
          <cell r="V57">
            <v>1</v>
          </cell>
          <cell r="W57">
            <v>166</v>
          </cell>
          <cell r="X57">
            <v>0</v>
          </cell>
          <cell r="Y57">
            <v>52</v>
          </cell>
          <cell r="Z57">
            <v>0</v>
          </cell>
          <cell r="AA57">
            <v>102</v>
          </cell>
          <cell r="AB57">
            <v>0</v>
          </cell>
          <cell r="AC57">
            <v>84</v>
          </cell>
        </row>
        <row r="58">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row>
        <row r="59">
          <cell r="D59">
            <v>0</v>
          </cell>
          <cell r="E59">
            <v>0</v>
          </cell>
          <cell r="F59">
            <v>0</v>
          </cell>
          <cell r="G59">
            <v>0</v>
          </cell>
          <cell r="H59">
            <v>0</v>
          </cell>
          <cell r="I59">
            <v>0</v>
          </cell>
          <cell r="J59">
            <v>0</v>
          </cell>
          <cell r="K59">
            <v>0</v>
          </cell>
          <cell r="L59">
            <v>0</v>
          </cell>
          <cell r="M59">
            <v>3</v>
          </cell>
          <cell r="N59">
            <v>0</v>
          </cell>
          <cell r="O59">
            <v>0</v>
          </cell>
          <cell r="P59">
            <v>0</v>
          </cell>
          <cell r="Q59">
            <v>0</v>
          </cell>
          <cell r="R59">
            <v>0</v>
          </cell>
          <cell r="S59">
            <v>0</v>
          </cell>
          <cell r="T59">
            <v>0</v>
          </cell>
          <cell r="U59">
            <v>1</v>
          </cell>
          <cell r="V59">
            <v>0</v>
          </cell>
          <cell r="W59">
            <v>0</v>
          </cell>
          <cell r="X59">
            <v>0</v>
          </cell>
          <cell r="Y59">
            <v>0</v>
          </cell>
          <cell r="Z59">
            <v>0</v>
          </cell>
          <cell r="AA59">
            <v>0</v>
          </cell>
          <cell r="AB59">
            <v>0</v>
          </cell>
          <cell r="AC59">
            <v>3</v>
          </cell>
        </row>
        <row r="60">
          <cell r="D60">
            <v>0</v>
          </cell>
          <cell r="E60">
            <v>0</v>
          </cell>
          <cell r="F60">
            <v>0</v>
          </cell>
          <cell r="G60">
            <v>0</v>
          </cell>
          <cell r="H60">
            <v>0</v>
          </cell>
          <cell r="I60">
            <v>0</v>
          </cell>
          <cell r="J60">
            <v>0</v>
          </cell>
          <cell r="K60">
            <v>2</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row>
        <row r="61">
          <cell r="D61">
            <v>0</v>
          </cell>
          <cell r="E61">
            <v>0</v>
          </cell>
          <cell r="F61">
            <v>0</v>
          </cell>
          <cell r="G61">
            <v>0</v>
          </cell>
          <cell r="H61">
            <v>0</v>
          </cell>
          <cell r="I61">
            <v>0</v>
          </cell>
          <cell r="J61">
            <v>0</v>
          </cell>
          <cell r="K61">
            <v>2</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1</v>
          </cell>
          <cell r="AA61">
            <v>6</v>
          </cell>
          <cell r="AB61">
            <v>0</v>
          </cell>
          <cell r="AC61">
            <v>4</v>
          </cell>
        </row>
        <row r="62">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row>
        <row r="63">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row>
        <row r="64">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row>
        <row r="67">
          <cell r="E67">
            <v>169</v>
          </cell>
          <cell r="G67">
            <v>110</v>
          </cell>
          <cell r="I67">
            <v>35</v>
          </cell>
          <cell r="K67">
            <v>192</v>
          </cell>
          <cell r="M67">
            <v>108</v>
          </cell>
          <cell r="O67">
            <v>24</v>
          </cell>
          <cell r="Q67">
            <v>28</v>
          </cell>
          <cell r="S67">
            <v>256</v>
          </cell>
          <cell r="U67">
            <v>114</v>
          </cell>
          <cell r="W67">
            <v>125</v>
          </cell>
          <cell r="Y67">
            <v>95</v>
          </cell>
          <cell r="AA67">
            <v>199</v>
          </cell>
          <cell r="AC67">
            <v>168</v>
          </cell>
        </row>
        <row r="68">
          <cell r="E68">
            <v>354</v>
          </cell>
          <cell r="G68">
            <v>295</v>
          </cell>
          <cell r="I68">
            <v>33</v>
          </cell>
          <cell r="K68">
            <v>90</v>
          </cell>
          <cell r="M68">
            <v>96</v>
          </cell>
          <cell r="O68">
            <v>32</v>
          </cell>
          <cell r="Q68">
            <v>6</v>
          </cell>
          <cell r="S68">
            <v>207</v>
          </cell>
          <cell r="U68">
            <v>89</v>
          </cell>
          <cell r="W68">
            <v>198</v>
          </cell>
          <cell r="Y68">
            <v>74</v>
          </cell>
          <cell r="AA68">
            <v>266</v>
          </cell>
          <cell r="AC68">
            <v>193</v>
          </cell>
        </row>
        <row r="69">
          <cell r="E69">
            <v>0</v>
          </cell>
          <cell r="G69">
            <v>0</v>
          </cell>
          <cell r="I69">
            <v>0</v>
          </cell>
          <cell r="K69">
            <v>0</v>
          </cell>
          <cell r="M69">
            <v>0</v>
          </cell>
          <cell r="O69">
            <v>0</v>
          </cell>
          <cell r="Q69">
            <v>0</v>
          </cell>
          <cell r="S69">
            <v>1</v>
          </cell>
          <cell r="U69">
            <v>0</v>
          </cell>
          <cell r="W69">
            <v>1</v>
          </cell>
          <cell r="Y69">
            <v>13</v>
          </cell>
          <cell r="AA69">
            <v>0</v>
          </cell>
          <cell r="AC69">
            <v>0</v>
          </cell>
        </row>
        <row r="70">
          <cell r="E70">
            <v>0</v>
          </cell>
          <cell r="G70">
            <v>0</v>
          </cell>
          <cell r="I70">
            <v>0</v>
          </cell>
          <cell r="K70">
            <v>0</v>
          </cell>
          <cell r="M70">
            <v>0</v>
          </cell>
          <cell r="O70">
            <v>0</v>
          </cell>
          <cell r="Q70">
            <v>0</v>
          </cell>
          <cell r="S70">
            <v>0</v>
          </cell>
          <cell r="U70">
            <v>0</v>
          </cell>
          <cell r="W70">
            <v>0</v>
          </cell>
          <cell r="Y70">
            <v>0</v>
          </cell>
          <cell r="AA70">
            <v>0</v>
          </cell>
          <cell r="AC70">
            <v>0</v>
          </cell>
        </row>
        <row r="71">
          <cell r="E71">
            <v>16</v>
          </cell>
          <cell r="G71">
            <v>16</v>
          </cell>
          <cell r="I71">
            <v>0</v>
          </cell>
          <cell r="K71">
            <v>0</v>
          </cell>
          <cell r="M71">
            <v>0</v>
          </cell>
          <cell r="O71">
            <v>1</v>
          </cell>
          <cell r="Q71">
            <v>17</v>
          </cell>
          <cell r="S71">
            <v>0</v>
          </cell>
          <cell r="U71">
            <v>0</v>
          </cell>
          <cell r="W71">
            <v>0</v>
          </cell>
          <cell r="Y71">
            <v>0</v>
          </cell>
          <cell r="AA71">
            <v>0</v>
          </cell>
          <cell r="AC71">
            <v>0</v>
          </cell>
        </row>
        <row r="72">
          <cell r="E72">
            <v>154</v>
          </cell>
          <cell r="G72">
            <v>138</v>
          </cell>
          <cell r="I72">
            <v>29</v>
          </cell>
          <cell r="K72">
            <v>29</v>
          </cell>
          <cell r="M72">
            <v>60</v>
          </cell>
          <cell r="O72">
            <v>25</v>
          </cell>
          <cell r="Q72">
            <v>101</v>
          </cell>
          <cell r="S72">
            <v>325</v>
          </cell>
          <cell r="U72">
            <v>51</v>
          </cell>
          <cell r="W72">
            <v>77</v>
          </cell>
          <cell r="Y72">
            <v>36</v>
          </cell>
          <cell r="AA72">
            <v>129</v>
          </cell>
          <cell r="AC72">
            <v>153</v>
          </cell>
        </row>
        <row r="73">
          <cell r="E73">
            <v>28</v>
          </cell>
          <cell r="G73">
            <v>25</v>
          </cell>
          <cell r="I73">
            <v>4</v>
          </cell>
          <cell r="K73">
            <v>17</v>
          </cell>
          <cell r="M73">
            <v>13</v>
          </cell>
          <cell r="O73">
            <v>1</v>
          </cell>
          <cell r="Q73">
            <v>14</v>
          </cell>
          <cell r="S73">
            <v>33</v>
          </cell>
          <cell r="U73">
            <v>2</v>
          </cell>
          <cell r="W73">
            <v>16</v>
          </cell>
          <cell r="Y73">
            <v>8</v>
          </cell>
          <cell r="AA73">
            <v>16</v>
          </cell>
          <cell r="AC73">
            <v>22</v>
          </cell>
        </row>
        <row r="74">
          <cell r="E74">
            <v>63</v>
          </cell>
          <cell r="G74">
            <v>115</v>
          </cell>
          <cell r="I74">
            <v>18</v>
          </cell>
          <cell r="K74">
            <v>43</v>
          </cell>
          <cell r="M74">
            <v>18</v>
          </cell>
          <cell r="O74">
            <v>9</v>
          </cell>
          <cell r="Q74">
            <v>90</v>
          </cell>
          <cell r="S74">
            <v>154</v>
          </cell>
          <cell r="U74">
            <v>38</v>
          </cell>
          <cell r="W74">
            <v>116</v>
          </cell>
          <cell r="Y74">
            <v>9</v>
          </cell>
          <cell r="AA74">
            <v>62</v>
          </cell>
          <cell r="AC74">
            <v>90</v>
          </cell>
        </row>
        <row r="75">
          <cell r="E75">
            <v>0</v>
          </cell>
          <cell r="G75">
            <v>0</v>
          </cell>
          <cell r="I75">
            <v>0</v>
          </cell>
          <cell r="K75">
            <v>0</v>
          </cell>
          <cell r="M75">
            <v>0</v>
          </cell>
          <cell r="O75">
            <v>0</v>
          </cell>
          <cell r="Q75">
            <v>0</v>
          </cell>
          <cell r="S75">
            <v>0</v>
          </cell>
          <cell r="U75">
            <v>0</v>
          </cell>
          <cell r="W75">
            <v>0</v>
          </cell>
          <cell r="Y75">
            <v>0</v>
          </cell>
          <cell r="AA75">
            <v>0</v>
          </cell>
          <cell r="AC75">
            <v>0</v>
          </cell>
        </row>
        <row r="76">
          <cell r="E76">
            <v>84</v>
          </cell>
          <cell r="G76">
            <v>69</v>
          </cell>
          <cell r="I76">
            <v>4</v>
          </cell>
          <cell r="K76">
            <v>48</v>
          </cell>
          <cell r="M76">
            <v>27</v>
          </cell>
          <cell r="O76">
            <v>23</v>
          </cell>
          <cell r="Q76">
            <v>40</v>
          </cell>
          <cell r="S76">
            <v>73</v>
          </cell>
          <cell r="U76">
            <v>38</v>
          </cell>
          <cell r="W76">
            <v>43</v>
          </cell>
          <cell r="Y76">
            <v>11</v>
          </cell>
          <cell r="AA76">
            <v>63</v>
          </cell>
          <cell r="AC76">
            <v>44</v>
          </cell>
        </row>
        <row r="77">
          <cell r="E77">
            <v>34</v>
          </cell>
          <cell r="G77">
            <v>20</v>
          </cell>
          <cell r="I77">
            <v>4</v>
          </cell>
          <cell r="K77">
            <v>3</v>
          </cell>
          <cell r="M77">
            <v>7</v>
          </cell>
          <cell r="O77">
            <v>14</v>
          </cell>
          <cell r="Q77">
            <v>37</v>
          </cell>
          <cell r="S77">
            <v>19</v>
          </cell>
          <cell r="U77">
            <v>29</v>
          </cell>
          <cell r="W77">
            <v>22</v>
          </cell>
          <cell r="Y77">
            <v>13</v>
          </cell>
          <cell r="AA77">
            <v>7</v>
          </cell>
          <cell r="AC77">
            <v>7</v>
          </cell>
        </row>
        <row r="78">
          <cell r="E78">
            <v>41</v>
          </cell>
          <cell r="G78">
            <v>22</v>
          </cell>
          <cell r="I78">
            <v>7</v>
          </cell>
          <cell r="K78">
            <v>8</v>
          </cell>
          <cell r="M78">
            <v>8</v>
          </cell>
          <cell r="O78">
            <v>6</v>
          </cell>
          <cell r="Q78">
            <v>10</v>
          </cell>
          <cell r="S78">
            <v>23</v>
          </cell>
          <cell r="U78">
            <v>23</v>
          </cell>
          <cell r="W78">
            <v>10</v>
          </cell>
          <cell r="Y78">
            <v>10</v>
          </cell>
          <cell r="AA78">
            <v>6</v>
          </cell>
          <cell r="AC78">
            <v>11</v>
          </cell>
        </row>
        <row r="79">
          <cell r="E79">
            <v>21</v>
          </cell>
          <cell r="G79">
            <v>13</v>
          </cell>
          <cell r="I79">
            <v>1</v>
          </cell>
          <cell r="K79">
            <v>5</v>
          </cell>
          <cell r="M79">
            <v>4</v>
          </cell>
          <cell r="O79">
            <v>0</v>
          </cell>
          <cell r="Q79">
            <v>8</v>
          </cell>
          <cell r="S79">
            <v>14</v>
          </cell>
          <cell r="U79">
            <v>6</v>
          </cell>
          <cell r="W79">
            <v>16</v>
          </cell>
          <cell r="Y79">
            <v>2</v>
          </cell>
          <cell r="AA79">
            <v>6</v>
          </cell>
          <cell r="AC79">
            <v>10</v>
          </cell>
        </row>
        <row r="80">
          <cell r="E80">
            <v>0</v>
          </cell>
          <cell r="G80">
            <v>0</v>
          </cell>
          <cell r="I80">
            <v>0</v>
          </cell>
          <cell r="K80">
            <v>0</v>
          </cell>
          <cell r="M80">
            <v>0</v>
          </cell>
          <cell r="O80">
            <v>0</v>
          </cell>
          <cell r="Q80">
            <v>0</v>
          </cell>
          <cell r="S80">
            <v>0</v>
          </cell>
          <cell r="U80">
            <v>0</v>
          </cell>
          <cell r="W80">
            <v>2</v>
          </cell>
          <cell r="Y80">
            <v>0</v>
          </cell>
          <cell r="AA80">
            <v>0</v>
          </cell>
          <cell r="AC80">
            <v>0</v>
          </cell>
        </row>
        <row r="81">
          <cell r="E81">
            <v>964</v>
          </cell>
          <cell r="G81">
            <v>823</v>
          </cell>
          <cell r="I81">
            <v>135</v>
          </cell>
          <cell r="K81">
            <v>435</v>
          </cell>
          <cell r="M81">
            <v>341</v>
          </cell>
          <cell r="O81">
            <v>135</v>
          </cell>
          <cell r="Q81">
            <v>351</v>
          </cell>
          <cell r="S81">
            <v>1105</v>
          </cell>
          <cell r="U81">
            <v>390</v>
          </cell>
          <cell r="W81">
            <v>626</v>
          </cell>
          <cell r="Y81">
            <v>271</v>
          </cell>
          <cell r="AA81">
            <v>754</v>
          </cell>
          <cell r="AC81">
            <v>698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row r="11">
          <cell r="B11">
            <v>5596</v>
          </cell>
          <cell r="X11">
            <v>383</v>
          </cell>
          <cell r="Y11">
            <v>544</v>
          </cell>
          <cell r="Z11">
            <v>20</v>
          </cell>
          <cell r="AB11">
            <v>8</v>
          </cell>
          <cell r="AC11">
            <v>10</v>
          </cell>
          <cell r="AD11">
            <v>0</v>
          </cell>
        </row>
        <row r="12">
          <cell r="B12">
            <v>23520</v>
          </cell>
          <cell r="X12">
            <v>0</v>
          </cell>
          <cell r="Y12">
            <v>1</v>
          </cell>
          <cell r="Z12">
            <v>0</v>
          </cell>
          <cell r="AB12">
            <v>1934</v>
          </cell>
          <cell r="AC12">
            <v>1559</v>
          </cell>
          <cell r="AD12">
            <v>18</v>
          </cell>
        </row>
        <row r="13">
          <cell r="B13">
            <v>2034</v>
          </cell>
          <cell r="X13">
            <v>0</v>
          </cell>
          <cell r="Y13">
            <v>0</v>
          </cell>
          <cell r="Z13">
            <v>0</v>
          </cell>
          <cell r="AB13">
            <v>0</v>
          </cell>
          <cell r="AC13">
            <v>0</v>
          </cell>
          <cell r="AD13">
            <v>0</v>
          </cell>
        </row>
        <row r="14">
          <cell r="B14">
            <v>651</v>
          </cell>
          <cell r="X14">
            <v>18</v>
          </cell>
          <cell r="Y14">
            <v>26</v>
          </cell>
          <cell r="Z14">
            <v>3</v>
          </cell>
          <cell r="AB14">
            <v>0</v>
          </cell>
          <cell r="AC14">
            <v>0</v>
          </cell>
          <cell r="AD14">
            <v>0</v>
          </cell>
        </row>
        <row r="15">
          <cell r="B15">
            <v>1093</v>
          </cell>
          <cell r="X15">
            <v>0</v>
          </cell>
          <cell r="Y15">
            <v>0</v>
          </cell>
          <cell r="Z15">
            <v>0</v>
          </cell>
          <cell r="AB15">
            <v>78</v>
          </cell>
          <cell r="AC15">
            <v>64</v>
          </cell>
          <cell r="AD15">
            <v>8</v>
          </cell>
        </row>
        <row r="16">
          <cell r="B16">
            <v>701</v>
          </cell>
          <cell r="X16">
            <v>66</v>
          </cell>
          <cell r="Y16">
            <v>86</v>
          </cell>
          <cell r="Z16">
            <v>1</v>
          </cell>
          <cell r="AB16">
            <v>0</v>
          </cell>
          <cell r="AC16">
            <v>1</v>
          </cell>
          <cell r="AD16">
            <v>0</v>
          </cell>
        </row>
        <row r="17">
          <cell r="B17">
            <v>6738</v>
          </cell>
          <cell r="X17">
            <v>0</v>
          </cell>
          <cell r="Y17">
            <v>0</v>
          </cell>
          <cell r="Z17">
            <v>0</v>
          </cell>
          <cell r="AB17">
            <v>558</v>
          </cell>
          <cell r="AC17">
            <v>556</v>
          </cell>
          <cell r="AD17">
            <v>50</v>
          </cell>
        </row>
        <row r="18">
          <cell r="B18">
            <v>0</v>
          </cell>
          <cell r="X18">
            <v>0</v>
          </cell>
          <cell r="Y18">
            <v>0</v>
          </cell>
          <cell r="Z18">
            <v>0</v>
          </cell>
          <cell r="AB18">
            <v>0</v>
          </cell>
          <cell r="AC18">
            <v>0</v>
          </cell>
          <cell r="AD18">
            <v>0</v>
          </cell>
        </row>
        <row r="19">
          <cell r="B19">
            <v>2581</v>
          </cell>
          <cell r="X19">
            <v>0</v>
          </cell>
          <cell r="Y19">
            <v>0</v>
          </cell>
          <cell r="Z19">
            <v>0</v>
          </cell>
          <cell r="AB19">
            <v>134</v>
          </cell>
          <cell r="AC19">
            <v>291</v>
          </cell>
          <cell r="AD19">
            <v>0</v>
          </cell>
        </row>
        <row r="20">
          <cell r="B20">
            <v>471</v>
          </cell>
          <cell r="X20">
            <v>21</v>
          </cell>
          <cell r="Y20">
            <v>66</v>
          </cell>
          <cell r="Z20">
            <v>1</v>
          </cell>
          <cell r="AB20">
            <v>0</v>
          </cell>
          <cell r="AC20">
            <v>7</v>
          </cell>
          <cell r="AD20">
            <v>0</v>
          </cell>
        </row>
        <row r="21">
          <cell r="B21">
            <v>2137</v>
          </cell>
          <cell r="X21">
            <v>0</v>
          </cell>
          <cell r="Y21">
            <v>2</v>
          </cell>
          <cell r="Z21">
            <v>0</v>
          </cell>
          <cell r="AB21">
            <v>310</v>
          </cell>
          <cell r="AC21">
            <v>303</v>
          </cell>
          <cell r="AD21">
            <v>6</v>
          </cell>
        </row>
        <row r="22">
          <cell r="B22">
            <v>0</v>
          </cell>
          <cell r="X22">
            <v>0</v>
          </cell>
          <cell r="Y22">
            <v>0</v>
          </cell>
          <cell r="Z22">
            <v>0</v>
          </cell>
          <cell r="AB22">
            <v>0</v>
          </cell>
          <cell r="AC22">
            <v>0</v>
          </cell>
          <cell r="AD22">
            <v>0</v>
          </cell>
        </row>
        <row r="23">
          <cell r="B23">
            <v>0</v>
          </cell>
          <cell r="X23">
            <v>0</v>
          </cell>
          <cell r="Y23">
            <v>0</v>
          </cell>
          <cell r="Z23">
            <v>0</v>
          </cell>
          <cell r="AB23">
            <v>0</v>
          </cell>
          <cell r="AC23">
            <v>0</v>
          </cell>
          <cell r="AD23">
            <v>0</v>
          </cell>
        </row>
        <row r="24">
          <cell r="B24">
            <v>658</v>
          </cell>
          <cell r="X24">
            <v>1</v>
          </cell>
          <cell r="Y24">
            <v>0</v>
          </cell>
          <cell r="Z24">
            <v>0</v>
          </cell>
          <cell r="AB24">
            <v>57</v>
          </cell>
          <cell r="AC24">
            <v>130</v>
          </cell>
          <cell r="AD24">
            <v>1</v>
          </cell>
        </row>
        <row r="25">
          <cell r="B25">
            <v>0</v>
          </cell>
          <cell r="X25">
            <v>0</v>
          </cell>
          <cell r="Y25">
            <v>0</v>
          </cell>
          <cell r="Z25">
            <v>0</v>
          </cell>
          <cell r="AB25">
            <v>0</v>
          </cell>
          <cell r="AC25">
            <v>0</v>
          </cell>
          <cell r="AD25">
            <v>0</v>
          </cell>
        </row>
        <row r="26">
          <cell r="B26">
            <v>704</v>
          </cell>
          <cell r="X26">
            <v>0</v>
          </cell>
          <cell r="Y26">
            <v>0</v>
          </cell>
          <cell r="Z26">
            <v>0</v>
          </cell>
          <cell r="AB26">
            <v>88</v>
          </cell>
          <cell r="AC26">
            <v>95</v>
          </cell>
          <cell r="AD26">
            <v>0</v>
          </cell>
        </row>
        <row r="27">
          <cell r="B27">
            <v>0</v>
          </cell>
          <cell r="X27">
            <v>0</v>
          </cell>
          <cell r="Y27">
            <v>0</v>
          </cell>
          <cell r="Z27">
            <v>0</v>
          </cell>
          <cell r="AB27">
            <v>0</v>
          </cell>
          <cell r="AC27">
            <v>0</v>
          </cell>
          <cell r="AD27">
            <v>0</v>
          </cell>
        </row>
        <row r="28">
          <cell r="B28">
            <v>0</v>
          </cell>
          <cell r="X28">
            <v>0</v>
          </cell>
          <cell r="Y28">
            <v>0</v>
          </cell>
          <cell r="Z28">
            <v>0</v>
          </cell>
          <cell r="AB28">
            <v>0</v>
          </cell>
          <cell r="AC28">
            <v>0</v>
          </cell>
          <cell r="AD28">
            <v>0</v>
          </cell>
        </row>
        <row r="29">
          <cell r="B29">
            <v>20</v>
          </cell>
          <cell r="X29">
            <v>3</v>
          </cell>
          <cell r="Y29">
            <v>5</v>
          </cell>
          <cell r="Z29">
            <v>0</v>
          </cell>
          <cell r="AB29">
            <v>0</v>
          </cell>
          <cell r="AC29">
            <v>0</v>
          </cell>
          <cell r="AD29">
            <v>0</v>
          </cell>
        </row>
        <row r="30">
          <cell r="B30">
            <v>2907</v>
          </cell>
          <cell r="X30">
            <v>7</v>
          </cell>
          <cell r="Y30">
            <v>29</v>
          </cell>
          <cell r="Z30">
            <v>0</v>
          </cell>
          <cell r="AB30">
            <v>169</v>
          </cell>
          <cell r="AC30">
            <v>251</v>
          </cell>
          <cell r="AD30">
            <v>2</v>
          </cell>
        </row>
        <row r="31">
          <cell r="B31">
            <v>0</v>
          </cell>
          <cell r="X31">
            <v>0</v>
          </cell>
          <cell r="Y31">
            <v>0</v>
          </cell>
          <cell r="Z31">
            <v>0</v>
          </cell>
          <cell r="AB31">
            <v>0</v>
          </cell>
          <cell r="AC31">
            <v>0</v>
          </cell>
          <cell r="AD31">
            <v>0</v>
          </cell>
        </row>
        <row r="32">
          <cell r="B32">
            <v>0</v>
          </cell>
          <cell r="X32">
            <v>0</v>
          </cell>
          <cell r="Y32">
            <v>0</v>
          </cell>
          <cell r="Z32">
            <v>0</v>
          </cell>
          <cell r="AB32">
            <v>0</v>
          </cell>
          <cell r="AC32">
            <v>0</v>
          </cell>
          <cell r="AD32">
            <v>0</v>
          </cell>
        </row>
        <row r="33">
          <cell r="B33">
            <v>867</v>
          </cell>
          <cell r="X33">
            <v>0</v>
          </cell>
          <cell r="Y33">
            <v>0</v>
          </cell>
          <cell r="Z33">
            <v>0</v>
          </cell>
          <cell r="AB33">
            <v>0</v>
          </cell>
          <cell r="AC33">
            <v>0</v>
          </cell>
          <cell r="AD33">
            <v>0</v>
          </cell>
        </row>
        <row r="34">
          <cell r="B34">
            <v>0</v>
          </cell>
          <cell r="X34">
            <v>0</v>
          </cell>
          <cell r="Y34">
            <v>0</v>
          </cell>
          <cell r="Z34">
            <v>0</v>
          </cell>
          <cell r="AB34">
            <v>0</v>
          </cell>
          <cell r="AC34">
            <v>0</v>
          </cell>
          <cell r="AD34">
            <v>0</v>
          </cell>
        </row>
        <row r="35">
          <cell r="B35">
            <v>0</v>
          </cell>
          <cell r="X35">
            <v>0</v>
          </cell>
          <cell r="Y35">
            <v>0</v>
          </cell>
          <cell r="Z35">
            <v>0</v>
          </cell>
          <cell r="AB35">
            <v>0</v>
          </cell>
          <cell r="AC35">
            <v>0</v>
          </cell>
          <cell r="AD35">
            <v>0</v>
          </cell>
        </row>
        <row r="36">
          <cell r="B36">
            <v>547</v>
          </cell>
          <cell r="X36">
            <v>27</v>
          </cell>
          <cell r="Y36">
            <v>132</v>
          </cell>
          <cell r="Z36">
            <v>0</v>
          </cell>
          <cell r="AB36">
            <v>0</v>
          </cell>
          <cell r="AC36">
            <v>0</v>
          </cell>
          <cell r="AD36">
            <v>0</v>
          </cell>
        </row>
        <row r="37">
          <cell r="B37">
            <v>1448</v>
          </cell>
          <cell r="X37">
            <v>0</v>
          </cell>
          <cell r="Y37">
            <v>0</v>
          </cell>
          <cell r="Z37">
            <v>0</v>
          </cell>
          <cell r="AB37">
            <v>91</v>
          </cell>
          <cell r="AC37">
            <v>287</v>
          </cell>
          <cell r="AD37">
            <v>0</v>
          </cell>
        </row>
        <row r="38">
          <cell r="B38">
            <v>2123</v>
          </cell>
          <cell r="X38">
            <v>376</v>
          </cell>
          <cell r="Y38">
            <v>195</v>
          </cell>
          <cell r="Z38">
            <v>11</v>
          </cell>
          <cell r="AB38">
            <v>0</v>
          </cell>
          <cell r="AC38">
            <v>1</v>
          </cell>
          <cell r="AD38">
            <v>0</v>
          </cell>
        </row>
        <row r="39">
          <cell r="B39">
            <v>2705</v>
          </cell>
          <cell r="X39">
            <v>0</v>
          </cell>
          <cell r="Y39">
            <v>0</v>
          </cell>
          <cell r="Z39">
            <v>0</v>
          </cell>
          <cell r="AB39">
            <v>267</v>
          </cell>
          <cell r="AC39">
            <v>137</v>
          </cell>
          <cell r="AD39">
            <v>0</v>
          </cell>
        </row>
        <row r="40">
          <cell r="B40">
            <v>0</v>
          </cell>
          <cell r="X40">
            <v>0</v>
          </cell>
          <cell r="Y40">
            <v>0</v>
          </cell>
          <cell r="Z40">
            <v>0</v>
          </cell>
          <cell r="AB40">
            <v>0</v>
          </cell>
          <cell r="AC40">
            <v>0</v>
          </cell>
          <cell r="AD40">
            <v>0</v>
          </cell>
        </row>
        <row r="41">
          <cell r="B41">
            <v>2519</v>
          </cell>
          <cell r="X41">
            <v>139</v>
          </cell>
          <cell r="Y41">
            <v>24</v>
          </cell>
          <cell r="Z41">
            <v>21</v>
          </cell>
          <cell r="AB41">
            <v>48</v>
          </cell>
          <cell r="AC41">
            <v>13</v>
          </cell>
          <cell r="AD41">
            <v>29</v>
          </cell>
        </row>
        <row r="42">
          <cell r="B42">
            <v>5512</v>
          </cell>
          <cell r="X42">
            <v>0</v>
          </cell>
          <cell r="Y42">
            <v>0</v>
          </cell>
          <cell r="Z42">
            <v>0</v>
          </cell>
          <cell r="AB42">
            <v>388</v>
          </cell>
          <cell r="AC42">
            <v>68</v>
          </cell>
          <cell r="AD42">
            <v>110</v>
          </cell>
        </row>
        <row r="43">
          <cell r="B43">
            <v>2723</v>
          </cell>
          <cell r="X43">
            <v>621</v>
          </cell>
          <cell r="Y43">
            <v>199</v>
          </cell>
          <cell r="Z43">
            <v>38</v>
          </cell>
          <cell r="AB43">
            <v>3</v>
          </cell>
          <cell r="AC43">
            <v>1</v>
          </cell>
          <cell r="AD43">
            <v>1</v>
          </cell>
        </row>
        <row r="44">
          <cell r="B44">
            <v>14076</v>
          </cell>
          <cell r="X44">
            <v>3</v>
          </cell>
          <cell r="Y44">
            <v>1</v>
          </cell>
          <cell r="Z44">
            <v>0</v>
          </cell>
          <cell r="AB44">
            <v>1605</v>
          </cell>
          <cell r="AC44">
            <v>1216</v>
          </cell>
          <cell r="AD44">
            <v>16</v>
          </cell>
        </row>
        <row r="45">
          <cell r="B45">
            <v>0</v>
          </cell>
          <cell r="X45">
            <v>0</v>
          </cell>
          <cell r="Y45">
            <v>0</v>
          </cell>
          <cell r="Z45">
            <v>0</v>
          </cell>
          <cell r="AB45">
            <v>0</v>
          </cell>
          <cell r="AC45">
            <v>0</v>
          </cell>
          <cell r="AD45">
            <v>0</v>
          </cell>
        </row>
        <row r="46">
          <cell r="B46">
            <v>0</v>
          </cell>
          <cell r="X46">
            <v>0</v>
          </cell>
          <cell r="Y46">
            <v>0</v>
          </cell>
          <cell r="Z46">
            <v>0</v>
          </cell>
          <cell r="AB46">
            <v>0</v>
          </cell>
          <cell r="AC46">
            <v>0</v>
          </cell>
          <cell r="AD46">
            <v>0</v>
          </cell>
        </row>
        <row r="47">
          <cell r="B47">
            <v>0</v>
          </cell>
          <cell r="X47">
            <v>0</v>
          </cell>
          <cell r="Y47">
            <v>0</v>
          </cell>
          <cell r="Z47">
            <v>0</v>
          </cell>
          <cell r="AB47">
            <v>0</v>
          </cell>
          <cell r="AC47">
            <v>0</v>
          </cell>
          <cell r="AD47">
            <v>0</v>
          </cell>
        </row>
        <row r="48">
          <cell r="B48">
            <v>1335</v>
          </cell>
          <cell r="X48">
            <v>0</v>
          </cell>
          <cell r="Y48">
            <v>0</v>
          </cell>
          <cell r="Z48">
            <v>0</v>
          </cell>
          <cell r="AB48">
            <v>58</v>
          </cell>
          <cell r="AC48">
            <v>66</v>
          </cell>
          <cell r="AD48">
            <v>1</v>
          </cell>
        </row>
        <row r="49">
          <cell r="B49">
            <v>0</v>
          </cell>
          <cell r="X49">
            <v>0</v>
          </cell>
          <cell r="Y49">
            <v>0</v>
          </cell>
          <cell r="Z49">
            <v>0</v>
          </cell>
          <cell r="AB49">
            <v>0</v>
          </cell>
          <cell r="AC49">
            <v>0</v>
          </cell>
          <cell r="AD49">
            <v>0</v>
          </cell>
        </row>
        <row r="50">
          <cell r="B50">
            <v>0</v>
          </cell>
          <cell r="X50">
            <v>0</v>
          </cell>
          <cell r="Y50">
            <v>0</v>
          </cell>
          <cell r="Z50">
            <v>0</v>
          </cell>
          <cell r="AB50">
            <v>0</v>
          </cell>
          <cell r="AC50">
            <v>0</v>
          </cell>
          <cell r="AD50">
            <v>0</v>
          </cell>
        </row>
        <row r="51">
          <cell r="B51">
            <v>704</v>
          </cell>
          <cell r="X51">
            <v>0</v>
          </cell>
          <cell r="Y51">
            <v>0</v>
          </cell>
          <cell r="Z51">
            <v>0</v>
          </cell>
          <cell r="AB51">
            <v>49</v>
          </cell>
          <cell r="AC51">
            <v>94</v>
          </cell>
          <cell r="AD51">
            <v>3</v>
          </cell>
        </row>
        <row r="52">
          <cell r="B52">
            <v>3941</v>
          </cell>
          <cell r="X52">
            <v>7</v>
          </cell>
          <cell r="Y52">
            <v>25</v>
          </cell>
          <cell r="Z52">
            <v>0</v>
          </cell>
          <cell r="AB52">
            <v>619</v>
          </cell>
          <cell r="AC52">
            <v>266</v>
          </cell>
          <cell r="AD52">
            <v>5</v>
          </cell>
        </row>
        <row r="53">
          <cell r="B53">
            <v>0</v>
          </cell>
          <cell r="X53">
            <v>0</v>
          </cell>
          <cell r="Y53">
            <v>0</v>
          </cell>
          <cell r="Z53">
            <v>0</v>
          </cell>
          <cell r="AB53">
            <v>0</v>
          </cell>
          <cell r="AC53">
            <v>0</v>
          </cell>
          <cell r="AD53">
            <v>0</v>
          </cell>
        </row>
        <row r="54">
          <cell r="B54">
            <v>341</v>
          </cell>
          <cell r="X54">
            <v>0</v>
          </cell>
          <cell r="Y54">
            <v>0</v>
          </cell>
          <cell r="Z54">
            <v>0</v>
          </cell>
          <cell r="AB54">
            <v>0</v>
          </cell>
          <cell r="AC54">
            <v>0</v>
          </cell>
          <cell r="AD54">
            <v>0</v>
          </cell>
        </row>
        <row r="55">
          <cell r="B55">
            <v>7531</v>
          </cell>
          <cell r="X55">
            <v>1</v>
          </cell>
          <cell r="Y55">
            <v>0</v>
          </cell>
          <cell r="Z55">
            <v>1</v>
          </cell>
          <cell r="AB55">
            <v>704</v>
          </cell>
          <cell r="AC55">
            <v>349</v>
          </cell>
          <cell r="AD55">
            <v>26</v>
          </cell>
        </row>
        <row r="56">
          <cell r="B56">
            <v>0</v>
          </cell>
          <cell r="X56">
            <v>0</v>
          </cell>
          <cell r="Y56">
            <v>0</v>
          </cell>
          <cell r="Z56">
            <v>0</v>
          </cell>
          <cell r="AB56">
            <v>0</v>
          </cell>
          <cell r="AC56">
            <v>0</v>
          </cell>
          <cell r="AD56">
            <v>0</v>
          </cell>
        </row>
        <row r="57">
          <cell r="B57">
            <v>9663</v>
          </cell>
          <cell r="X57">
            <v>1</v>
          </cell>
          <cell r="Y57">
            <v>2</v>
          </cell>
          <cell r="Z57">
            <v>0</v>
          </cell>
          <cell r="AB57">
            <v>611</v>
          </cell>
          <cell r="AC57">
            <v>907</v>
          </cell>
          <cell r="AD57">
            <v>120</v>
          </cell>
        </row>
        <row r="58">
          <cell r="B58">
            <v>3172</v>
          </cell>
          <cell r="X58">
            <v>66</v>
          </cell>
          <cell r="Y58">
            <v>44</v>
          </cell>
          <cell r="Z58">
            <v>2</v>
          </cell>
          <cell r="AB58">
            <v>127</v>
          </cell>
          <cell r="AC58">
            <v>412</v>
          </cell>
          <cell r="AD58">
            <v>7</v>
          </cell>
        </row>
        <row r="59">
          <cell r="B59">
            <v>5939</v>
          </cell>
          <cell r="X59">
            <v>284</v>
          </cell>
          <cell r="Y59">
            <v>525</v>
          </cell>
          <cell r="Z59">
            <v>1</v>
          </cell>
          <cell r="AB59">
            <v>960</v>
          </cell>
          <cell r="AC59">
            <v>1233</v>
          </cell>
          <cell r="AD59">
            <v>0</v>
          </cell>
        </row>
        <row r="60">
          <cell r="B60">
            <v>3198</v>
          </cell>
          <cell r="X60">
            <v>100</v>
          </cell>
          <cell r="Y60">
            <v>168</v>
          </cell>
          <cell r="Z60">
            <v>2</v>
          </cell>
          <cell r="AB60">
            <v>0</v>
          </cell>
          <cell r="AC60">
            <v>0</v>
          </cell>
          <cell r="AD60">
            <v>0</v>
          </cell>
        </row>
        <row r="61">
          <cell r="B61">
            <v>13746</v>
          </cell>
          <cell r="X61">
            <v>0</v>
          </cell>
          <cell r="Y61">
            <v>0</v>
          </cell>
          <cell r="Z61">
            <v>0</v>
          </cell>
          <cell r="AB61">
            <v>2497</v>
          </cell>
          <cell r="AC61">
            <v>2366</v>
          </cell>
          <cell r="AD61">
            <v>112</v>
          </cell>
        </row>
        <row r="62">
          <cell r="B62">
            <v>0</v>
          </cell>
          <cell r="X62">
            <v>0</v>
          </cell>
          <cell r="Y62">
            <v>0</v>
          </cell>
          <cell r="Z62">
            <v>0</v>
          </cell>
          <cell r="AB62">
            <v>0</v>
          </cell>
          <cell r="AC62">
            <v>0</v>
          </cell>
          <cell r="AD62">
            <v>0</v>
          </cell>
        </row>
        <row r="63">
          <cell r="B63">
            <v>6559</v>
          </cell>
          <cell r="X63">
            <v>0</v>
          </cell>
          <cell r="Y63">
            <v>0</v>
          </cell>
          <cell r="Z63">
            <v>0</v>
          </cell>
          <cell r="AB63">
            <v>277</v>
          </cell>
          <cell r="AC63">
            <v>1014</v>
          </cell>
          <cell r="AD63">
            <v>53</v>
          </cell>
        </row>
        <row r="64">
          <cell r="B64">
            <v>0</v>
          </cell>
          <cell r="X64">
            <v>0</v>
          </cell>
          <cell r="Y64">
            <v>0</v>
          </cell>
          <cell r="Z64">
            <v>0</v>
          </cell>
          <cell r="AB64">
            <v>0</v>
          </cell>
          <cell r="AC64">
            <v>0</v>
          </cell>
          <cell r="AD64">
            <v>0</v>
          </cell>
        </row>
        <row r="65">
          <cell r="B65">
            <v>0</v>
          </cell>
          <cell r="X65">
            <v>0</v>
          </cell>
          <cell r="Y65">
            <v>0</v>
          </cell>
          <cell r="Z65">
            <v>0</v>
          </cell>
          <cell r="AB65">
            <v>0</v>
          </cell>
          <cell r="AC65">
            <v>0</v>
          </cell>
          <cell r="AD65">
            <v>0</v>
          </cell>
        </row>
        <row r="66">
          <cell r="B66">
            <v>0</v>
          </cell>
          <cell r="X66">
            <v>0</v>
          </cell>
          <cell r="Y66">
            <v>0</v>
          </cell>
          <cell r="Z66">
            <v>0</v>
          </cell>
          <cell r="AB66">
            <v>0</v>
          </cell>
          <cell r="AC66">
            <v>0</v>
          </cell>
          <cell r="AD66">
            <v>0</v>
          </cell>
        </row>
        <row r="67">
          <cell r="B67">
            <v>0</v>
          </cell>
          <cell r="X67">
            <v>0</v>
          </cell>
          <cell r="Y67">
            <v>0</v>
          </cell>
          <cell r="Z67">
            <v>0</v>
          </cell>
          <cell r="AB67">
            <v>0</v>
          </cell>
          <cell r="AC67">
            <v>0</v>
          </cell>
          <cell r="AD67">
            <v>0</v>
          </cell>
        </row>
        <row r="68">
          <cell r="B68">
            <v>0</v>
          </cell>
          <cell r="X68">
            <v>0</v>
          </cell>
          <cell r="Y68">
            <v>0</v>
          </cell>
          <cell r="Z68">
            <v>0</v>
          </cell>
          <cell r="AB68">
            <v>0</v>
          </cell>
          <cell r="AC68">
            <v>0</v>
          </cell>
          <cell r="AD68">
            <v>0</v>
          </cell>
        </row>
        <row r="69">
          <cell r="B69">
            <v>0</v>
          </cell>
          <cell r="X69">
            <v>0</v>
          </cell>
          <cell r="Y69">
            <v>0</v>
          </cell>
          <cell r="Z69">
            <v>0</v>
          </cell>
          <cell r="AB69">
            <v>0</v>
          </cell>
          <cell r="AC69">
            <v>0</v>
          </cell>
          <cell r="AD69">
            <v>0</v>
          </cell>
        </row>
        <row r="70">
          <cell r="B70">
            <v>0</v>
          </cell>
          <cell r="X70">
            <v>0</v>
          </cell>
          <cell r="Y70">
            <v>0</v>
          </cell>
          <cell r="Z70">
            <v>0</v>
          </cell>
          <cell r="AB70">
            <v>0</v>
          </cell>
          <cell r="AC70">
            <v>0</v>
          </cell>
          <cell r="AD70">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1</v>
          </cell>
          <cell r="F21">
            <v>10</v>
          </cell>
          <cell r="G21">
            <v>155</v>
          </cell>
          <cell r="H21">
            <v>332</v>
          </cell>
          <cell r="I21">
            <v>109</v>
          </cell>
          <cell r="J21">
            <v>360</v>
          </cell>
          <cell r="K21">
            <v>113</v>
          </cell>
          <cell r="L21">
            <v>375</v>
          </cell>
          <cell r="M21">
            <v>121</v>
          </cell>
          <cell r="N21">
            <v>298</v>
          </cell>
          <cell r="O21">
            <v>85</v>
          </cell>
          <cell r="P21">
            <v>279</v>
          </cell>
          <cell r="Q21">
            <v>92</v>
          </cell>
          <cell r="R21">
            <v>218</v>
          </cell>
          <cell r="S21">
            <v>84</v>
          </cell>
          <cell r="T21">
            <v>196</v>
          </cell>
          <cell r="U21">
            <v>76</v>
          </cell>
          <cell r="V21">
            <v>156</v>
          </cell>
          <cell r="W21">
            <v>75</v>
          </cell>
          <cell r="X21">
            <v>148</v>
          </cell>
          <cell r="Y21">
            <v>169</v>
          </cell>
          <cell r="Z21">
            <v>330</v>
          </cell>
          <cell r="AA21">
            <v>206</v>
          </cell>
          <cell r="AB21">
            <v>355</v>
          </cell>
          <cell r="AC21">
            <v>204</v>
          </cell>
          <cell r="AD21">
            <v>292</v>
          </cell>
          <cell r="AE21">
            <v>187</v>
          </cell>
          <cell r="AF21">
            <v>328</v>
          </cell>
        </row>
      </sheetData>
      <sheetData sheetId="3"/>
      <sheetData sheetId="4"/>
      <sheetData sheetId="5"/>
      <sheetData sheetId="6"/>
      <sheetData sheetId="7"/>
      <sheetData sheetId="8"/>
      <sheetData sheetId="9">
        <row r="12">
          <cell r="D12">
            <v>10394</v>
          </cell>
        </row>
        <row r="14">
          <cell r="D14">
            <v>467</v>
          </cell>
        </row>
        <row r="21">
          <cell r="G21">
            <v>69</v>
          </cell>
          <cell r="H21">
            <v>86</v>
          </cell>
          <cell r="I21">
            <v>108</v>
          </cell>
          <cell r="J21">
            <v>63</v>
          </cell>
          <cell r="K21">
            <v>139</v>
          </cell>
          <cell r="L21">
            <v>126</v>
          </cell>
          <cell r="M21">
            <v>143</v>
          </cell>
          <cell r="N21">
            <v>150</v>
          </cell>
          <cell r="O21">
            <v>170</v>
          </cell>
          <cell r="P21">
            <v>160</v>
          </cell>
          <cell r="Q21">
            <v>227</v>
          </cell>
          <cell r="R21">
            <v>227</v>
          </cell>
          <cell r="S21">
            <v>224</v>
          </cell>
          <cell r="T21">
            <v>218</v>
          </cell>
          <cell r="U21">
            <v>104</v>
          </cell>
          <cell r="V21">
            <v>99</v>
          </cell>
          <cell r="W21">
            <v>204</v>
          </cell>
          <cell r="X21">
            <v>242</v>
          </cell>
          <cell r="Y21">
            <v>353</v>
          </cell>
          <cell r="Z21">
            <v>353</v>
          </cell>
          <cell r="AA21">
            <v>282</v>
          </cell>
          <cell r="AB21">
            <v>355</v>
          </cell>
        </row>
        <row r="22">
          <cell r="G22">
            <v>0</v>
          </cell>
          <cell r="H22">
            <v>0</v>
          </cell>
          <cell r="I22">
            <v>0</v>
          </cell>
          <cell r="J22">
            <v>0</v>
          </cell>
          <cell r="K22">
            <v>6</v>
          </cell>
          <cell r="L22">
            <v>0</v>
          </cell>
          <cell r="M22">
            <v>17</v>
          </cell>
          <cell r="N22">
            <v>31</v>
          </cell>
          <cell r="O22">
            <v>49</v>
          </cell>
          <cell r="P22">
            <v>48</v>
          </cell>
          <cell r="Q22">
            <v>51</v>
          </cell>
          <cell r="R22">
            <v>72</v>
          </cell>
          <cell r="S22">
            <v>179</v>
          </cell>
          <cell r="T22">
            <v>192</v>
          </cell>
          <cell r="U22">
            <v>170</v>
          </cell>
          <cell r="V22">
            <v>161</v>
          </cell>
          <cell r="W22">
            <v>293</v>
          </cell>
          <cell r="X22">
            <v>425</v>
          </cell>
          <cell r="Y22">
            <v>889</v>
          </cell>
          <cell r="Z22">
            <v>865</v>
          </cell>
          <cell r="AA22">
            <v>520</v>
          </cell>
          <cell r="AB22">
            <v>614</v>
          </cell>
        </row>
        <row r="23">
          <cell r="G23">
            <v>4</v>
          </cell>
          <cell r="H23">
            <v>6</v>
          </cell>
          <cell r="I23">
            <v>44</v>
          </cell>
          <cell r="J23">
            <v>15</v>
          </cell>
          <cell r="K23">
            <v>112</v>
          </cell>
          <cell r="L23">
            <v>159</v>
          </cell>
          <cell r="M23">
            <v>259</v>
          </cell>
          <cell r="N23">
            <v>241</v>
          </cell>
          <cell r="O23">
            <v>369</v>
          </cell>
          <cell r="P23">
            <v>359</v>
          </cell>
          <cell r="Q23">
            <v>454</v>
          </cell>
          <cell r="R23">
            <v>425</v>
          </cell>
          <cell r="S23">
            <v>255</v>
          </cell>
          <cell r="T23">
            <v>261</v>
          </cell>
          <cell r="U23">
            <v>47</v>
          </cell>
          <cell r="V23">
            <v>41</v>
          </cell>
          <cell r="W23">
            <v>79</v>
          </cell>
          <cell r="X23">
            <v>89</v>
          </cell>
          <cell r="Y23">
            <v>133</v>
          </cell>
          <cell r="Z23">
            <v>160</v>
          </cell>
          <cell r="AA23">
            <v>163</v>
          </cell>
          <cell r="AB23">
            <v>194</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2</v>
          </cell>
          <cell r="L25">
            <v>1</v>
          </cell>
          <cell r="M25">
            <v>5</v>
          </cell>
          <cell r="N25">
            <v>4</v>
          </cell>
          <cell r="O25">
            <v>9</v>
          </cell>
          <cell r="P25">
            <v>9</v>
          </cell>
          <cell r="Q25">
            <v>28</v>
          </cell>
          <cell r="R25">
            <v>17</v>
          </cell>
          <cell r="S25">
            <v>28</v>
          </cell>
          <cell r="T25">
            <v>28</v>
          </cell>
          <cell r="U25">
            <v>34</v>
          </cell>
          <cell r="V25">
            <v>35</v>
          </cell>
          <cell r="W25">
            <v>83</v>
          </cell>
          <cell r="X25">
            <v>96</v>
          </cell>
          <cell r="Y25">
            <v>202</v>
          </cell>
          <cell r="Z25">
            <v>218</v>
          </cell>
          <cell r="AA25">
            <v>278</v>
          </cell>
          <cell r="AB25">
            <v>312</v>
          </cell>
        </row>
      </sheetData>
      <sheetData sheetId="10"/>
      <sheetData sheetId="11"/>
      <sheetData sheetId="12"/>
      <sheetData sheetId="13">
        <row r="11">
          <cell r="B11">
            <v>193</v>
          </cell>
          <cell r="E11">
            <v>0</v>
          </cell>
          <cell r="F11">
            <v>0</v>
          </cell>
          <cell r="G11">
            <v>181</v>
          </cell>
        </row>
        <row r="25">
          <cell r="B25">
            <v>14905</v>
          </cell>
        </row>
        <row r="26">
          <cell r="B26">
            <v>15</v>
          </cell>
        </row>
        <row r="27">
          <cell r="B27">
            <v>96</v>
          </cell>
        </row>
        <row r="28">
          <cell r="B28">
            <v>114</v>
          </cell>
        </row>
        <row r="29">
          <cell r="B29">
            <v>28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0</v>
          </cell>
          <cell r="F21">
            <v>0</v>
          </cell>
          <cell r="G21">
            <v>2</v>
          </cell>
          <cell r="H21">
            <v>35</v>
          </cell>
          <cell r="I21">
            <v>12</v>
          </cell>
          <cell r="J21">
            <v>21</v>
          </cell>
          <cell r="K21">
            <v>10</v>
          </cell>
          <cell r="L21">
            <v>19</v>
          </cell>
          <cell r="M21">
            <v>2</v>
          </cell>
          <cell r="N21">
            <v>19</v>
          </cell>
          <cell r="O21">
            <v>3</v>
          </cell>
          <cell r="P21">
            <v>17</v>
          </cell>
          <cell r="Q21">
            <v>14</v>
          </cell>
          <cell r="R21">
            <v>20</v>
          </cell>
          <cell r="S21">
            <v>6</v>
          </cell>
          <cell r="T21">
            <v>25</v>
          </cell>
          <cell r="U21">
            <v>4</v>
          </cell>
          <cell r="V21">
            <v>11</v>
          </cell>
          <cell r="W21">
            <v>3</v>
          </cell>
          <cell r="X21">
            <v>8</v>
          </cell>
          <cell r="Y21">
            <v>29</v>
          </cell>
          <cell r="Z21">
            <v>44</v>
          </cell>
          <cell r="AA21">
            <v>33</v>
          </cell>
          <cell r="AB21">
            <v>50</v>
          </cell>
          <cell r="AC21">
            <v>22</v>
          </cell>
          <cell r="AD21">
            <v>21</v>
          </cell>
          <cell r="AE21">
            <v>24</v>
          </cell>
          <cell r="AF21">
            <v>32</v>
          </cell>
        </row>
      </sheetData>
      <sheetData sheetId="3"/>
      <sheetData sheetId="4"/>
      <sheetData sheetId="5"/>
      <sheetData sheetId="6"/>
      <sheetData sheetId="7"/>
      <sheetData sheetId="8"/>
      <sheetData sheetId="9">
        <row r="12">
          <cell r="D12">
            <v>1420</v>
          </cell>
        </row>
        <row r="14">
          <cell r="D14">
            <v>1</v>
          </cell>
        </row>
        <row r="21">
          <cell r="G21">
            <v>12</v>
          </cell>
          <cell r="H21">
            <v>14</v>
          </cell>
          <cell r="I21">
            <v>15</v>
          </cell>
          <cell r="J21">
            <v>11</v>
          </cell>
          <cell r="K21">
            <v>11</v>
          </cell>
          <cell r="L21">
            <v>21</v>
          </cell>
          <cell r="M21">
            <v>15</v>
          </cell>
          <cell r="N21">
            <v>22</v>
          </cell>
          <cell r="O21">
            <v>17</v>
          </cell>
          <cell r="P21">
            <v>23</v>
          </cell>
          <cell r="Q21">
            <v>23</v>
          </cell>
          <cell r="R21">
            <v>18</v>
          </cell>
          <cell r="S21">
            <v>14</v>
          </cell>
          <cell r="T21">
            <v>11</v>
          </cell>
          <cell r="U21">
            <v>35</v>
          </cell>
          <cell r="V21">
            <v>51</v>
          </cell>
          <cell r="W21">
            <v>30</v>
          </cell>
          <cell r="X21">
            <v>59</v>
          </cell>
          <cell r="Y21">
            <v>96</v>
          </cell>
          <cell r="Z21">
            <v>121</v>
          </cell>
          <cell r="AA21">
            <v>72</v>
          </cell>
          <cell r="AB21">
            <v>77</v>
          </cell>
        </row>
        <row r="22">
          <cell r="G22">
            <v>0</v>
          </cell>
          <cell r="H22">
            <v>0</v>
          </cell>
          <cell r="I22">
            <v>0</v>
          </cell>
          <cell r="J22">
            <v>0</v>
          </cell>
          <cell r="K22">
            <v>0</v>
          </cell>
          <cell r="L22">
            <v>0</v>
          </cell>
          <cell r="M22">
            <v>1</v>
          </cell>
          <cell r="N22">
            <v>0</v>
          </cell>
          <cell r="O22">
            <v>0</v>
          </cell>
          <cell r="P22">
            <v>0</v>
          </cell>
          <cell r="Q22">
            <v>8</v>
          </cell>
          <cell r="R22">
            <v>2</v>
          </cell>
          <cell r="S22">
            <v>4</v>
          </cell>
          <cell r="T22">
            <v>12</v>
          </cell>
          <cell r="U22">
            <v>15</v>
          </cell>
          <cell r="V22">
            <v>13</v>
          </cell>
          <cell r="W22">
            <v>21</v>
          </cell>
          <cell r="X22">
            <v>18</v>
          </cell>
          <cell r="Y22">
            <v>121</v>
          </cell>
          <cell r="Z22">
            <v>228</v>
          </cell>
          <cell r="AA22">
            <v>74</v>
          </cell>
          <cell r="AB22">
            <v>76</v>
          </cell>
        </row>
        <row r="23">
          <cell r="G23">
            <v>0</v>
          </cell>
          <cell r="H23">
            <v>0</v>
          </cell>
          <cell r="I23">
            <v>0</v>
          </cell>
          <cell r="J23">
            <v>0</v>
          </cell>
          <cell r="K23">
            <v>1</v>
          </cell>
          <cell r="L23">
            <v>2</v>
          </cell>
          <cell r="M23">
            <v>3</v>
          </cell>
          <cell r="N23">
            <v>6</v>
          </cell>
          <cell r="O23">
            <v>4</v>
          </cell>
          <cell r="P23">
            <v>7</v>
          </cell>
          <cell r="Q23">
            <v>6</v>
          </cell>
          <cell r="R23">
            <v>5</v>
          </cell>
          <cell r="S23">
            <v>3</v>
          </cell>
          <cell r="T23">
            <v>5</v>
          </cell>
          <cell r="U23">
            <v>11</v>
          </cell>
          <cell r="V23">
            <v>14</v>
          </cell>
          <cell r="W23">
            <v>11</v>
          </cell>
          <cell r="X23">
            <v>19</v>
          </cell>
          <cell r="Y23">
            <v>25</v>
          </cell>
          <cell r="Z23">
            <v>34</v>
          </cell>
          <cell r="AA23">
            <v>11</v>
          </cell>
          <cell r="AB23">
            <v>13</v>
          </cell>
        </row>
        <row r="24">
          <cell r="G24">
            <v>0</v>
          </cell>
          <cell r="H24">
            <v>0</v>
          </cell>
          <cell r="I24">
            <v>0</v>
          </cell>
          <cell r="J24">
            <v>0</v>
          </cell>
          <cell r="K24">
            <v>0</v>
          </cell>
          <cell r="L24">
            <v>0</v>
          </cell>
          <cell r="M24">
            <v>1</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1</v>
          </cell>
          <cell r="M25">
            <v>1</v>
          </cell>
          <cell r="N25">
            <v>2</v>
          </cell>
          <cell r="O25">
            <v>6</v>
          </cell>
          <cell r="P25">
            <v>6</v>
          </cell>
          <cell r="Q25">
            <v>11</v>
          </cell>
          <cell r="R25">
            <v>5</v>
          </cell>
          <cell r="S25">
            <v>6</v>
          </cell>
          <cell r="T25">
            <v>2</v>
          </cell>
          <cell r="U25">
            <v>12</v>
          </cell>
          <cell r="V25">
            <v>9</v>
          </cell>
          <cell r="W25">
            <v>15</v>
          </cell>
          <cell r="X25">
            <v>19</v>
          </cell>
          <cell r="Y25">
            <v>55</v>
          </cell>
          <cell r="Z25">
            <v>57</v>
          </cell>
          <cell r="AA25">
            <v>31</v>
          </cell>
          <cell r="AB25">
            <v>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0</v>
          </cell>
          <cell r="F21">
            <v>0</v>
          </cell>
          <cell r="G21">
            <v>1</v>
          </cell>
          <cell r="H21">
            <v>7</v>
          </cell>
          <cell r="I21">
            <v>2</v>
          </cell>
          <cell r="J21">
            <v>9</v>
          </cell>
          <cell r="K21">
            <v>1</v>
          </cell>
          <cell r="L21">
            <v>3</v>
          </cell>
          <cell r="M21">
            <v>0</v>
          </cell>
          <cell r="N21">
            <v>4</v>
          </cell>
          <cell r="O21">
            <v>2</v>
          </cell>
          <cell r="P21">
            <v>5</v>
          </cell>
          <cell r="Q21">
            <v>2</v>
          </cell>
          <cell r="R21">
            <v>3</v>
          </cell>
          <cell r="S21">
            <v>0</v>
          </cell>
          <cell r="T21">
            <v>7</v>
          </cell>
          <cell r="U21">
            <v>4</v>
          </cell>
          <cell r="V21">
            <v>6</v>
          </cell>
          <cell r="W21">
            <v>1</v>
          </cell>
          <cell r="X21">
            <v>4</v>
          </cell>
          <cell r="Y21">
            <v>13</v>
          </cell>
          <cell r="Z21">
            <v>15</v>
          </cell>
          <cell r="AA21">
            <v>7</v>
          </cell>
          <cell r="AB21">
            <v>6</v>
          </cell>
          <cell r="AC21">
            <v>2</v>
          </cell>
          <cell r="AD21">
            <v>7</v>
          </cell>
          <cell r="AE21">
            <v>4</v>
          </cell>
          <cell r="AF21">
            <v>5</v>
          </cell>
        </row>
      </sheetData>
      <sheetData sheetId="3"/>
      <sheetData sheetId="4"/>
      <sheetData sheetId="5"/>
      <sheetData sheetId="6"/>
      <sheetData sheetId="7"/>
      <sheetData sheetId="8"/>
      <sheetData sheetId="9">
        <row r="12">
          <cell r="D12">
            <v>178</v>
          </cell>
        </row>
        <row r="14">
          <cell r="D14">
            <v>2</v>
          </cell>
        </row>
        <row r="21">
          <cell r="G21">
            <v>3</v>
          </cell>
          <cell r="H21">
            <v>3</v>
          </cell>
          <cell r="I21">
            <v>0</v>
          </cell>
          <cell r="J21">
            <v>3</v>
          </cell>
          <cell r="K21">
            <v>2</v>
          </cell>
          <cell r="L21">
            <v>4</v>
          </cell>
          <cell r="M21">
            <v>2</v>
          </cell>
          <cell r="N21">
            <v>4</v>
          </cell>
          <cell r="O21">
            <v>3</v>
          </cell>
          <cell r="P21">
            <v>4</v>
          </cell>
          <cell r="Q21">
            <v>3</v>
          </cell>
          <cell r="R21">
            <v>0</v>
          </cell>
          <cell r="S21">
            <v>5</v>
          </cell>
          <cell r="T21">
            <v>4</v>
          </cell>
          <cell r="U21">
            <v>0</v>
          </cell>
          <cell r="V21">
            <v>2</v>
          </cell>
          <cell r="W21">
            <v>9</v>
          </cell>
          <cell r="X21">
            <v>2</v>
          </cell>
          <cell r="Y21">
            <v>8</v>
          </cell>
          <cell r="Z21">
            <v>13</v>
          </cell>
          <cell r="AA21">
            <v>0</v>
          </cell>
          <cell r="AB21">
            <v>0</v>
          </cell>
        </row>
        <row r="22">
          <cell r="G22">
            <v>0</v>
          </cell>
          <cell r="H22">
            <v>0</v>
          </cell>
          <cell r="I22">
            <v>0</v>
          </cell>
          <cell r="J22">
            <v>0</v>
          </cell>
          <cell r="K22">
            <v>0</v>
          </cell>
          <cell r="L22">
            <v>0</v>
          </cell>
          <cell r="M22">
            <v>0</v>
          </cell>
          <cell r="N22">
            <v>2</v>
          </cell>
          <cell r="O22">
            <v>0</v>
          </cell>
          <cell r="P22">
            <v>2</v>
          </cell>
          <cell r="Q22">
            <v>0</v>
          </cell>
          <cell r="R22">
            <v>0</v>
          </cell>
          <cell r="S22">
            <v>8</v>
          </cell>
          <cell r="T22">
            <v>3</v>
          </cell>
          <cell r="U22">
            <v>0</v>
          </cell>
          <cell r="V22">
            <v>1</v>
          </cell>
          <cell r="W22">
            <v>7</v>
          </cell>
          <cell r="X22">
            <v>4</v>
          </cell>
          <cell r="Y22">
            <v>39</v>
          </cell>
          <cell r="Z22">
            <v>39</v>
          </cell>
          <cell r="AA22">
            <v>0</v>
          </cell>
          <cell r="AB22">
            <v>0</v>
          </cell>
        </row>
        <row r="23">
          <cell r="G23">
            <v>0</v>
          </cell>
          <cell r="H23">
            <v>1</v>
          </cell>
          <cell r="I23">
            <v>0</v>
          </cell>
          <cell r="J23">
            <v>2</v>
          </cell>
          <cell r="K23">
            <v>2</v>
          </cell>
          <cell r="L23">
            <v>4</v>
          </cell>
          <cell r="M23">
            <v>2</v>
          </cell>
          <cell r="N23">
            <v>4</v>
          </cell>
          <cell r="O23">
            <v>2</v>
          </cell>
          <cell r="P23">
            <v>3</v>
          </cell>
          <cell r="Q23">
            <v>2</v>
          </cell>
          <cell r="R23">
            <v>0</v>
          </cell>
          <cell r="S23">
            <v>5</v>
          </cell>
          <cell r="T23">
            <v>3</v>
          </cell>
          <cell r="U23">
            <v>0</v>
          </cell>
          <cell r="V23">
            <v>1</v>
          </cell>
          <cell r="W23">
            <v>5</v>
          </cell>
          <cell r="X23">
            <v>1</v>
          </cell>
          <cell r="Y23">
            <v>7</v>
          </cell>
          <cell r="Z23">
            <v>6</v>
          </cell>
          <cell r="AA23">
            <v>0</v>
          </cell>
          <cell r="AB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1</v>
          </cell>
          <cell r="N25">
            <v>0</v>
          </cell>
          <cell r="O25">
            <v>0</v>
          </cell>
          <cell r="P25">
            <v>1</v>
          </cell>
          <cell r="Q25">
            <v>0</v>
          </cell>
          <cell r="R25">
            <v>0</v>
          </cell>
          <cell r="S25">
            <v>2</v>
          </cell>
          <cell r="T25">
            <v>1</v>
          </cell>
          <cell r="U25">
            <v>0</v>
          </cell>
          <cell r="V25">
            <v>1</v>
          </cell>
          <cell r="W25">
            <v>9</v>
          </cell>
          <cell r="X25">
            <v>1</v>
          </cell>
          <cell r="Y25">
            <v>6</v>
          </cell>
          <cell r="Z25">
            <v>11</v>
          </cell>
          <cell r="AA25">
            <v>0</v>
          </cell>
          <cell r="AB25">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dad_individual"/>
      <sheetName val="edad_grupal"/>
    </sheetNames>
    <sheetDataSet>
      <sheetData sheetId="0"/>
      <sheetData sheetId="1">
        <row r="605">
          <cell r="AN605">
            <v>1170</v>
          </cell>
          <cell r="AO605">
            <v>1286</v>
          </cell>
          <cell r="AP605">
            <v>1198</v>
          </cell>
          <cell r="BA605">
            <v>737</v>
          </cell>
          <cell r="BB605">
            <v>561</v>
          </cell>
          <cell r="BC605">
            <v>405</v>
          </cell>
          <cell r="BD605">
            <v>504</v>
          </cell>
        </row>
        <row r="606">
          <cell r="AN606">
            <v>913</v>
          </cell>
          <cell r="AO606">
            <v>1052</v>
          </cell>
          <cell r="AP606">
            <v>1075</v>
          </cell>
          <cell r="BA606">
            <v>775</v>
          </cell>
          <cell r="BB606">
            <v>565</v>
          </cell>
          <cell r="BC606">
            <v>421</v>
          </cell>
          <cell r="BD606">
            <v>544</v>
          </cell>
        </row>
        <row r="607">
          <cell r="AN607">
            <v>1737</v>
          </cell>
          <cell r="AO607">
            <v>1835</v>
          </cell>
          <cell r="AP607">
            <v>1843</v>
          </cell>
          <cell r="BA607">
            <v>1286</v>
          </cell>
          <cell r="BB607">
            <v>957</v>
          </cell>
          <cell r="BC607">
            <v>672</v>
          </cell>
          <cell r="BD607">
            <v>909</v>
          </cell>
        </row>
        <row r="608">
          <cell r="AN608">
            <v>4081</v>
          </cell>
          <cell r="AO608">
            <v>4511</v>
          </cell>
          <cell r="AP608">
            <v>4753</v>
          </cell>
          <cell r="BA608">
            <v>3380</v>
          </cell>
          <cell r="BB608">
            <v>2540</v>
          </cell>
          <cell r="BC608">
            <v>1629</v>
          </cell>
          <cell r="BD608">
            <v>2205</v>
          </cell>
        </row>
        <row r="609">
          <cell r="AN609">
            <v>468</v>
          </cell>
          <cell r="AO609">
            <v>502</v>
          </cell>
          <cell r="AP609">
            <v>557</v>
          </cell>
          <cell r="BA609">
            <v>387</v>
          </cell>
          <cell r="BB609">
            <v>269</v>
          </cell>
          <cell r="BC609">
            <v>175</v>
          </cell>
          <cell r="BD609">
            <v>211</v>
          </cell>
        </row>
        <row r="610">
          <cell r="AN610">
            <v>1019</v>
          </cell>
          <cell r="AO610">
            <v>1156</v>
          </cell>
          <cell r="AP610">
            <v>1173</v>
          </cell>
          <cell r="BA610">
            <v>917</v>
          </cell>
          <cell r="BB610">
            <v>755</v>
          </cell>
          <cell r="BC610">
            <v>594</v>
          </cell>
          <cell r="BD610">
            <v>781</v>
          </cell>
        </row>
        <row r="611">
          <cell r="AN611">
            <v>764</v>
          </cell>
          <cell r="AO611">
            <v>941</v>
          </cell>
          <cell r="AP611">
            <v>849</v>
          </cell>
          <cell r="BA611">
            <v>492</v>
          </cell>
          <cell r="BB611">
            <v>371</v>
          </cell>
          <cell r="BC611">
            <v>271</v>
          </cell>
          <cell r="BD611">
            <v>317</v>
          </cell>
        </row>
        <row r="612">
          <cell r="AN612">
            <v>1344</v>
          </cell>
          <cell r="AO612">
            <v>1542</v>
          </cell>
          <cell r="AP612">
            <v>1484</v>
          </cell>
          <cell r="BA612">
            <v>954</v>
          </cell>
          <cell r="BB612">
            <v>731</v>
          </cell>
          <cell r="BC612">
            <v>535</v>
          </cell>
          <cell r="BD612">
            <v>671</v>
          </cell>
        </row>
        <row r="613">
          <cell r="AN613">
            <v>5219</v>
          </cell>
          <cell r="AO613">
            <v>5949</v>
          </cell>
          <cell r="AP613">
            <v>6038</v>
          </cell>
          <cell r="BA613">
            <v>3782</v>
          </cell>
          <cell r="BB613">
            <v>2813</v>
          </cell>
          <cell r="BC613">
            <v>2024</v>
          </cell>
          <cell r="BD613">
            <v>2748</v>
          </cell>
        </row>
        <row r="614">
          <cell r="AN614">
            <v>1017</v>
          </cell>
          <cell r="AO614">
            <v>1132</v>
          </cell>
          <cell r="AP614">
            <v>1107</v>
          </cell>
          <cell r="BA614">
            <v>795</v>
          </cell>
          <cell r="BB614">
            <v>600</v>
          </cell>
          <cell r="BC614">
            <v>442</v>
          </cell>
          <cell r="BD614">
            <v>536</v>
          </cell>
        </row>
        <row r="615">
          <cell r="AN615">
            <v>17732</v>
          </cell>
          <cell r="AO615">
            <v>19906</v>
          </cell>
          <cell r="AP615">
            <v>20077</v>
          </cell>
          <cell r="BA615">
            <v>13505</v>
          </cell>
          <cell r="BB615">
            <v>10162</v>
          </cell>
          <cell r="BC615">
            <v>7168</v>
          </cell>
          <cell r="BD615">
            <v>9426</v>
          </cell>
        </row>
        <row r="616">
          <cell r="AN616">
            <v>1182</v>
          </cell>
          <cell r="AO616">
            <v>1272</v>
          </cell>
          <cell r="AP616">
            <v>1215</v>
          </cell>
          <cell r="BA616">
            <v>771</v>
          </cell>
          <cell r="BB616">
            <v>594</v>
          </cell>
          <cell r="BC616">
            <v>425</v>
          </cell>
          <cell r="BD616">
            <v>534</v>
          </cell>
        </row>
        <row r="617">
          <cell r="AN617">
            <v>910</v>
          </cell>
          <cell r="AO617">
            <v>1033</v>
          </cell>
          <cell r="AP617">
            <v>1077</v>
          </cell>
          <cell r="BA617">
            <v>802</v>
          </cell>
          <cell r="BB617">
            <v>590</v>
          </cell>
          <cell r="BC617">
            <v>437</v>
          </cell>
          <cell r="BD617">
            <v>572</v>
          </cell>
        </row>
        <row r="618">
          <cell r="AN618">
            <v>1735</v>
          </cell>
          <cell r="AO618">
            <v>1797</v>
          </cell>
          <cell r="AP618">
            <v>1849</v>
          </cell>
          <cell r="BA618">
            <v>1327</v>
          </cell>
          <cell r="BB618">
            <v>1001</v>
          </cell>
          <cell r="BC618">
            <v>694</v>
          </cell>
          <cell r="BD618">
            <v>954</v>
          </cell>
        </row>
        <row r="619">
          <cell r="AN619">
            <v>4058</v>
          </cell>
          <cell r="AO619">
            <v>4402</v>
          </cell>
          <cell r="AP619">
            <v>4750</v>
          </cell>
          <cell r="BA619">
            <v>3475</v>
          </cell>
          <cell r="BB619">
            <v>2649</v>
          </cell>
          <cell r="BC619">
            <v>1685</v>
          </cell>
          <cell r="BD619">
            <v>2300</v>
          </cell>
        </row>
        <row r="620">
          <cell r="AN620">
            <v>466</v>
          </cell>
          <cell r="AO620">
            <v>493</v>
          </cell>
          <cell r="AP620">
            <v>557</v>
          </cell>
          <cell r="BA620">
            <v>399</v>
          </cell>
          <cell r="BB620">
            <v>282</v>
          </cell>
          <cell r="BC620">
            <v>181</v>
          </cell>
          <cell r="BD620">
            <v>221</v>
          </cell>
        </row>
        <row r="621">
          <cell r="AN621">
            <v>1014</v>
          </cell>
          <cell r="AO621">
            <v>1129</v>
          </cell>
          <cell r="AP621">
            <v>1171</v>
          </cell>
          <cell r="BA621">
            <v>942</v>
          </cell>
          <cell r="BB621">
            <v>787</v>
          </cell>
          <cell r="BC621">
            <v>616</v>
          </cell>
          <cell r="BD621">
            <v>817</v>
          </cell>
        </row>
        <row r="622">
          <cell r="AN622">
            <v>767</v>
          </cell>
          <cell r="AO622">
            <v>931</v>
          </cell>
          <cell r="AP622">
            <v>860</v>
          </cell>
          <cell r="BA622">
            <v>513</v>
          </cell>
          <cell r="BB622">
            <v>392</v>
          </cell>
          <cell r="BC622">
            <v>285</v>
          </cell>
          <cell r="BD622">
            <v>336</v>
          </cell>
        </row>
        <row r="623">
          <cell r="AN623">
            <v>1350</v>
          </cell>
          <cell r="AO623">
            <v>1515</v>
          </cell>
          <cell r="AP623">
            <v>1495</v>
          </cell>
          <cell r="BA623">
            <v>991</v>
          </cell>
          <cell r="BB623">
            <v>770</v>
          </cell>
          <cell r="BC623">
            <v>560</v>
          </cell>
          <cell r="BD623">
            <v>708</v>
          </cell>
        </row>
        <row r="624">
          <cell r="AN624">
            <v>5230</v>
          </cell>
          <cell r="AO624">
            <v>5854</v>
          </cell>
          <cell r="AP624">
            <v>6077</v>
          </cell>
          <cell r="BA624">
            <v>3911</v>
          </cell>
          <cell r="BB624">
            <v>2954</v>
          </cell>
          <cell r="BC624">
            <v>2104</v>
          </cell>
          <cell r="BD624">
            <v>2886</v>
          </cell>
        </row>
        <row r="625">
          <cell r="AN625">
            <v>1017</v>
          </cell>
          <cell r="AO625">
            <v>1111</v>
          </cell>
          <cell r="AP625">
            <v>1112</v>
          </cell>
          <cell r="BA625">
            <v>824</v>
          </cell>
          <cell r="BB625">
            <v>630</v>
          </cell>
          <cell r="BC625">
            <v>458</v>
          </cell>
          <cell r="BD625">
            <v>563</v>
          </cell>
        </row>
        <row r="626">
          <cell r="AN626">
            <v>17729</v>
          </cell>
          <cell r="AO626">
            <v>19537</v>
          </cell>
          <cell r="AP626">
            <v>20163</v>
          </cell>
          <cell r="BA626">
            <v>13955</v>
          </cell>
          <cell r="BB626">
            <v>10649</v>
          </cell>
          <cell r="BC626">
            <v>7445</v>
          </cell>
          <cell r="BD626">
            <v>9891</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6</v>
          </cell>
          <cell r="F21">
            <v>13</v>
          </cell>
          <cell r="G21">
            <v>40</v>
          </cell>
          <cell r="H21">
            <v>98</v>
          </cell>
          <cell r="I21">
            <v>70</v>
          </cell>
          <cell r="J21">
            <v>146</v>
          </cell>
          <cell r="K21">
            <v>71</v>
          </cell>
          <cell r="L21">
            <v>117</v>
          </cell>
          <cell r="M21">
            <v>58</v>
          </cell>
          <cell r="N21">
            <v>115</v>
          </cell>
          <cell r="O21">
            <v>48</v>
          </cell>
          <cell r="P21">
            <v>103</v>
          </cell>
          <cell r="Q21">
            <v>47</v>
          </cell>
          <cell r="R21">
            <v>79</v>
          </cell>
          <cell r="S21">
            <v>42</v>
          </cell>
          <cell r="T21">
            <v>81</v>
          </cell>
          <cell r="U21">
            <v>37</v>
          </cell>
          <cell r="V21">
            <v>86</v>
          </cell>
          <cell r="W21">
            <v>44</v>
          </cell>
          <cell r="X21">
            <v>57</v>
          </cell>
          <cell r="Y21">
            <v>105</v>
          </cell>
          <cell r="Z21">
            <v>214</v>
          </cell>
          <cell r="AA21">
            <v>121</v>
          </cell>
          <cell r="AB21">
            <v>156</v>
          </cell>
          <cell r="AC21">
            <v>104</v>
          </cell>
          <cell r="AD21">
            <v>163</v>
          </cell>
          <cell r="AE21">
            <v>95</v>
          </cell>
          <cell r="AF21">
            <v>151</v>
          </cell>
        </row>
      </sheetData>
      <sheetData sheetId="3"/>
      <sheetData sheetId="4"/>
      <sheetData sheetId="5"/>
      <sheetData sheetId="6"/>
      <sheetData sheetId="7"/>
      <sheetData sheetId="8"/>
      <sheetData sheetId="9">
        <row r="12">
          <cell r="D12">
            <v>10216</v>
          </cell>
        </row>
        <row r="14">
          <cell r="D14">
            <v>722</v>
          </cell>
        </row>
        <row r="21">
          <cell r="G21">
            <v>121</v>
          </cell>
          <cell r="H21">
            <v>107</v>
          </cell>
          <cell r="I21">
            <v>76</v>
          </cell>
          <cell r="J21">
            <v>85</v>
          </cell>
          <cell r="K21">
            <v>52</v>
          </cell>
          <cell r="L21">
            <v>77</v>
          </cell>
          <cell r="M21">
            <v>82</v>
          </cell>
          <cell r="N21">
            <v>57</v>
          </cell>
          <cell r="O21">
            <v>78</v>
          </cell>
          <cell r="P21">
            <v>55</v>
          </cell>
          <cell r="Q21">
            <v>68</v>
          </cell>
          <cell r="R21">
            <v>55</v>
          </cell>
          <cell r="S21">
            <v>86</v>
          </cell>
          <cell r="T21">
            <v>90</v>
          </cell>
          <cell r="U21">
            <v>57</v>
          </cell>
          <cell r="V21">
            <v>81</v>
          </cell>
          <cell r="W21">
            <v>139</v>
          </cell>
          <cell r="X21">
            <v>126</v>
          </cell>
          <cell r="Y21">
            <v>244</v>
          </cell>
          <cell r="Z21">
            <v>282</v>
          </cell>
          <cell r="AA21">
            <v>110</v>
          </cell>
          <cell r="AB21">
            <v>174</v>
          </cell>
        </row>
        <row r="22">
          <cell r="G22">
            <v>0</v>
          </cell>
          <cell r="H22">
            <v>0</v>
          </cell>
          <cell r="I22">
            <v>0</v>
          </cell>
          <cell r="J22">
            <v>0</v>
          </cell>
          <cell r="K22">
            <v>0</v>
          </cell>
          <cell r="L22">
            <v>0</v>
          </cell>
          <cell r="M22">
            <v>14</v>
          </cell>
          <cell r="N22">
            <v>3</v>
          </cell>
          <cell r="O22">
            <v>27</v>
          </cell>
          <cell r="P22">
            <v>9</v>
          </cell>
          <cell r="Q22">
            <v>43</v>
          </cell>
          <cell r="R22">
            <v>23</v>
          </cell>
          <cell r="S22">
            <v>62</v>
          </cell>
          <cell r="T22">
            <v>110</v>
          </cell>
          <cell r="U22">
            <v>129</v>
          </cell>
          <cell r="V22">
            <v>149</v>
          </cell>
          <cell r="W22">
            <v>196</v>
          </cell>
          <cell r="X22">
            <v>221</v>
          </cell>
          <cell r="Y22">
            <v>462</v>
          </cell>
          <cell r="Z22">
            <v>583</v>
          </cell>
          <cell r="AA22">
            <v>240</v>
          </cell>
          <cell r="AB22">
            <v>378</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5</v>
          </cell>
          <cell r="N25">
            <v>1</v>
          </cell>
          <cell r="O25">
            <v>6</v>
          </cell>
          <cell r="P25">
            <v>2</v>
          </cell>
          <cell r="Q25">
            <v>2</v>
          </cell>
          <cell r="R25">
            <v>10</v>
          </cell>
          <cell r="S25">
            <v>9</v>
          </cell>
          <cell r="T25">
            <v>9</v>
          </cell>
          <cell r="U25">
            <v>16</v>
          </cell>
          <cell r="V25">
            <v>22</v>
          </cell>
          <cell r="W25">
            <v>45</v>
          </cell>
          <cell r="X25">
            <v>60</v>
          </cell>
          <cell r="Y25">
            <v>194</v>
          </cell>
          <cell r="Z25">
            <v>202</v>
          </cell>
          <cell r="AA25">
            <v>120</v>
          </cell>
          <cell r="AB25">
            <v>176</v>
          </cell>
        </row>
      </sheetData>
      <sheetData sheetId="10"/>
      <sheetData sheetId="11"/>
      <sheetData sheetId="12"/>
      <sheetData sheetId="13">
        <row r="11">
          <cell r="B11">
            <v>117</v>
          </cell>
          <cell r="E11">
            <v>0</v>
          </cell>
          <cell r="F11">
            <v>0</v>
          </cell>
          <cell r="G11">
            <v>88</v>
          </cell>
        </row>
        <row r="25">
          <cell r="B25">
            <v>11903</v>
          </cell>
        </row>
        <row r="26">
          <cell r="B26">
            <v>11</v>
          </cell>
        </row>
        <row r="27">
          <cell r="B27">
            <v>68</v>
          </cell>
        </row>
        <row r="28">
          <cell r="B28">
            <v>600</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5</v>
          </cell>
          <cell r="F21">
            <v>10</v>
          </cell>
          <cell r="G21">
            <v>45</v>
          </cell>
          <cell r="H21">
            <v>111</v>
          </cell>
          <cell r="I21">
            <v>57</v>
          </cell>
          <cell r="J21">
            <v>141</v>
          </cell>
          <cell r="K21">
            <v>60</v>
          </cell>
          <cell r="L21">
            <v>121</v>
          </cell>
          <cell r="M21">
            <v>72</v>
          </cell>
          <cell r="N21">
            <v>123</v>
          </cell>
          <cell r="O21">
            <v>57</v>
          </cell>
          <cell r="P21">
            <v>126</v>
          </cell>
          <cell r="Q21">
            <v>40</v>
          </cell>
          <cell r="R21">
            <v>92</v>
          </cell>
          <cell r="S21">
            <v>37</v>
          </cell>
          <cell r="T21">
            <v>63</v>
          </cell>
          <cell r="U21">
            <v>31</v>
          </cell>
          <cell r="V21">
            <v>83</v>
          </cell>
          <cell r="W21">
            <v>26</v>
          </cell>
          <cell r="X21">
            <v>44</v>
          </cell>
          <cell r="Y21">
            <v>240</v>
          </cell>
          <cell r="Z21">
            <v>359</v>
          </cell>
          <cell r="AA21">
            <v>209</v>
          </cell>
          <cell r="AB21">
            <v>228</v>
          </cell>
          <cell r="AC21">
            <v>149</v>
          </cell>
          <cell r="AD21">
            <v>162</v>
          </cell>
          <cell r="AE21">
            <v>84</v>
          </cell>
          <cell r="AF21">
            <v>158</v>
          </cell>
        </row>
      </sheetData>
      <sheetData sheetId="3"/>
      <sheetData sheetId="4"/>
      <sheetData sheetId="5"/>
      <sheetData sheetId="6"/>
      <sheetData sheetId="7"/>
      <sheetData sheetId="8"/>
      <sheetData sheetId="9">
        <row r="12">
          <cell r="D12">
            <v>4662</v>
          </cell>
        </row>
        <row r="14">
          <cell r="D14">
            <v>300</v>
          </cell>
        </row>
        <row r="21">
          <cell r="G21">
            <v>39</v>
          </cell>
          <cell r="H21">
            <v>41</v>
          </cell>
          <cell r="I21">
            <v>37</v>
          </cell>
          <cell r="J21">
            <v>33</v>
          </cell>
          <cell r="K21">
            <v>37</v>
          </cell>
          <cell r="L21">
            <v>37</v>
          </cell>
          <cell r="M21">
            <v>68</v>
          </cell>
          <cell r="N21">
            <v>39</v>
          </cell>
          <cell r="O21">
            <v>65</v>
          </cell>
          <cell r="P21">
            <v>73</v>
          </cell>
          <cell r="Q21">
            <v>99</v>
          </cell>
          <cell r="R21">
            <v>104</v>
          </cell>
          <cell r="S21">
            <v>119</v>
          </cell>
          <cell r="T21">
            <v>107</v>
          </cell>
          <cell r="U21">
            <v>55</v>
          </cell>
          <cell r="V21">
            <v>60</v>
          </cell>
          <cell r="W21">
            <v>121</v>
          </cell>
          <cell r="X21">
            <v>169</v>
          </cell>
          <cell r="Y21">
            <v>230</v>
          </cell>
          <cell r="Z21">
            <v>237</v>
          </cell>
          <cell r="AA21">
            <v>135</v>
          </cell>
          <cell r="AB21">
            <v>206</v>
          </cell>
        </row>
        <row r="22">
          <cell r="G22">
            <v>0</v>
          </cell>
          <cell r="H22">
            <v>0</v>
          </cell>
          <cell r="I22">
            <v>0</v>
          </cell>
          <cell r="J22">
            <v>0</v>
          </cell>
          <cell r="K22">
            <v>8</v>
          </cell>
          <cell r="L22">
            <v>3</v>
          </cell>
          <cell r="M22">
            <v>39</v>
          </cell>
          <cell r="N22">
            <v>45</v>
          </cell>
          <cell r="O22">
            <v>75</v>
          </cell>
          <cell r="P22">
            <v>73</v>
          </cell>
          <cell r="Q22">
            <v>137</v>
          </cell>
          <cell r="R22">
            <v>92</v>
          </cell>
          <cell r="S22">
            <v>178</v>
          </cell>
          <cell r="T22">
            <v>213</v>
          </cell>
          <cell r="U22">
            <v>100</v>
          </cell>
          <cell r="V22">
            <v>121</v>
          </cell>
          <cell r="W22">
            <v>207</v>
          </cell>
          <cell r="X22">
            <v>336</v>
          </cell>
          <cell r="Y22">
            <v>1008</v>
          </cell>
          <cell r="Z22">
            <v>1048</v>
          </cell>
          <cell r="AA22">
            <v>435</v>
          </cell>
          <cell r="AB22">
            <v>562</v>
          </cell>
        </row>
        <row r="23">
          <cell r="G23">
            <v>0</v>
          </cell>
          <cell r="H23">
            <v>0</v>
          </cell>
          <cell r="I23">
            <v>2</v>
          </cell>
          <cell r="J23">
            <v>0</v>
          </cell>
          <cell r="K23">
            <v>25</v>
          </cell>
          <cell r="L23">
            <v>22</v>
          </cell>
          <cell r="M23">
            <v>69</v>
          </cell>
          <cell r="N23">
            <v>61</v>
          </cell>
          <cell r="O23">
            <v>58</v>
          </cell>
          <cell r="P23">
            <v>71</v>
          </cell>
          <cell r="Q23">
            <v>87</v>
          </cell>
          <cell r="R23">
            <v>66</v>
          </cell>
          <cell r="S23">
            <v>28</v>
          </cell>
          <cell r="T23">
            <v>16</v>
          </cell>
          <cell r="U23">
            <v>12</v>
          </cell>
          <cell r="V23">
            <v>2</v>
          </cell>
          <cell r="W23">
            <v>9</v>
          </cell>
          <cell r="X23">
            <v>12</v>
          </cell>
          <cell r="Y23">
            <v>29</v>
          </cell>
          <cell r="Z23">
            <v>25</v>
          </cell>
          <cell r="AA23">
            <v>22</v>
          </cell>
          <cell r="AB23">
            <v>35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1</v>
          </cell>
          <cell r="J25">
            <v>1</v>
          </cell>
          <cell r="K25">
            <v>0</v>
          </cell>
          <cell r="L25">
            <v>3</v>
          </cell>
          <cell r="M25">
            <v>2</v>
          </cell>
          <cell r="N25">
            <v>1</v>
          </cell>
          <cell r="O25">
            <v>4</v>
          </cell>
          <cell r="P25">
            <v>2</v>
          </cell>
          <cell r="Q25">
            <v>5</v>
          </cell>
          <cell r="R25">
            <v>6</v>
          </cell>
          <cell r="S25">
            <v>3</v>
          </cell>
          <cell r="T25">
            <v>4</v>
          </cell>
          <cell r="U25">
            <v>9</v>
          </cell>
          <cell r="V25">
            <v>6</v>
          </cell>
          <cell r="W25">
            <v>28</v>
          </cell>
          <cell r="X25">
            <v>40</v>
          </cell>
          <cell r="Y25">
            <v>85</v>
          </cell>
          <cell r="Z25">
            <v>83</v>
          </cell>
          <cell r="AA25">
            <v>121</v>
          </cell>
          <cell r="AB25">
            <v>208</v>
          </cell>
        </row>
      </sheetData>
      <sheetData sheetId="10"/>
      <sheetData sheetId="11"/>
      <sheetData sheetId="12"/>
      <sheetData sheetId="13">
        <row r="11">
          <cell r="B11">
            <v>32</v>
          </cell>
          <cell r="E11">
            <v>3</v>
          </cell>
          <cell r="F11">
            <v>0</v>
          </cell>
          <cell r="G11">
            <v>32</v>
          </cell>
        </row>
        <row r="25">
          <cell r="B25">
            <v>1345</v>
          </cell>
        </row>
        <row r="26">
          <cell r="B26">
            <v>5</v>
          </cell>
        </row>
        <row r="27">
          <cell r="B27">
            <v>66</v>
          </cell>
        </row>
        <row r="28">
          <cell r="B28">
            <v>1</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2</v>
          </cell>
          <cell r="F21">
            <v>2</v>
          </cell>
          <cell r="G21">
            <v>8</v>
          </cell>
          <cell r="H21">
            <v>15</v>
          </cell>
          <cell r="I21">
            <v>12</v>
          </cell>
          <cell r="J21">
            <v>21</v>
          </cell>
          <cell r="K21">
            <v>9</v>
          </cell>
          <cell r="L21">
            <v>16</v>
          </cell>
          <cell r="M21">
            <v>9</v>
          </cell>
          <cell r="N21">
            <v>16</v>
          </cell>
          <cell r="O21">
            <v>6</v>
          </cell>
          <cell r="P21">
            <v>10</v>
          </cell>
          <cell r="Q21">
            <v>7</v>
          </cell>
          <cell r="R21">
            <v>9</v>
          </cell>
          <cell r="S21">
            <v>9</v>
          </cell>
          <cell r="T21">
            <v>6</v>
          </cell>
          <cell r="U21">
            <v>17</v>
          </cell>
          <cell r="V21">
            <v>10</v>
          </cell>
          <cell r="W21">
            <v>8</v>
          </cell>
          <cell r="X21">
            <v>4</v>
          </cell>
          <cell r="Y21">
            <v>19</v>
          </cell>
          <cell r="Z21">
            <v>30</v>
          </cell>
          <cell r="AA21">
            <v>12</v>
          </cell>
          <cell r="AB21">
            <v>14</v>
          </cell>
          <cell r="AC21">
            <v>12</v>
          </cell>
          <cell r="AD21">
            <v>17</v>
          </cell>
          <cell r="AE21">
            <v>9</v>
          </cell>
          <cell r="AF21">
            <v>18</v>
          </cell>
        </row>
      </sheetData>
      <sheetData sheetId="3"/>
      <sheetData sheetId="4"/>
      <sheetData sheetId="5"/>
      <sheetData sheetId="6"/>
      <sheetData sheetId="7"/>
      <sheetData sheetId="8"/>
      <sheetData sheetId="9">
        <row r="12">
          <cell r="D12">
            <v>638</v>
          </cell>
        </row>
        <row r="14">
          <cell r="D14">
            <v>71</v>
          </cell>
        </row>
        <row r="21">
          <cell r="G21">
            <v>8</v>
          </cell>
          <cell r="H21">
            <v>11</v>
          </cell>
          <cell r="I21">
            <v>5</v>
          </cell>
          <cell r="J21">
            <v>20</v>
          </cell>
          <cell r="K21">
            <v>15</v>
          </cell>
          <cell r="L21">
            <v>23</v>
          </cell>
          <cell r="M21">
            <v>14</v>
          </cell>
          <cell r="N21">
            <v>19</v>
          </cell>
          <cell r="O21">
            <v>18</v>
          </cell>
          <cell r="P21">
            <v>26</v>
          </cell>
          <cell r="Q21">
            <v>19</v>
          </cell>
          <cell r="R21">
            <v>13</v>
          </cell>
          <cell r="S21">
            <v>22</v>
          </cell>
          <cell r="T21">
            <v>18</v>
          </cell>
          <cell r="U21">
            <v>21</v>
          </cell>
          <cell r="V21">
            <v>19</v>
          </cell>
          <cell r="W21">
            <v>36</v>
          </cell>
          <cell r="X21">
            <v>28</v>
          </cell>
          <cell r="Y21">
            <v>67</v>
          </cell>
          <cell r="Z21">
            <v>52</v>
          </cell>
          <cell r="AA21">
            <v>27</v>
          </cell>
          <cell r="AB21">
            <v>27</v>
          </cell>
        </row>
        <row r="22">
          <cell r="G22">
            <v>0</v>
          </cell>
          <cell r="H22">
            <v>0</v>
          </cell>
          <cell r="I22">
            <v>0</v>
          </cell>
          <cell r="J22">
            <v>0</v>
          </cell>
          <cell r="K22">
            <v>0</v>
          </cell>
          <cell r="L22">
            <v>15</v>
          </cell>
          <cell r="M22">
            <v>34</v>
          </cell>
          <cell r="N22">
            <v>20</v>
          </cell>
          <cell r="O22">
            <v>48</v>
          </cell>
          <cell r="P22">
            <v>72</v>
          </cell>
          <cell r="Q22">
            <v>48</v>
          </cell>
          <cell r="R22">
            <v>37</v>
          </cell>
          <cell r="S22">
            <v>25</v>
          </cell>
          <cell r="T22">
            <v>36</v>
          </cell>
          <cell r="U22">
            <v>28</v>
          </cell>
          <cell r="V22">
            <v>45</v>
          </cell>
          <cell r="W22">
            <v>84</v>
          </cell>
          <cell r="X22">
            <v>55</v>
          </cell>
          <cell r="Y22">
            <v>248</v>
          </cell>
          <cell r="Z22">
            <v>217</v>
          </cell>
          <cell r="AA22">
            <v>96</v>
          </cell>
          <cell r="AB22">
            <v>64</v>
          </cell>
        </row>
        <row r="23">
          <cell r="G23">
            <v>0</v>
          </cell>
          <cell r="H23">
            <v>0</v>
          </cell>
          <cell r="I23">
            <v>1</v>
          </cell>
          <cell r="J23">
            <v>0</v>
          </cell>
          <cell r="K23">
            <v>5</v>
          </cell>
          <cell r="L23">
            <v>5</v>
          </cell>
          <cell r="M23">
            <v>7</v>
          </cell>
          <cell r="N23">
            <v>7</v>
          </cell>
          <cell r="O23">
            <v>1</v>
          </cell>
          <cell r="P23">
            <v>5</v>
          </cell>
          <cell r="Q23">
            <v>2</v>
          </cell>
          <cell r="R23">
            <v>1</v>
          </cell>
          <cell r="S23">
            <v>0</v>
          </cell>
          <cell r="T23">
            <v>3</v>
          </cell>
          <cell r="U23">
            <v>4</v>
          </cell>
          <cell r="V23">
            <v>1</v>
          </cell>
          <cell r="W23">
            <v>1</v>
          </cell>
          <cell r="X23">
            <v>4</v>
          </cell>
          <cell r="Y23">
            <v>10</v>
          </cell>
          <cell r="Z23">
            <v>9</v>
          </cell>
          <cell r="AA23">
            <v>2</v>
          </cell>
          <cell r="AB23">
            <v>3</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4</v>
          </cell>
          <cell r="U25">
            <v>4</v>
          </cell>
          <cell r="V25">
            <v>1</v>
          </cell>
          <cell r="W25">
            <v>8</v>
          </cell>
          <cell r="X25">
            <v>12</v>
          </cell>
          <cell r="Y25">
            <v>15</v>
          </cell>
          <cell r="Z25">
            <v>37</v>
          </cell>
          <cell r="AA25">
            <v>16</v>
          </cell>
          <cell r="AB25">
            <v>12</v>
          </cell>
        </row>
      </sheetData>
      <sheetData sheetId="10"/>
      <sheetData sheetId="11"/>
      <sheetData sheetId="12"/>
      <sheetData sheetId="13">
        <row r="11">
          <cell r="B11">
            <v>0</v>
          </cell>
          <cell r="E11">
            <v>0</v>
          </cell>
          <cell r="F11">
            <v>0</v>
          </cell>
          <cell r="G11">
            <v>0</v>
          </cell>
        </row>
        <row r="25">
          <cell r="B25">
            <v>0</v>
          </cell>
        </row>
        <row r="26">
          <cell r="B26">
            <v>0</v>
          </cell>
        </row>
        <row r="27">
          <cell r="B27">
            <v>0</v>
          </cell>
        </row>
        <row r="28">
          <cell r="B28">
            <v>0</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1</v>
          </cell>
          <cell r="F21">
            <v>0</v>
          </cell>
          <cell r="G21">
            <v>37</v>
          </cell>
          <cell r="H21">
            <v>85</v>
          </cell>
          <cell r="I21">
            <v>35</v>
          </cell>
          <cell r="J21">
            <v>90</v>
          </cell>
          <cell r="K21">
            <v>39</v>
          </cell>
          <cell r="L21">
            <v>121</v>
          </cell>
          <cell r="M21">
            <v>41</v>
          </cell>
          <cell r="N21">
            <v>116</v>
          </cell>
          <cell r="O21">
            <v>49</v>
          </cell>
          <cell r="P21">
            <v>95</v>
          </cell>
          <cell r="Q21">
            <v>32</v>
          </cell>
          <cell r="R21">
            <v>82</v>
          </cell>
          <cell r="S21">
            <v>26</v>
          </cell>
          <cell r="T21">
            <v>74</v>
          </cell>
          <cell r="U21">
            <v>44</v>
          </cell>
          <cell r="V21">
            <v>57</v>
          </cell>
          <cell r="W21">
            <v>24</v>
          </cell>
          <cell r="X21">
            <v>39</v>
          </cell>
          <cell r="Y21">
            <v>106</v>
          </cell>
          <cell r="Z21">
            <v>144</v>
          </cell>
          <cell r="AA21">
            <v>77</v>
          </cell>
          <cell r="AB21">
            <v>110</v>
          </cell>
          <cell r="AC21">
            <v>60</v>
          </cell>
          <cell r="AD21">
            <v>72</v>
          </cell>
          <cell r="AE21">
            <v>65</v>
          </cell>
          <cell r="AF21">
            <v>99</v>
          </cell>
        </row>
      </sheetData>
      <sheetData sheetId="3"/>
      <sheetData sheetId="4"/>
      <sheetData sheetId="5"/>
      <sheetData sheetId="6"/>
      <sheetData sheetId="7"/>
      <sheetData sheetId="8"/>
      <sheetData sheetId="9">
        <row r="12">
          <cell r="D12">
            <v>5275</v>
          </cell>
        </row>
        <row r="14">
          <cell r="D14">
            <v>1</v>
          </cell>
        </row>
        <row r="21">
          <cell r="G21">
            <v>43</v>
          </cell>
          <cell r="H21">
            <v>51</v>
          </cell>
          <cell r="I21">
            <v>42</v>
          </cell>
          <cell r="J21">
            <v>49</v>
          </cell>
          <cell r="K21">
            <v>33</v>
          </cell>
          <cell r="L21">
            <v>35</v>
          </cell>
          <cell r="M21">
            <v>41</v>
          </cell>
          <cell r="N21">
            <v>28</v>
          </cell>
          <cell r="O21">
            <v>35</v>
          </cell>
          <cell r="P21">
            <v>50</v>
          </cell>
          <cell r="Q21">
            <v>43</v>
          </cell>
          <cell r="R21">
            <v>59</v>
          </cell>
          <cell r="S21">
            <v>57</v>
          </cell>
          <cell r="T21">
            <v>86</v>
          </cell>
          <cell r="U21">
            <v>72</v>
          </cell>
          <cell r="V21">
            <v>84</v>
          </cell>
          <cell r="W21">
            <v>120</v>
          </cell>
          <cell r="X21">
            <v>134</v>
          </cell>
          <cell r="Y21">
            <v>213</v>
          </cell>
          <cell r="Z21">
            <v>250</v>
          </cell>
          <cell r="AA21">
            <v>148</v>
          </cell>
          <cell r="AB21">
            <v>242</v>
          </cell>
        </row>
        <row r="22">
          <cell r="G22">
            <v>0</v>
          </cell>
          <cell r="H22">
            <v>0</v>
          </cell>
          <cell r="I22">
            <v>0</v>
          </cell>
          <cell r="J22">
            <v>0</v>
          </cell>
          <cell r="K22">
            <v>0</v>
          </cell>
          <cell r="L22">
            <v>4</v>
          </cell>
          <cell r="M22">
            <v>9</v>
          </cell>
          <cell r="N22">
            <v>3</v>
          </cell>
          <cell r="O22">
            <v>3</v>
          </cell>
          <cell r="P22">
            <v>9</v>
          </cell>
          <cell r="Q22">
            <v>6</v>
          </cell>
          <cell r="R22">
            <v>13</v>
          </cell>
          <cell r="S22">
            <v>13</v>
          </cell>
          <cell r="T22">
            <v>40</v>
          </cell>
          <cell r="U22">
            <v>54</v>
          </cell>
          <cell r="V22">
            <v>50</v>
          </cell>
          <cell r="W22">
            <v>57</v>
          </cell>
          <cell r="X22">
            <v>97</v>
          </cell>
          <cell r="Y22">
            <v>358</v>
          </cell>
          <cell r="Z22">
            <v>560</v>
          </cell>
          <cell r="AA22">
            <v>244</v>
          </cell>
          <cell r="AB22">
            <v>329</v>
          </cell>
        </row>
        <row r="23">
          <cell r="G23">
            <v>0</v>
          </cell>
          <cell r="H23">
            <v>0</v>
          </cell>
          <cell r="I23">
            <v>2</v>
          </cell>
          <cell r="J23">
            <v>2</v>
          </cell>
          <cell r="K23">
            <v>15</v>
          </cell>
          <cell r="L23">
            <v>15</v>
          </cell>
          <cell r="M23">
            <v>21</v>
          </cell>
          <cell r="N23">
            <v>21</v>
          </cell>
          <cell r="O23">
            <v>29</v>
          </cell>
          <cell r="P23">
            <v>40</v>
          </cell>
          <cell r="Q23">
            <v>33</v>
          </cell>
          <cell r="R23">
            <v>43</v>
          </cell>
          <cell r="S23">
            <v>22</v>
          </cell>
          <cell r="T23">
            <v>27</v>
          </cell>
          <cell r="U23">
            <v>28</v>
          </cell>
          <cell r="V23">
            <v>21</v>
          </cell>
          <cell r="W23">
            <v>42</v>
          </cell>
          <cell r="X23">
            <v>35</v>
          </cell>
          <cell r="Y23">
            <v>83</v>
          </cell>
          <cell r="Z23">
            <v>108</v>
          </cell>
          <cell r="AA23">
            <v>47</v>
          </cell>
          <cell r="AB23">
            <v>58</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2</v>
          </cell>
          <cell r="K25">
            <v>0</v>
          </cell>
          <cell r="L25">
            <v>1</v>
          </cell>
          <cell r="M25">
            <v>2</v>
          </cell>
          <cell r="N25">
            <v>2</v>
          </cell>
          <cell r="O25">
            <v>3</v>
          </cell>
          <cell r="P25">
            <v>4</v>
          </cell>
          <cell r="Q25">
            <v>1</v>
          </cell>
          <cell r="R25">
            <v>5</v>
          </cell>
          <cell r="S25">
            <v>10</v>
          </cell>
          <cell r="T25">
            <v>11</v>
          </cell>
          <cell r="U25">
            <v>12</v>
          </cell>
          <cell r="V25">
            <v>6</v>
          </cell>
          <cell r="W25">
            <v>33</v>
          </cell>
          <cell r="X25">
            <v>22</v>
          </cell>
          <cell r="Y25">
            <v>193</v>
          </cell>
          <cell r="Z25">
            <v>219</v>
          </cell>
          <cell r="AA25">
            <v>206</v>
          </cell>
          <cell r="AB25">
            <v>239</v>
          </cell>
        </row>
      </sheetData>
      <sheetData sheetId="10"/>
      <sheetData sheetId="11"/>
      <sheetData sheetId="12"/>
      <sheetData sheetId="13">
        <row r="11">
          <cell r="B11">
            <v>43</v>
          </cell>
          <cell r="E11">
            <v>0</v>
          </cell>
          <cell r="F11">
            <v>0</v>
          </cell>
          <cell r="G11">
            <v>43</v>
          </cell>
        </row>
        <row r="25">
          <cell r="B25">
            <v>418</v>
          </cell>
        </row>
        <row r="26">
          <cell r="B26">
            <v>28</v>
          </cell>
        </row>
        <row r="27">
          <cell r="B27">
            <v>57</v>
          </cell>
        </row>
        <row r="28">
          <cell r="B28">
            <v>162</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0</v>
          </cell>
          <cell r="F21">
            <v>0</v>
          </cell>
          <cell r="G21">
            <v>0</v>
          </cell>
          <cell r="H21">
            <v>13</v>
          </cell>
          <cell r="I21">
            <v>0</v>
          </cell>
          <cell r="J21">
            <v>12</v>
          </cell>
          <cell r="K21">
            <v>4</v>
          </cell>
          <cell r="L21">
            <v>13</v>
          </cell>
          <cell r="M21">
            <v>2</v>
          </cell>
          <cell r="N21">
            <v>7</v>
          </cell>
          <cell r="O21">
            <v>3</v>
          </cell>
          <cell r="P21">
            <v>3</v>
          </cell>
          <cell r="Q21">
            <v>1</v>
          </cell>
          <cell r="R21">
            <v>7</v>
          </cell>
          <cell r="S21">
            <v>2</v>
          </cell>
          <cell r="T21">
            <v>12</v>
          </cell>
          <cell r="U21">
            <v>7</v>
          </cell>
          <cell r="V21">
            <v>10</v>
          </cell>
          <cell r="W21">
            <v>0</v>
          </cell>
          <cell r="X21">
            <v>5</v>
          </cell>
          <cell r="Y21">
            <v>16</v>
          </cell>
          <cell r="Z21">
            <v>15</v>
          </cell>
          <cell r="AA21">
            <v>11</v>
          </cell>
          <cell r="AB21">
            <v>17</v>
          </cell>
          <cell r="AC21">
            <v>8</v>
          </cell>
          <cell r="AD21">
            <v>10</v>
          </cell>
          <cell r="AE21">
            <v>7</v>
          </cell>
          <cell r="AF21">
            <v>18</v>
          </cell>
        </row>
      </sheetData>
      <sheetData sheetId="3"/>
      <sheetData sheetId="4"/>
      <sheetData sheetId="5"/>
      <sheetData sheetId="6"/>
      <sheetData sheetId="7"/>
      <sheetData sheetId="8"/>
      <sheetData sheetId="9">
        <row r="12">
          <cell r="D12">
            <v>1381</v>
          </cell>
        </row>
        <row r="14">
          <cell r="D14">
            <v>0</v>
          </cell>
        </row>
        <row r="21">
          <cell r="G21">
            <v>5</v>
          </cell>
          <cell r="H21">
            <v>3</v>
          </cell>
          <cell r="I21">
            <v>5</v>
          </cell>
          <cell r="J21">
            <v>4</v>
          </cell>
          <cell r="K21">
            <v>3</v>
          </cell>
          <cell r="L21">
            <v>4</v>
          </cell>
          <cell r="M21">
            <v>7</v>
          </cell>
          <cell r="N21">
            <v>3</v>
          </cell>
          <cell r="O21">
            <v>22</v>
          </cell>
          <cell r="P21">
            <v>31</v>
          </cell>
          <cell r="Q21">
            <v>22</v>
          </cell>
          <cell r="R21">
            <v>18</v>
          </cell>
          <cell r="S21">
            <v>5</v>
          </cell>
          <cell r="T21">
            <v>15</v>
          </cell>
          <cell r="U21">
            <v>28</v>
          </cell>
          <cell r="V21">
            <v>32</v>
          </cell>
          <cell r="W21">
            <v>75</v>
          </cell>
          <cell r="X21">
            <v>67</v>
          </cell>
          <cell r="Y21">
            <v>176</v>
          </cell>
          <cell r="Z21">
            <v>170</v>
          </cell>
          <cell r="AA21">
            <v>11</v>
          </cell>
          <cell r="AB21">
            <v>12</v>
          </cell>
        </row>
        <row r="22">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4</v>
          </cell>
          <cell r="W22">
            <v>18</v>
          </cell>
          <cell r="X22">
            <v>38</v>
          </cell>
          <cell r="Y22">
            <v>290</v>
          </cell>
          <cell r="Z22">
            <v>293</v>
          </cell>
          <cell r="AA22">
            <v>15</v>
          </cell>
          <cell r="AB22">
            <v>10</v>
          </cell>
        </row>
        <row r="23">
          <cell r="G23">
            <v>0</v>
          </cell>
          <cell r="H23">
            <v>0</v>
          </cell>
          <cell r="I23">
            <v>0</v>
          </cell>
          <cell r="J23">
            <v>1</v>
          </cell>
          <cell r="K23">
            <v>4</v>
          </cell>
          <cell r="L23">
            <v>6</v>
          </cell>
          <cell r="M23">
            <v>7</v>
          </cell>
          <cell r="N23">
            <v>2</v>
          </cell>
          <cell r="O23">
            <v>3</v>
          </cell>
          <cell r="P23">
            <v>0</v>
          </cell>
          <cell r="Q23">
            <v>8</v>
          </cell>
          <cell r="R23">
            <v>12</v>
          </cell>
          <cell r="S23">
            <v>4</v>
          </cell>
          <cell r="T23">
            <v>10</v>
          </cell>
          <cell r="U23">
            <v>20</v>
          </cell>
          <cell r="V23">
            <v>13</v>
          </cell>
          <cell r="W23">
            <v>59</v>
          </cell>
          <cell r="X23">
            <v>57</v>
          </cell>
          <cell r="Y23">
            <v>178</v>
          </cell>
          <cell r="Z23">
            <v>169</v>
          </cell>
          <cell r="AA23">
            <v>12</v>
          </cell>
          <cell r="AB23">
            <v>6</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2</v>
          </cell>
          <cell r="L25">
            <v>4</v>
          </cell>
          <cell r="M25">
            <v>3</v>
          </cell>
          <cell r="N25">
            <v>1</v>
          </cell>
          <cell r="O25">
            <v>2</v>
          </cell>
          <cell r="P25">
            <v>1</v>
          </cell>
          <cell r="Q25">
            <v>0</v>
          </cell>
          <cell r="R25">
            <v>2</v>
          </cell>
          <cell r="S25">
            <v>3</v>
          </cell>
          <cell r="T25">
            <v>5</v>
          </cell>
          <cell r="U25">
            <v>13</v>
          </cell>
          <cell r="V25">
            <v>8</v>
          </cell>
          <cell r="W25">
            <v>40</v>
          </cell>
          <cell r="X25">
            <v>39</v>
          </cell>
          <cell r="Y25">
            <v>192</v>
          </cell>
          <cell r="Z25">
            <v>167</v>
          </cell>
          <cell r="AA25">
            <v>15</v>
          </cell>
          <cell r="AB25">
            <v>14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3</v>
          </cell>
          <cell r="F21">
            <v>3</v>
          </cell>
          <cell r="G21">
            <v>23</v>
          </cell>
          <cell r="H21">
            <v>103</v>
          </cell>
          <cell r="I21">
            <v>35</v>
          </cell>
          <cell r="J21">
            <v>113</v>
          </cell>
          <cell r="K21">
            <v>36</v>
          </cell>
          <cell r="L21">
            <v>136</v>
          </cell>
          <cell r="M21">
            <v>39</v>
          </cell>
          <cell r="N21">
            <v>99</v>
          </cell>
          <cell r="O21">
            <v>49</v>
          </cell>
          <cell r="P21">
            <v>98</v>
          </cell>
          <cell r="Q21">
            <v>28</v>
          </cell>
          <cell r="R21">
            <v>98</v>
          </cell>
          <cell r="S21">
            <v>25</v>
          </cell>
          <cell r="T21">
            <v>78</v>
          </cell>
          <cell r="U21">
            <v>24</v>
          </cell>
          <cell r="V21">
            <v>54</v>
          </cell>
          <cell r="W21">
            <v>19</v>
          </cell>
          <cell r="X21">
            <v>24</v>
          </cell>
          <cell r="Y21">
            <v>53</v>
          </cell>
          <cell r="Z21">
            <v>72</v>
          </cell>
          <cell r="AA21">
            <v>61</v>
          </cell>
          <cell r="AB21">
            <v>81</v>
          </cell>
          <cell r="AC21">
            <v>58</v>
          </cell>
          <cell r="AD21">
            <v>80</v>
          </cell>
          <cell r="AE21">
            <v>66</v>
          </cell>
          <cell r="AF21">
            <v>100</v>
          </cell>
        </row>
      </sheetData>
      <sheetData sheetId="3"/>
      <sheetData sheetId="4"/>
      <sheetData sheetId="5"/>
      <sheetData sheetId="6"/>
      <sheetData sheetId="7"/>
      <sheetData sheetId="8"/>
      <sheetData sheetId="9">
        <row r="12">
          <cell r="D12">
            <v>5584</v>
          </cell>
        </row>
        <row r="14">
          <cell r="D14">
            <v>355</v>
          </cell>
        </row>
        <row r="21">
          <cell r="G21">
            <v>30</v>
          </cell>
          <cell r="H21">
            <v>34</v>
          </cell>
          <cell r="I21">
            <v>36</v>
          </cell>
          <cell r="J21">
            <v>36</v>
          </cell>
          <cell r="K21">
            <v>17</v>
          </cell>
          <cell r="L21">
            <v>24</v>
          </cell>
          <cell r="M21">
            <v>44</v>
          </cell>
          <cell r="N21">
            <v>31</v>
          </cell>
          <cell r="O21">
            <v>29</v>
          </cell>
          <cell r="P21">
            <v>29</v>
          </cell>
          <cell r="Q21">
            <v>29</v>
          </cell>
          <cell r="R21">
            <v>31</v>
          </cell>
          <cell r="S21">
            <v>26</v>
          </cell>
          <cell r="T21">
            <v>39</v>
          </cell>
          <cell r="U21">
            <v>37</v>
          </cell>
          <cell r="V21">
            <v>36</v>
          </cell>
          <cell r="W21">
            <v>66</v>
          </cell>
          <cell r="X21">
            <v>65</v>
          </cell>
          <cell r="Y21">
            <v>147</v>
          </cell>
          <cell r="Z21">
            <v>128</v>
          </cell>
          <cell r="AA21">
            <v>41</v>
          </cell>
          <cell r="AB21">
            <v>59</v>
          </cell>
        </row>
        <row r="22">
          <cell r="G22">
            <v>0</v>
          </cell>
          <cell r="H22">
            <v>0</v>
          </cell>
          <cell r="I22">
            <v>0</v>
          </cell>
          <cell r="J22">
            <v>0</v>
          </cell>
          <cell r="K22">
            <v>0</v>
          </cell>
          <cell r="L22">
            <v>1</v>
          </cell>
          <cell r="M22">
            <v>4</v>
          </cell>
          <cell r="N22">
            <v>8</v>
          </cell>
          <cell r="O22">
            <v>32</v>
          </cell>
          <cell r="P22">
            <v>17</v>
          </cell>
          <cell r="Q22">
            <v>60</v>
          </cell>
          <cell r="R22">
            <v>62</v>
          </cell>
          <cell r="S22">
            <v>39</v>
          </cell>
          <cell r="T22">
            <v>80</v>
          </cell>
          <cell r="U22">
            <v>143</v>
          </cell>
          <cell r="V22">
            <v>110</v>
          </cell>
          <cell r="W22">
            <v>249</v>
          </cell>
          <cell r="X22">
            <v>306</v>
          </cell>
          <cell r="Y22">
            <v>896</v>
          </cell>
          <cell r="Z22">
            <v>675</v>
          </cell>
          <cell r="AA22">
            <v>112</v>
          </cell>
          <cell r="AB22">
            <v>206</v>
          </cell>
        </row>
        <row r="23">
          <cell r="G23">
            <v>0</v>
          </cell>
          <cell r="H23">
            <v>0</v>
          </cell>
          <cell r="I23">
            <v>3</v>
          </cell>
          <cell r="J23">
            <v>2</v>
          </cell>
          <cell r="K23">
            <v>2</v>
          </cell>
          <cell r="L23">
            <v>6</v>
          </cell>
          <cell r="M23">
            <v>18</v>
          </cell>
          <cell r="N23">
            <v>16</v>
          </cell>
          <cell r="O23">
            <v>21</v>
          </cell>
          <cell r="P23">
            <v>19</v>
          </cell>
          <cell r="Q23">
            <v>19</v>
          </cell>
          <cell r="R23">
            <v>20</v>
          </cell>
          <cell r="S23">
            <v>11</v>
          </cell>
          <cell r="T23">
            <v>25</v>
          </cell>
          <cell r="U23">
            <v>24</v>
          </cell>
          <cell r="V23">
            <v>20</v>
          </cell>
          <cell r="W23">
            <v>46</v>
          </cell>
          <cell r="X23">
            <v>51</v>
          </cell>
          <cell r="Y23">
            <v>111</v>
          </cell>
          <cell r="Z23">
            <v>74</v>
          </cell>
          <cell r="AA23">
            <v>14</v>
          </cell>
          <cell r="AB23">
            <v>29</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2</v>
          </cell>
          <cell r="M25">
            <v>18</v>
          </cell>
          <cell r="N25">
            <v>18</v>
          </cell>
          <cell r="O25">
            <v>30</v>
          </cell>
          <cell r="P25">
            <v>27</v>
          </cell>
          <cell r="Q25">
            <v>36</v>
          </cell>
          <cell r="R25">
            <v>37</v>
          </cell>
          <cell r="S25">
            <v>35</v>
          </cell>
          <cell r="T25">
            <v>58</v>
          </cell>
          <cell r="U25">
            <v>54</v>
          </cell>
          <cell r="V25">
            <v>66</v>
          </cell>
          <cell r="W25">
            <v>134</v>
          </cell>
          <cell r="X25">
            <v>122</v>
          </cell>
          <cell r="Y25">
            <v>310</v>
          </cell>
          <cell r="Z25">
            <v>260</v>
          </cell>
          <cell r="AA25">
            <v>118</v>
          </cell>
          <cell r="AB25">
            <v>171</v>
          </cell>
        </row>
      </sheetData>
      <sheetData sheetId="10"/>
      <sheetData sheetId="11"/>
      <sheetData sheetId="12"/>
      <sheetData sheetId="13">
        <row r="11">
          <cell r="B11">
            <v>65</v>
          </cell>
          <cell r="E11">
            <v>0</v>
          </cell>
          <cell r="F11">
            <v>6</v>
          </cell>
          <cell r="G11">
            <v>57</v>
          </cell>
        </row>
        <row r="25">
          <cell r="B25">
            <v>48</v>
          </cell>
        </row>
        <row r="26">
          <cell r="B26">
            <v>7</v>
          </cell>
        </row>
        <row r="27">
          <cell r="B27">
            <v>47</v>
          </cell>
        </row>
        <row r="28">
          <cell r="B28">
            <v>37</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sheetData sheetId="3"/>
      <sheetData sheetId="4"/>
      <sheetData sheetId="5"/>
      <sheetData sheetId="6"/>
      <sheetData sheetId="7"/>
      <sheetData sheetId="8"/>
      <sheetData sheetId="9">
        <row r="12">
          <cell r="D12">
            <v>5810</v>
          </cell>
        </row>
        <row r="14">
          <cell r="D14">
            <v>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sheetData sheetId="3"/>
      <sheetData sheetId="4"/>
      <sheetData sheetId="5"/>
      <sheetData sheetId="6"/>
      <sheetData sheetId="7"/>
      <sheetData sheetId="8"/>
      <sheetData sheetId="9">
        <row r="12">
          <cell r="D12">
            <v>8565</v>
          </cell>
        </row>
        <row r="14">
          <cell r="D14">
            <v>192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sheetData sheetId="3"/>
      <sheetData sheetId="4"/>
      <sheetData sheetId="5"/>
      <sheetData sheetId="6"/>
      <sheetData sheetId="7"/>
      <sheetData sheetId="8"/>
      <sheetData sheetId="9">
        <row r="12">
          <cell r="D12">
            <v>644</v>
          </cell>
        </row>
        <row r="14">
          <cell r="D14">
            <v>37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sheetData sheetId="3"/>
      <sheetData sheetId="4"/>
      <sheetData sheetId="5"/>
      <sheetData sheetId="6"/>
      <sheetData sheetId="7"/>
      <sheetData sheetId="8"/>
      <sheetData sheetId="9">
        <row r="12">
          <cell r="D12">
            <v>1851</v>
          </cell>
        </row>
        <row r="14">
          <cell r="D14">
            <v>12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ro"/>
      <sheetName val="Febrero"/>
      <sheetName val="Marzo"/>
      <sheetName val="Abril"/>
      <sheetName val="Mayo"/>
      <sheetName val="Junio"/>
      <sheetName val="Julio"/>
      <sheetName val="Agosto"/>
      <sheetName val="Septiembre"/>
      <sheetName val="Octubre"/>
      <sheetName val="Noviembre"/>
      <sheetName val="Diciembre"/>
      <sheetName val="Consolidad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D15">
            <v>3</v>
          </cell>
          <cell r="E15">
            <v>1</v>
          </cell>
          <cell r="F15">
            <v>1</v>
          </cell>
          <cell r="G15">
            <v>1</v>
          </cell>
          <cell r="H15">
            <v>8</v>
          </cell>
          <cell r="I15">
            <v>0</v>
          </cell>
          <cell r="J15">
            <v>21</v>
          </cell>
          <cell r="K15">
            <v>0</v>
          </cell>
          <cell r="L15">
            <v>104</v>
          </cell>
          <cell r="M15">
            <v>1</v>
          </cell>
          <cell r="N15">
            <v>234</v>
          </cell>
          <cell r="O15">
            <v>0</v>
          </cell>
          <cell r="P15">
            <v>116</v>
          </cell>
          <cell r="Q15">
            <v>0</v>
          </cell>
          <cell r="R15">
            <v>30</v>
          </cell>
          <cell r="S15">
            <v>0</v>
          </cell>
          <cell r="T15">
            <v>3</v>
          </cell>
          <cell r="U15">
            <v>0</v>
          </cell>
        </row>
        <row r="16">
          <cell r="D16">
            <v>1</v>
          </cell>
          <cell r="E16">
            <v>0</v>
          </cell>
          <cell r="F16">
            <v>2</v>
          </cell>
          <cell r="G16">
            <v>0</v>
          </cell>
          <cell r="H16">
            <v>3</v>
          </cell>
          <cell r="I16">
            <v>0</v>
          </cell>
          <cell r="J16">
            <v>6</v>
          </cell>
          <cell r="K16">
            <v>0</v>
          </cell>
          <cell r="L16">
            <v>29</v>
          </cell>
          <cell r="M16">
            <v>0</v>
          </cell>
          <cell r="N16">
            <v>56</v>
          </cell>
          <cell r="O16">
            <v>0</v>
          </cell>
          <cell r="P16">
            <v>38</v>
          </cell>
          <cell r="Q16">
            <v>0</v>
          </cell>
          <cell r="R16">
            <v>7</v>
          </cell>
          <cell r="S16">
            <v>0</v>
          </cell>
          <cell r="T16">
            <v>2</v>
          </cell>
          <cell r="U16">
            <v>0</v>
          </cell>
        </row>
        <row r="17">
          <cell r="D17">
            <v>0</v>
          </cell>
          <cell r="E17">
            <v>1</v>
          </cell>
          <cell r="F17">
            <v>2</v>
          </cell>
          <cell r="G17">
            <v>0</v>
          </cell>
          <cell r="H17">
            <v>1</v>
          </cell>
          <cell r="I17">
            <v>0</v>
          </cell>
          <cell r="J17">
            <v>7</v>
          </cell>
          <cell r="K17">
            <v>0</v>
          </cell>
          <cell r="L17">
            <v>28</v>
          </cell>
          <cell r="M17">
            <v>0</v>
          </cell>
          <cell r="N17">
            <v>49</v>
          </cell>
          <cell r="O17">
            <v>1</v>
          </cell>
          <cell r="P17">
            <v>35</v>
          </cell>
          <cell r="Q17">
            <v>0</v>
          </cell>
          <cell r="R17">
            <v>8</v>
          </cell>
          <cell r="S17">
            <v>0</v>
          </cell>
          <cell r="T17">
            <v>1</v>
          </cell>
          <cell r="U17">
            <v>0</v>
          </cell>
        </row>
        <row r="18">
          <cell r="D18">
            <v>0</v>
          </cell>
          <cell r="E18">
            <v>0</v>
          </cell>
          <cell r="F18">
            <v>0</v>
          </cell>
          <cell r="G18">
            <v>0</v>
          </cell>
          <cell r="H18">
            <v>3</v>
          </cell>
          <cell r="I18">
            <v>0</v>
          </cell>
          <cell r="J18">
            <v>7</v>
          </cell>
          <cell r="K18">
            <v>0</v>
          </cell>
          <cell r="L18">
            <v>18</v>
          </cell>
          <cell r="M18">
            <v>0</v>
          </cell>
          <cell r="N18">
            <v>17</v>
          </cell>
          <cell r="O18">
            <v>0</v>
          </cell>
          <cell r="P18">
            <v>12</v>
          </cell>
          <cell r="Q18">
            <v>0</v>
          </cell>
          <cell r="R18">
            <v>1</v>
          </cell>
          <cell r="S18">
            <v>0</v>
          </cell>
          <cell r="T18">
            <v>1</v>
          </cell>
          <cell r="U18">
            <v>0</v>
          </cell>
        </row>
        <row r="20">
          <cell r="D20">
            <v>3</v>
          </cell>
          <cell r="E20">
            <v>4</v>
          </cell>
          <cell r="F20">
            <v>3</v>
          </cell>
          <cell r="G20">
            <v>0</v>
          </cell>
          <cell r="H20">
            <v>13</v>
          </cell>
          <cell r="I20">
            <v>0</v>
          </cell>
          <cell r="J20">
            <v>28</v>
          </cell>
          <cell r="K20">
            <v>1</v>
          </cell>
          <cell r="L20">
            <v>181</v>
          </cell>
          <cell r="M20">
            <v>0</v>
          </cell>
          <cell r="N20">
            <v>339</v>
          </cell>
          <cell r="O20">
            <v>0</v>
          </cell>
          <cell r="P20">
            <v>170</v>
          </cell>
          <cell r="Q20">
            <v>0</v>
          </cell>
          <cell r="R20">
            <v>23</v>
          </cell>
          <cell r="S20">
            <v>0</v>
          </cell>
          <cell r="T20">
            <v>2</v>
          </cell>
          <cell r="U20">
            <v>0</v>
          </cell>
        </row>
        <row r="21">
          <cell r="D21">
            <v>0</v>
          </cell>
          <cell r="E21">
            <v>0</v>
          </cell>
          <cell r="F21">
            <v>0</v>
          </cell>
          <cell r="G21">
            <v>0</v>
          </cell>
          <cell r="H21">
            <v>2</v>
          </cell>
          <cell r="I21">
            <v>0</v>
          </cell>
          <cell r="J21">
            <v>6</v>
          </cell>
          <cell r="K21">
            <v>0</v>
          </cell>
          <cell r="L21">
            <v>31</v>
          </cell>
          <cell r="M21">
            <v>1</v>
          </cell>
          <cell r="N21">
            <v>59</v>
          </cell>
          <cell r="O21">
            <v>0</v>
          </cell>
          <cell r="P21">
            <v>30</v>
          </cell>
          <cell r="Q21">
            <v>1</v>
          </cell>
          <cell r="R21">
            <v>6</v>
          </cell>
          <cell r="S21">
            <v>0</v>
          </cell>
          <cell r="T21">
            <v>0</v>
          </cell>
          <cell r="U21">
            <v>0</v>
          </cell>
        </row>
        <row r="22">
          <cell r="D22">
            <v>1</v>
          </cell>
          <cell r="E22">
            <v>0</v>
          </cell>
          <cell r="F22">
            <v>0</v>
          </cell>
          <cell r="G22">
            <v>0</v>
          </cell>
          <cell r="H22">
            <v>2</v>
          </cell>
          <cell r="I22">
            <v>0</v>
          </cell>
          <cell r="J22">
            <v>12</v>
          </cell>
          <cell r="K22">
            <v>0</v>
          </cell>
          <cell r="L22">
            <v>20</v>
          </cell>
          <cell r="M22">
            <v>0</v>
          </cell>
          <cell r="N22">
            <v>54</v>
          </cell>
          <cell r="O22">
            <v>0</v>
          </cell>
          <cell r="P22">
            <v>38</v>
          </cell>
          <cell r="Q22">
            <v>0</v>
          </cell>
          <cell r="R22">
            <v>7</v>
          </cell>
          <cell r="S22">
            <v>0</v>
          </cell>
          <cell r="T22">
            <v>1</v>
          </cell>
          <cell r="U22">
            <v>0</v>
          </cell>
        </row>
        <row r="23">
          <cell r="D23">
            <v>0</v>
          </cell>
          <cell r="E23">
            <v>0</v>
          </cell>
          <cell r="F23">
            <v>0</v>
          </cell>
          <cell r="G23">
            <v>0</v>
          </cell>
          <cell r="H23">
            <v>0</v>
          </cell>
          <cell r="I23">
            <v>0</v>
          </cell>
          <cell r="J23">
            <v>4</v>
          </cell>
          <cell r="K23">
            <v>0</v>
          </cell>
          <cell r="L23">
            <v>9</v>
          </cell>
          <cell r="M23">
            <v>0</v>
          </cell>
          <cell r="N23">
            <v>18</v>
          </cell>
          <cell r="O23">
            <v>0</v>
          </cell>
          <cell r="P23">
            <v>13</v>
          </cell>
          <cell r="Q23">
            <v>0</v>
          </cell>
          <cell r="R23">
            <v>2</v>
          </cell>
          <cell r="S23">
            <v>0</v>
          </cell>
          <cell r="T23">
            <v>0</v>
          </cell>
          <cell r="U23">
            <v>0</v>
          </cell>
        </row>
        <row r="24">
          <cell r="D24">
            <v>1</v>
          </cell>
          <cell r="E24">
            <v>1</v>
          </cell>
          <cell r="F24">
            <v>2</v>
          </cell>
          <cell r="G24">
            <v>0</v>
          </cell>
          <cell r="H24">
            <v>5</v>
          </cell>
          <cell r="I24">
            <v>0</v>
          </cell>
          <cell r="J24">
            <v>21</v>
          </cell>
          <cell r="K24">
            <v>0</v>
          </cell>
          <cell r="L24">
            <v>51</v>
          </cell>
          <cell r="M24">
            <v>0</v>
          </cell>
          <cell r="N24">
            <v>90</v>
          </cell>
          <cell r="O24">
            <v>0</v>
          </cell>
          <cell r="P24">
            <v>53</v>
          </cell>
          <cell r="Q24">
            <v>0</v>
          </cell>
          <cell r="R24">
            <v>9</v>
          </cell>
          <cell r="S24">
            <v>0</v>
          </cell>
          <cell r="T24">
            <v>0</v>
          </cell>
          <cell r="U24">
            <v>0</v>
          </cell>
        </row>
        <row r="25">
          <cell r="D25">
            <v>0</v>
          </cell>
          <cell r="E25">
            <v>1</v>
          </cell>
          <cell r="F25">
            <v>0</v>
          </cell>
          <cell r="G25">
            <v>0</v>
          </cell>
          <cell r="H25">
            <v>1</v>
          </cell>
          <cell r="I25">
            <v>0</v>
          </cell>
          <cell r="J25">
            <v>7</v>
          </cell>
          <cell r="K25">
            <v>1</v>
          </cell>
          <cell r="L25">
            <v>21</v>
          </cell>
          <cell r="M25">
            <v>0</v>
          </cell>
          <cell r="N25">
            <v>47</v>
          </cell>
          <cell r="O25">
            <v>0</v>
          </cell>
          <cell r="P25">
            <v>22</v>
          </cell>
          <cell r="Q25">
            <v>0</v>
          </cell>
          <cell r="R25">
            <v>6</v>
          </cell>
          <cell r="S25">
            <v>1</v>
          </cell>
          <cell r="T25">
            <v>0</v>
          </cell>
          <cell r="U25">
            <v>0</v>
          </cell>
        </row>
        <row r="102">
          <cell r="C102">
            <v>2</v>
          </cell>
          <cell r="D102">
            <v>67</v>
          </cell>
          <cell r="E102">
            <v>313</v>
          </cell>
          <cell r="F102">
            <v>440</v>
          </cell>
          <cell r="G102">
            <v>399</v>
          </cell>
          <cell r="H102">
            <v>243</v>
          </cell>
          <cell r="I102">
            <v>56</v>
          </cell>
          <cell r="J102">
            <v>5</v>
          </cell>
        </row>
        <row r="103">
          <cell r="C103">
            <v>0</v>
          </cell>
          <cell r="D103">
            <v>0</v>
          </cell>
          <cell r="E103">
            <v>4</v>
          </cell>
          <cell r="F103">
            <v>4</v>
          </cell>
          <cell r="G103">
            <v>5</v>
          </cell>
          <cell r="H103">
            <v>4</v>
          </cell>
          <cell r="I103">
            <v>2</v>
          </cell>
          <cell r="J103">
            <v>0</v>
          </cell>
        </row>
        <row r="121">
          <cell r="D121">
            <v>10</v>
          </cell>
          <cell r="E121">
            <v>7</v>
          </cell>
          <cell r="F121">
            <v>9</v>
          </cell>
          <cell r="G121">
            <v>0</v>
          </cell>
          <cell r="H121">
            <v>36</v>
          </cell>
          <cell r="I121">
            <v>0</v>
          </cell>
          <cell r="J121">
            <v>107</v>
          </cell>
          <cell r="K121">
            <v>2</v>
          </cell>
          <cell r="L121">
            <v>333</v>
          </cell>
          <cell r="M121">
            <v>1</v>
          </cell>
          <cell r="N121">
            <v>643</v>
          </cell>
          <cell r="O121">
            <v>0</v>
          </cell>
          <cell r="P121">
            <v>342</v>
          </cell>
          <cell r="Q121">
            <v>1</v>
          </cell>
          <cell r="R121">
            <v>54</v>
          </cell>
          <cell r="S121">
            <v>1</v>
          </cell>
          <cell r="T121">
            <v>5</v>
          </cell>
          <cell r="U121">
            <v>0</v>
          </cell>
        </row>
        <row r="127">
          <cell r="D127">
            <v>188</v>
          </cell>
          <cell r="F127">
            <v>1337</v>
          </cell>
        </row>
        <row r="128">
          <cell r="B128">
            <v>581</v>
          </cell>
          <cell r="L128">
            <v>0</v>
          </cell>
        </row>
        <row r="129">
          <cell r="B129">
            <v>4</v>
          </cell>
          <cell r="L129">
            <v>0</v>
          </cell>
        </row>
        <row r="130">
          <cell r="B130">
            <v>940</v>
          </cell>
          <cell r="L130">
            <v>26</v>
          </cell>
        </row>
        <row r="135">
          <cell r="D135">
            <v>508</v>
          </cell>
          <cell r="E135">
            <v>1001</v>
          </cell>
        </row>
        <row r="137">
          <cell r="F137">
            <v>1034</v>
          </cell>
          <cell r="G137">
            <v>491</v>
          </cell>
          <cell r="H137">
            <v>0</v>
          </cell>
        </row>
        <row r="197">
          <cell r="C197">
            <v>1</v>
          </cell>
          <cell r="D197">
            <v>37</v>
          </cell>
          <cell r="E197">
            <v>173</v>
          </cell>
          <cell r="F197">
            <v>237</v>
          </cell>
          <cell r="G197">
            <v>188</v>
          </cell>
          <cell r="H197">
            <v>99</v>
          </cell>
          <cell r="I197">
            <v>33</v>
          </cell>
          <cell r="J197">
            <v>2</v>
          </cell>
        </row>
        <row r="198">
          <cell r="C198">
            <v>0</v>
          </cell>
          <cell r="D198">
            <v>3</v>
          </cell>
          <cell r="E198">
            <v>16</v>
          </cell>
          <cell r="F198">
            <v>27</v>
          </cell>
          <cell r="G198">
            <v>30</v>
          </cell>
          <cell r="H198">
            <v>17</v>
          </cell>
          <cell r="I198">
            <v>11</v>
          </cell>
          <cell r="J198">
            <v>0</v>
          </cell>
        </row>
        <row r="216">
          <cell r="D216">
            <v>0</v>
          </cell>
          <cell r="E216">
            <v>1</v>
          </cell>
          <cell r="F216">
            <v>1</v>
          </cell>
          <cell r="G216">
            <v>1</v>
          </cell>
          <cell r="H216">
            <v>2</v>
          </cell>
          <cell r="I216">
            <v>0</v>
          </cell>
          <cell r="J216">
            <v>15</v>
          </cell>
          <cell r="K216">
            <v>0</v>
          </cell>
          <cell r="L216">
            <v>172</v>
          </cell>
          <cell r="M216">
            <v>1</v>
          </cell>
          <cell r="N216">
            <v>335</v>
          </cell>
          <cell r="O216">
            <v>1</v>
          </cell>
          <cell r="P216">
            <v>194</v>
          </cell>
          <cell r="Q216">
            <v>0</v>
          </cell>
          <cell r="R216">
            <v>45</v>
          </cell>
          <cell r="S216">
            <v>0</v>
          </cell>
          <cell r="T216">
            <v>5</v>
          </cell>
          <cell r="U216">
            <v>0</v>
          </cell>
        </row>
        <row r="222">
          <cell r="D222">
            <v>57</v>
          </cell>
          <cell r="F222">
            <v>713</v>
          </cell>
        </row>
        <row r="223">
          <cell r="B223">
            <v>267</v>
          </cell>
          <cell r="L223">
            <v>0</v>
          </cell>
        </row>
        <row r="224">
          <cell r="B224">
            <v>13</v>
          </cell>
          <cell r="L224">
            <v>0</v>
          </cell>
        </row>
        <row r="225">
          <cell r="B225">
            <v>490</v>
          </cell>
          <cell r="L225">
            <v>3</v>
          </cell>
        </row>
        <row r="230">
          <cell r="D230">
            <v>300</v>
          </cell>
          <cell r="E230">
            <v>537</v>
          </cell>
        </row>
        <row r="232">
          <cell r="F232">
            <v>544</v>
          </cell>
          <cell r="G232">
            <v>205</v>
          </cell>
          <cell r="H232">
            <v>21</v>
          </cell>
        </row>
        <row r="292">
          <cell r="C292">
            <v>0</v>
          </cell>
          <cell r="D292">
            <v>0</v>
          </cell>
          <cell r="E292">
            <v>0</v>
          </cell>
          <cell r="F292">
            <v>2</v>
          </cell>
          <cell r="G292">
            <v>1</v>
          </cell>
          <cell r="H292">
            <v>0</v>
          </cell>
          <cell r="I292">
            <v>0</v>
          </cell>
          <cell r="J292">
            <v>0</v>
          </cell>
        </row>
        <row r="293">
          <cell r="C293">
            <v>0</v>
          </cell>
          <cell r="D293">
            <v>0</v>
          </cell>
          <cell r="E293">
            <v>0</v>
          </cell>
          <cell r="F293">
            <v>0</v>
          </cell>
          <cell r="G293">
            <v>0</v>
          </cell>
          <cell r="H293">
            <v>0</v>
          </cell>
          <cell r="I293">
            <v>0</v>
          </cell>
          <cell r="J293">
            <v>0</v>
          </cell>
        </row>
        <row r="311">
          <cell r="D311">
            <v>0</v>
          </cell>
          <cell r="E311">
            <v>0</v>
          </cell>
          <cell r="F311">
            <v>0</v>
          </cell>
          <cell r="G311">
            <v>0</v>
          </cell>
          <cell r="H311">
            <v>0</v>
          </cell>
          <cell r="I311">
            <v>0</v>
          </cell>
          <cell r="J311">
            <v>0</v>
          </cell>
          <cell r="K311">
            <v>0</v>
          </cell>
          <cell r="L311">
            <v>1</v>
          </cell>
          <cell r="M311">
            <v>0</v>
          </cell>
          <cell r="N311">
            <v>2</v>
          </cell>
          <cell r="O311">
            <v>0</v>
          </cell>
          <cell r="P311">
            <v>0</v>
          </cell>
          <cell r="Q311">
            <v>0</v>
          </cell>
          <cell r="R311">
            <v>0</v>
          </cell>
          <cell r="S311">
            <v>0</v>
          </cell>
          <cell r="T311">
            <v>0</v>
          </cell>
          <cell r="U311">
            <v>0</v>
          </cell>
        </row>
        <row r="317">
          <cell r="D317">
            <v>0</v>
          </cell>
          <cell r="F317">
            <v>3</v>
          </cell>
        </row>
        <row r="318">
          <cell r="B318">
            <v>3</v>
          </cell>
          <cell r="L318">
            <v>0</v>
          </cell>
        </row>
        <row r="319">
          <cell r="B319">
            <v>0</v>
          </cell>
          <cell r="L319">
            <v>0</v>
          </cell>
        </row>
        <row r="320">
          <cell r="B320">
            <v>0</v>
          </cell>
          <cell r="L320">
            <v>0</v>
          </cell>
        </row>
        <row r="325">
          <cell r="D325">
            <v>0</v>
          </cell>
        </row>
        <row r="327">
          <cell r="E327">
            <v>3</v>
          </cell>
          <cell r="F327">
            <v>0</v>
          </cell>
          <cell r="G327">
            <v>3</v>
          </cell>
          <cell r="H327">
            <v>0</v>
          </cell>
        </row>
        <row r="387">
          <cell r="C387">
            <v>0</v>
          </cell>
          <cell r="D387">
            <v>0</v>
          </cell>
          <cell r="E387">
            <v>0</v>
          </cell>
          <cell r="F387">
            <v>0</v>
          </cell>
          <cell r="G387">
            <v>0</v>
          </cell>
          <cell r="H387">
            <v>0</v>
          </cell>
          <cell r="I387">
            <v>0</v>
          </cell>
          <cell r="J387">
            <v>0</v>
          </cell>
        </row>
        <row r="388">
          <cell r="C388">
            <v>0</v>
          </cell>
          <cell r="D388">
            <v>0</v>
          </cell>
          <cell r="E388">
            <v>0</v>
          </cell>
          <cell r="F388">
            <v>0</v>
          </cell>
          <cell r="G388">
            <v>0</v>
          </cell>
          <cell r="H388">
            <v>0</v>
          </cell>
          <cell r="I388">
            <v>0</v>
          </cell>
          <cell r="J388">
            <v>0</v>
          </cell>
        </row>
        <row r="406">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row>
        <row r="412">
          <cell r="D412">
            <v>0</v>
          </cell>
          <cell r="F412">
            <v>0</v>
          </cell>
        </row>
        <row r="413">
          <cell r="B413">
            <v>0</v>
          </cell>
          <cell r="L413">
            <v>0</v>
          </cell>
        </row>
        <row r="414">
          <cell r="B414">
            <v>0</v>
          </cell>
          <cell r="L414">
            <v>0</v>
          </cell>
        </row>
        <row r="415">
          <cell r="B415">
            <v>0</v>
          </cell>
          <cell r="L415">
            <v>0</v>
          </cell>
        </row>
        <row r="422">
          <cell r="F422">
            <v>0</v>
          </cell>
          <cell r="G422">
            <v>0</v>
          </cell>
          <cell r="H422">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sheetData sheetId="3"/>
      <sheetData sheetId="4"/>
      <sheetData sheetId="5"/>
      <sheetData sheetId="6"/>
      <sheetData sheetId="7"/>
      <sheetData sheetId="8"/>
      <sheetData sheetId="9">
        <row r="12">
          <cell r="D12">
            <v>1901</v>
          </cell>
        </row>
        <row r="14">
          <cell r="D14">
            <v>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sheetData sheetId="3"/>
      <sheetData sheetId="4"/>
      <sheetData sheetId="5"/>
      <sheetData sheetId="6"/>
      <sheetData sheetId="7"/>
      <sheetData sheetId="8"/>
      <sheetData sheetId="9">
        <row r="12">
          <cell r="D12">
            <v>918</v>
          </cell>
        </row>
        <row r="14">
          <cell r="D14">
            <v>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sheetData sheetId="3"/>
      <sheetData sheetId="4"/>
      <sheetData sheetId="5"/>
      <sheetData sheetId="6"/>
      <sheetData sheetId="7"/>
      <sheetData sheetId="8"/>
      <sheetData sheetId="9">
        <row r="12">
          <cell r="D12">
            <v>0</v>
          </cell>
        </row>
        <row r="14">
          <cell r="D14">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sheetData sheetId="3"/>
      <sheetData sheetId="4"/>
      <sheetData sheetId="5"/>
      <sheetData sheetId="6"/>
      <sheetData sheetId="7"/>
      <sheetData sheetId="8"/>
      <sheetData sheetId="9">
        <row r="12">
          <cell r="D12">
            <v>3268</v>
          </cell>
        </row>
        <row r="14">
          <cell r="D14">
            <v>355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sheetData sheetId="3"/>
      <sheetData sheetId="4"/>
      <sheetData sheetId="5"/>
      <sheetData sheetId="6"/>
      <sheetData sheetId="7"/>
      <sheetData sheetId="8"/>
      <sheetData sheetId="9">
        <row r="12">
          <cell r="D12">
            <v>477</v>
          </cell>
        </row>
        <row r="14">
          <cell r="D14">
            <v>67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sheetData sheetId="3"/>
      <sheetData sheetId="4"/>
      <sheetData sheetId="5"/>
      <sheetData sheetId="6"/>
      <sheetData sheetId="7"/>
      <sheetData sheetId="8"/>
      <sheetData sheetId="9">
        <row r="12">
          <cell r="D12">
            <v>616</v>
          </cell>
        </row>
        <row r="14">
          <cell r="D14">
            <v>42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sheetData sheetId="3"/>
      <sheetData sheetId="4"/>
      <sheetData sheetId="5"/>
      <sheetData sheetId="6"/>
      <sheetData sheetId="7"/>
      <sheetData sheetId="8"/>
      <sheetData sheetId="9">
        <row r="12">
          <cell r="D12">
            <v>3680</v>
          </cell>
        </row>
        <row r="14">
          <cell r="D14">
            <v>241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sheetData sheetId="3"/>
      <sheetData sheetId="4"/>
      <sheetData sheetId="5"/>
      <sheetData sheetId="6"/>
      <sheetData sheetId="7"/>
      <sheetData sheetId="8"/>
      <sheetData sheetId="9">
        <row r="12">
          <cell r="D12">
            <v>4349</v>
          </cell>
        </row>
        <row r="14">
          <cell r="D14">
            <v>917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sheetData sheetId="3"/>
      <sheetData sheetId="4"/>
      <sheetData sheetId="5"/>
      <sheetData sheetId="6"/>
      <sheetData sheetId="7"/>
      <sheetData sheetId="8"/>
      <sheetData sheetId="9">
        <row r="12">
          <cell r="D12">
            <v>5386</v>
          </cell>
        </row>
        <row r="14">
          <cell r="D14">
            <v>205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sheetData sheetId="3"/>
      <sheetData sheetId="4"/>
      <sheetData sheetId="5"/>
      <sheetData sheetId="6"/>
      <sheetData sheetId="7"/>
      <sheetData sheetId="8"/>
      <sheetData sheetId="9">
        <row r="12">
          <cell r="D12">
            <v>569</v>
          </cell>
        </row>
        <row r="14">
          <cell r="D14">
            <v>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ro"/>
      <sheetName val="Febrero"/>
      <sheetName val="Marzo"/>
      <sheetName val="Abril"/>
      <sheetName val="Mayo"/>
      <sheetName val="Junio"/>
      <sheetName val="Julio"/>
      <sheetName val="Agosto"/>
      <sheetName val="Septiembre"/>
      <sheetName val="Octubre"/>
      <sheetName val="Noviembre"/>
      <sheetName val="Diciembre"/>
      <sheetName val="Consolidad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27">
          <cell r="D127">
            <v>185</v>
          </cell>
          <cell r="F127">
            <v>1395</v>
          </cell>
        </row>
        <row r="128">
          <cell r="B128">
            <v>627</v>
          </cell>
          <cell r="L128">
            <v>1</v>
          </cell>
        </row>
        <row r="129">
          <cell r="B129">
            <v>7</v>
          </cell>
          <cell r="L129">
            <v>0</v>
          </cell>
        </row>
        <row r="130">
          <cell r="B130">
            <v>946</v>
          </cell>
          <cell r="L130">
            <v>27</v>
          </cell>
        </row>
        <row r="135">
          <cell r="D135">
            <v>499</v>
          </cell>
          <cell r="E135">
            <v>1020</v>
          </cell>
        </row>
        <row r="137">
          <cell r="F137">
            <v>1065</v>
          </cell>
          <cell r="G137">
            <v>515</v>
          </cell>
          <cell r="H137">
            <v>0</v>
          </cell>
        </row>
        <row r="222">
          <cell r="D222">
            <v>37</v>
          </cell>
          <cell r="F222">
            <v>789</v>
          </cell>
        </row>
        <row r="223">
          <cell r="B223">
            <v>304</v>
          </cell>
          <cell r="L223">
            <v>0</v>
          </cell>
        </row>
        <row r="224">
          <cell r="B224">
            <v>10</v>
          </cell>
          <cell r="L224">
            <v>0</v>
          </cell>
        </row>
        <row r="225">
          <cell r="B225">
            <v>512</v>
          </cell>
          <cell r="L225">
            <v>4</v>
          </cell>
        </row>
        <row r="230">
          <cell r="D230">
            <v>303</v>
          </cell>
          <cell r="E230">
            <v>548</v>
          </cell>
        </row>
        <row r="232">
          <cell r="F232">
            <v>581</v>
          </cell>
          <cell r="G232">
            <v>245</v>
          </cell>
          <cell r="H232">
            <v>0</v>
          </cell>
        </row>
        <row r="317">
          <cell r="D317">
            <v>0</v>
          </cell>
          <cell r="F317">
            <v>1</v>
          </cell>
        </row>
        <row r="318">
          <cell r="B318">
            <v>1</v>
          </cell>
          <cell r="L318">
            <v>0</v>
          </cell>
        </row>
        <row r="319">
          <cell r="B319">
            <v>0</v>
          </cell>
          <cell r="L319">
            <v>0</v>
          </cell>
        </row>
        <row r="320">
          <cell r="B320">
            <v>0</v>
          </cell>
          <cell r="L320">
            <v>0</v>
          </cell>
        </row>
        <row r="325">
          <cell r="D325">
            <v>0</v>
          </cell>
        </row>
        <row r="327">
          <cell r="E327">
            <v>1</v>
          </cell>
          <cell r="F327">
            <v>0</v>
          </cell>
          <cell r="G327">
            <v>1</v>
          </cell>
          <cell r="H327">
            <v>0</v>
          </cell>
        </row>
        <row r="412">
          <cell r="D412">
            <v>0</v>
          </cell>
          <cell r="F412">
            <v>0</v>
          </cell>
        </row>
        <row r="413">
          <cell r="B413">
            <v>0</v>
          </cell>
          <cell r="L413">
            <v>0</v>
          </cell>
        </row>
        <row r="414">
          <cell r="B414">
            <v>0</v>
          </cell>
          <cell r="L414">
            <v>0</v>
          </cell>
        </row>
        <row r="415">
          <cell r="B415">
            <v>0</v>
          </cell>
          <cell r="L415">
            <v>0</v>
          </cell>
        </row>
        <row r="422">
          <cell r="F422">
            <v>0</v>
          </cell>
          <cell r="G422">
            <v>0</v>
          </cell>
          <cell r="H422">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sheetData sheetId="8">
        <row r="12">
          <cell r="E12">
            <v>2962</v>
          </cell>
          <cell r="F12">
            <v>2281</v>
          </cell>
          <cell r="G12">
            <v>3189</v>
          </cell>
          <cell r="H12">
            <v>2720</v>
          </cell>
          <cell r="I12">
            <v>2719</v>
          </cell>
          <cell r="J12">
            <v>2385</v>
          </cell>
          <cell r="K12">
            <v>1710</v>
          </cell>
          <cell r="L12">
            <v>1854</v>
          </cell>
          <cell r="M12">
            <v>1422</v>
          </cell>
          <cell r="N12">
            <v>1507</v>
          </cell>
          <cell r="O12">
            <v>1597</v>
          </cell>
          <cell r="P12">
            <v>1659</v>
          </cell>
          <cell r="Q12">
            <v>1635</v>
          </cell>
          <cell r="R12">
            <v>1713</v>
          </cell>
          <cell r="S12">
            <v>1362</v>
          </cell>
          <cell r="T12">
            <v>1490</v>
          </cell>
          <cell r="U12">
            <v>1320</v>
          </cell>
          <cell r="V12">
            <v>1515</v>
          </cell>
          <cell r="W12">
            <v>1139</v>
          </cell>
          <cell r="X12">
            <v>1496</v>
          </cell>
          <cell r="Y12">
            <v>1230</v>
          </cell>
          <cell r="Z12">
            <v>1491</v>
          </cell>
          <cell r="AA12">
            <v>1351</v>
          </cell>
          <cell r="AB12">
            <v>1655</v>
          </cell>
          <cell r="AC12">
            <v>1233</v>
          </cell>
          <cell r="AD12">
            <v>1621</v>
          </cell>
          <cell r="AE12">
            <v>1291</v>
          </cell>
          <cell r="AF12">
            <v>1365</v>
          </cell>
          <cell r="AG12">
            <v>1125</v>
          </cell>
          <cell r="AH12">
            <v>1208</v>
          </cell>
          <cell r="AI12">
            <v>1074</v>
          </cell>
          <cell r="AJ12">
            <v>1289</v>
          </cell>
          <cell r="AK12">
            <v>1351</v>
          </cell>
          <cell r="AL12">
            <v>2254</v>
          </cell>
        </row>
        <row r="13">
          <cell r="B13">
            <v>5696</v>
          </cell>
        </row>
        <row r="60">
          <cell r="B60">
            <v>313</v>
          </cell>
        </row>
        <row r="61">
          <cell r="B61">
            <v>2811</v>
          </cell>
        </row>
        <row r="62">
          <cell r="B62">
            <v>29773</v>
          </cell>
        </row>
        <row r="63">
          <cell r="B63">
            <v>21705</v>
          </cell>
        </row>
        <row r="64">
          <cell r="B64">
            <v>2611</v>
          </cell>
        </row>
        <row r="65">
          <cell r="B65">
            <v>0</v>
          </cell>
        </row>
      </sheetData>
      <sheetData sheetId="9"/>
      <sheetData sheetId="10"/>
      <sheetData sheetId="11"/>
      <sheetData sheetId="12"/>
      <sheetData sheetId="13">
        <row r="11">
          <cell r="B11">
            <v>651</v>
          </cell>
          <cell r="E11">
            <v>0</v>
          </cell>
          <cell r="F11">
            <v>0</v>
          </cell>
          <cell r="G11">
            <v>389</v>
          </cell>
        </row>
        <row r="25">
          <cell r="B25">
            <v>33</v>
          </cell>
        </row>
        <row r="26">
          <cell r="B26">
            <v>25</v>
          </cell>
        </row>
        <row r="27">
          <cell r="B27">
            <v>435</v>
          </cell>
        </row>
        <row r="28">
          <cell r="B28">
            <v>140</v>
          </cell>
        </row>
        <row r="29">
          <cell r="B29">
            <v>77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B11">
            <v>52</v>
          </cell>
          <cell r="E11">
            <v>0</v>
          </cell>
          <cell r="F11">
            <v>0</v>
          </cell>
          <cell r="G11">
            <v>51</v>
          </cell>
        </row>
        <row r="25">
          <cell r="B25">
            <v>2456</v>
          </cell>
        </row>
        <row r="26">
          <cell r="B26">
            <v>0</v>
          </cell>
        </row>
        <row r="27">
          <cell r="B27">
            <v>19</v>
          </cell>
        </row>
        <row r="28">
          <cell r="B28">
            <v>531</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sheetData sheetId="8">
        <row r="12">
          <cell r="E12">
            <v>5277</v>
          </cell>
          <cell r="F12">
            <v>3638</v>
          </cell>
          <cell r="G12">
            <v>2869</v>
          </cell>
          <cell r="H12">
            <v>2220</v>
          </cell>
          <cell r="I12">
            <v>2050</v>
          </cell>
          <cell r="J12">
            <v>1622</v>
          </cell>
          <cell r="K12">
            <v>1291</v>
          </cell>
          <cell r="L12">
            <v>1544</v>
          </cell>
          <cell r="M12">
            <v>1268</v>
          </cell>
          <cell r="N12">
            <v>1314</v>
          </cell>
          <cell r="O12">
            <v>1279</v>
          </cell>
          <cell r="P12">
            <v>1553</v>
          </cell>
          <cell r="Q12">
            <v>1372</v>
          </cell>
          <cell r="R12">
            <v>1616</v>
          </cell>
          <cell r="S12">
            <v>1208</v>
          </cell>
          <cell r="T12">
            <v>1465</v>
          </cell>
          <cell r="U12">
            <v>1060</v>
          </cell>
          <cell r="V12">
            <v>1300</v>
          </cell>
          <cell r="W12">
            <v>987</v>
          </cell>
          <cell r="X12">
            <v>1232</v>
          </cell>
          <cell r="Y12">
            <v>995</v>
          </cell>
          <cell r="Z12">
            <v>1222</v>
          </cell>
          <cell r="AA12">
            <v>1169</v>
          </cell>
          <cell r="AB12">
            <v>1416</v>
          </cell>
          <cell r="AC12">
            <v>1212</v>
          </cell>
          <cell r="AD12">
            <v>1340</v>
          </cell>
          <cell r="AE12">
            <v>1267</v>
          </cell>
          <cell r="AF12">
            <v>1080</v>
          </cell>
          <cell r="AG12">
            <v>1024</v>
          </cell>
          <cell r="AH12">
            <v>1052</v>
          </cell>
          <cell r="AI12">
            <v>848</v>
          </cell>
          <cell r="AJ12">
            <v>954</v>
          </cell>
          <cell r="AK12">
            <v>1294</v>
          </cell>
          <cell r="AL12">
            <v>1839</v>
          </cell>
        </row>
        <row r="13">
          <cell r="B13">
            <v>5973</v>
          </cell>
        </row>
        <row r="60">
          <cell r="B60">
            <v>398</v>
          </cell>
        </row>
        <row r="61">
          <cell r="B61">
            <v>3572</v>
          </cell>
        </row>
        <row r="62">
          <cell r="B62">
            <v>30124</v>
          </cell>
        </row>
        <row r="63">
          <cell r="B63">
            <v>18602</v>
          </cell>
        </row>
        <row r="64">
          <cell r="B64">
            <v>175</v>
          </cell>
        </row>
        <row r="65">
          <cell r="B65">
            <v>6</v>
          </cell>
        </row>
      </sheetData>
      <sheetData sheetId="9"/>
      <sheetData sheetId="10"/>
      <sheetData sheetId="11"/>
      <sheetData sheetId="12"/>
      <sheetData sheetId="13">
        <row r="11">
          <cell r="B11">
            <v>957</v>
          </cell>
          <cell r="E11">
            <v>0</v>
          </cell>
          <cell r="F11">
            <v>0</v>
          </cell>
          <cell r="G11">
            <v>357</v>
          </cell>
        </row>
        <row r="25">
          <cell r="B25">
            <v>32734</v>
          </cell>
        </row>
        <row r="26">
          <cell r="B26">
            <v>22</v>
          </cell>
        </row>
        <row r="27">
          <cell r="B27">
            <v>528</v>
          </cell>
        </row>
        <row r="28">
          <cell r="B28">
            <v>767</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0</v>
          </cell>
          <cell r="F21">
            <v>0</v>
          </cell>
          <cell r="G21">
            <v>105</v>
          </cell>
          <cell r="H21">
            <v>275</v>
          </cell>
          <cell r="I21">
            <v>114</v>
          </cell>
          <cell r="J21">
            <v>311</v>
          </cell>
          <cell r="K21">
            <v>129</v>
          </cell>
          <cell r="L21">
            <v>277</v>
          </cell>
          <cell r="M21">
            <v>94</v>
          </cell>
          <cell r="N21">
            <v>234</v>
          </cell>
          <cell r="O21">
            <v>62</v>
          </cell>
          <cell r="P21">
            <v>240</v>
          </cell>
          <cell r="Q21">
            <v>87</v>
          </cell>
          <cell r="R21">
            <v>185</v>
          </cell>
          <cell r="S21">
            <v>80</v>
          </cell>
          <cell r="T21">
            <v>175</v>
          </cell>
          <cell r="U21">
            <v>74</v>
          </cell>
          <cell r="V21">
            <v>153</v>
          </cell>
          <cell r="W21">
            <v>62</v>
          </cell>
          <cell r="X21">
            <v>131</v>
          </cell>
          <cell r="Y21">
            <v>146</v>
          </cell>
          <cell r="Z21">
            <v>235</v>
          </cell>
          <cell r="AA21">
            <v>148</v>
          </cell>
          <cell r="AB21">
            <v>245</v>
          </cell>
          <cell r="AC21">
            <v>137</v>
          </cell>
          <cell r="AD21">
            <v>206</v>
          </cell>
          <cell r="AE21">
            <v>124</v>
          </cell>
          <cell r="AF21">
            <v>276</v>
          </cell>
        </row>
      </sheetData>
      <sheetData sheetId="3"/>
      <sheetData sheetId="4"/>
      <sheetData sheetId="5"/>
      <sheetData sheetId="6"/>
      <sheetData sheetId="7"/>
      <sheetData sheetId="8"/>
      <sheetData sheetId="9">
        <row r="21">
          <cell r="G21">
            <v>127</v>
          </cell>
          <cell r="H21">
            <v>134</v>
          </cell>
          <cell r="I21">
            <v>81</v>
          </cell>
          <cell r="J21">
            <v>95</v>
          </cell>
          <cell r="K21">
            <v>98</v>
          </cell>
          <cell r="L21">
            <v>95</v>
          </cell>
          <cell r="M21">
            <v>97</v>
          </cell>
          <cell r="N21">
            <v>104</v>
          </cell>
          <cell r="O21">
            <v>125</v>
          </cell>
          <cell r="P21">
            <v>102</v>
          </cell>
          <cell r="Q21">
            <v>143</v>
          </cell>
          <cell r="R21">
            <v>124</v>
          </cell>
          <cell r="S21">
            <v>114</v>
          </cell>
          <cell r="T21">
            <v>107</v>
          </cell>
          <cell r="U21">
            <v>98</v>
          </cell>
          <cell r="V21">
            <v>150</v>
          </cell>
          <cell r="W21">
            <v>263</v>
          </cell>
          <cell r="X21">
            <v>279</v>
          </cell>
          <cell r="Y21">
            <v>554</v>
          </cell>
          <cell r="Z21">
            <v>620</v>
          </cell>
          <cell r="AA21">
            <v>311</v>
          </cell>
          <cell r="AB21">
            <v>426</v>
          </cell>
        </row>
        <row r="22">
          <cell r="G22">
            <v>0</v>
          </cell>
          <cell r="H22">
            <v>0</v>
          </cell>
          <cell r="I22">
            <v>0</v>
          </cell>
          <cell r="J22">
            <v>0</v>
          </cell>
          <cell r="K22">
            <v>2</v>
          </cell>
          <cell r="L22">
            <v>3</v>
          </cell>
          <cell r="M22">
            <v>9</v>
          </cell>
          <cell r="N22">
            <v>11</v>
          </cell>
          <cell r="O22">
            <v>27</v>
          </cell>
          <cell r="P22">
            <v>29</v>
          </cell>
          <cell r="Q22">
            <v>61</v>
          </cell>
          <cell r="R22">
            <v>49</v>
          </cell>
          <cell r="S22">
            <v>74</v>
          </cell>
          <cell r="T22">
            <v>94</v>
          </cell>
          <cell r="U22">
            <v>131</v>
          </cell>
          <cell r="V22">
            <v>224</v>
          </cell>
          <cell r="W22">
            <v>386</v>
          </cell>
          <cell r="X22">
            <v>348</v>
          </cell>
          <cell r="Y22">
            <v>1131</v>
          </cell>
          <cell r="Z22">
            <v>1550</v>
          </cell>
          <cell r="AA22">
            <v>747</v>
          </cell>
          <cell r="AB22">
            <v>1123</v>
          </cell>
        </row>
        <row r="23">
          <cell r="G23">
            <v>0</v>
          </cell>
          <cell r="H23">
            <v>0</v>
          </cell>
          <cell r="I23">
            <v>6</v>
          </cell>
          <cell r="J23">
            <v>9</v>
          </cell>
          <cell r="K23">
            <v>13</v>
          </cell>
          <cell r="L23">
            <v>26</v>
          </cell>
          <cell r="M23">
            <v>28</v>
          </cell>
          <cell r="N23">
            <v>38</v>
          </cell>
          <cell r="O23">
            <v>48</v>
          </cell>
          <cell r="P23">
            <v>37</v>
          </cell>
          <cell r="Q23">
            <v>54</v>
          </cell>
          <cell r="R23">
            <v>54</v>
          </cell>
          <cell r="S23">
            <v>56</v>
          </cell>
          <cell r="T23">
            <v>46</v>
          </cell>
          <cell r="U23">
            <v>52</v>
          </cell>
          <cell r="V23">
            <v>82</v>
          </cell>
          <cell r="W23">
            <v>136</v>
          </cell>
          <cell r="X23">
            <v>156</v>
          </cell>
          <cell r="Y23">
            <v>332</v>
          </cell>
          <cell r="Z23">
            <v>369</v>
          </cell>
          <cell r="AA23">
            <v>163</v>
          </cell>
          <cell r="AB23">
            <v>241</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1</v>
          </cell>
          <cell r="L25">
            <v>1</v>
          </cell>
          <cell r="M25">
            <v>3</v>
          </cell>
          <cell r="N25">
            <v>0</v>
          </cell>
          <cell r="O25">
            <v>2</v>
          </cell>
          <cell r="P25">
            <v>3</v>
          </cell>
          <cell r="Q25">
            <v>5</v>
          </cell>
          <cell r="R25">
            <v>4</v>
          </cell>
          <cell r="S25">
            <v>5</v>
          </cell>
          <cell r="T25">
            <v>4</v>
          </cell>
          <cell r="U25">
            <v>4</v>
          </cell>
          <cell r="V25">
            <v>8</v>
          </cell>
          <cell r="W25">
            <v>24</v>
          </cell>
          <cell r="X25">
            <v>29</v>
          </cell>
          <cell r="Y25">
            <v>154</v>
          </cell>
          <cell r="Z25">
            <v>151</v>
          </cell>
          <cell r="AA25">
            <v>131</v>
          </cell>
          <cell r="AB25">
            <v>159</v>
          </cell>
        </row>
      </sheetData>
      <sheetData sheetId="10"/>
      <sheetData sheetId="11"/>
      <sheetData sheetId="12"/>
      <sheetData sheetId="13">
        <row r="11">
          <cell r="B11">
            <v>116</v>
          </cell>
          <cell r="E11">
            <v>0</v>
          </cell>
          <cell r="F11">
            <v>0</v>
          </cell>
          <cell r="G11">
            <v>52</v>
          </cell>
        </row>
        <row r="25">
          <cell r="B25">
            <v>6167</v>
          </cell>
        </row>
        <row r="26">
          <cell r="B26">
            <v>12</v>
          </cell>
        </row>
        <row r="27">
          <cell r="B27">
            <v>99</v>
          </cell>
        </row>
        <row r="28">
          <cell r="B28">
            <v>615</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0</v>
          </cell>
          <cell r="F21">
            <v>0</v>
          </cell>
          <cell r="G21">
            <v>105</v>
          </cell>
          <cell r="H21">
            <v>298</v>
          </cell>
          <cell r="I21">
            <v>91</v>
          </cell>
          <cell r="J21">
            <v>375</v>
          </cell>
          <cell r="K21">
            <v>92</v>
          </cell>
          <cell r="L21">
            <v>395</v>
          </cell>
          <cell r="M21">
            <v>91</v>
          </cell>
          <cell r="N21">
            <v>325</v>
          </cell>
          <cell r="O21">
            <v>86</v>
          </cell>
          <cell r="P21">
            <v>317</v>
          </cell>
          <cell r="Q21">
            <v>120</v>
          </cell>
          <cell r="R21">
            <v>301</v>
          </cell>
          <cell r="S21">
            <v>83</v>
          </cell>
          <cell r="T21">
            <v>290</v>
          </cell>
          <cell r="U21">
            <v>85</v>
          </cell>
          <cell r="V21">
            <v>288</v>
          </cell>
          <cell r="W21">
            <v>95</v>
          </cell>
          <cell r="X21">
            <v>191</v>
          </cell>
          <cell r="Y21">
            <v>182</v>
          </cell>
          <cell r="Z21">
            <v>317</v>
          </cell>
          <cell r="AA21">
            <v>192</v>
          </cell>
          <cell r="AB21">
            <v>343</v>
          </cell>
          <cell r="AC21">
            <v>160</v>
          </cell>
          <cell r="AD21">
            <v>253</v>
          </cell>
          <cell r="AE21">
            <v>162</v>
          </cell>
          <cell r="AF21">
            <v>324</v>
          </cell>
        </row>
      </sheetData>
      <sheetData sheetId="3"/>
      <sheetData sheetId="4"/>
      <sheetData sheetId="5"/>
      <sheetData sheetId="6"/>
      <sheetData sheetId="7"/>
      <sheetData sheetId="8"/>
      <sheetData sheetId="9">
        <row r="21">
          <cell r="G21">
            <v>166</v>
          </cell>
          <cell r="H21">
            <v>145</v>
          </cell>
          <cell r="I21">
            <v>109</v>
          </cell>
          <cell r="J21">
            <v>120</v>
          </cell>
          <cell r="K21">
            <v>141</v>
          </cell>
          <cell r="L21">
            <v>142</v>
          </cell>
          <cell r="M21">
            <v>83</v>
          </cell>
          <cell r="N21">
            <v>92</v>
          </cell>
          <cell r="O21">
            <v>94</v>
          </cell>
          <cell r="P21">
            <v>80</v>
          </cell>
          <cell r="Q21">
            <v>85</v>
          </cell>
          <cell r="R21">
            <v>85</v>
          </cell>
          <cell r="S21">
            <v>157</v>
          </cell>
          <cell r="T21">
            <v>174</v>
          </cell>
          <cell r="U21">
            <v>104</v>
          </cell>
          <cell r="V21">
            <v>116</v>
          </cell>
          <cell r="W21">
            <v>185</v>
          </cell>
          <cell r="X21">
            <v>182</v>
          </cell>
          <cell r="Y21">
            <v>391</v>
          </cell>
          <cell r="Z21">
            <v>445</v>
          </cell>
          <cell r="AA21">
            <v>327</v>
          </cell>
          <cell r="AB21">
            <v>457</v>
          </cell>
        </row>
        <row r="22">
          <cell r="G22">
            <v>0</v>
          </cell>
          <cell r="H22">
            <v>0</v>
          </cell>
          <cell r="I22">
            <v>0</v>
          </cell>
          <cell r="J22">
            <v>1</v>
          </cell>
          <cell r="K22">
            <v>16</v>
          </cell>
          <cell r="L22">
            <v>51</v>
          </cell>
          <cell r="M22">
            <v>60</v>
          </cell>
          <cell r="N22">
            <v>112</v>
          </cell>
          <cell r="O22">
            <v>134</v>
          </cell>
          <cell r="P22">
            <v>134</v>
          </cell>
          <cell r="Q22">
            <v>145</v>
          </cell>
          <cell r="R22">
            <v>179</v>
          </cell>
          <cell r="S22">
            <v>533</v>
          </cell>
          <cell r="T22">
            <v>542</v>
          </cell>
          <cell r="U22">
            <v>332</v>
          </cell>
          <cell r="V22">
            <v>326</v>
          </cell>
          <cell r="W22">
            <v>596</v>
          </cell>
          <cell r="X22">
            <v>633</v>
          </cell>
          <cell r="Y22">
            <v>2250</v>
          </cell>
          <cell r="Z22">
            <v>2735</v>
          </cell>
          <cell r="AA22">
            <v>1413</v>
          </cell>
          <cell r="AB22">
            <v>2950</v>
          </cell>
        </row>
        <row r="23">
          <cell r="G23">
            <v>0</v>
          </cell>
          <cell r="H23">
            <v>0</v>
          </cell>
          <cell r="I23">
            <v>6</v>
          </cell>
          <cell r="J23">
            <v>6</v>
          </cell>
          <cell r="K23">
            <v>36</v>
          </cell>
          <cell r="L23">
            <v>35</v>
          </cell>
          <cell r="M23">
            <v>30</v>
          </cell>
          <cell r="N23">
            <v>35</v>
          </cell>
          <cell r="O23">
            <v>34</v>
          </cell>
          <cell r="P23">
            <v>34</v>
          </cell>
          <cell r="Q23">
            <v>34</v>
          </cell>
          <cell r="R23">
            <v>45</v>
          </cell>
          <cell r="S23">
            <v>71</v>
          </cell>
          <cell r="T23">
            <v>89</v>
          </cell>
          <cell r="U23">
            <v>63</v>
          </cell>
          <cell r="V23">
            <v>73</v>
          </cell>
          <cell r="W23">
            <v>117</v>
          </cell>
          <cell r="X23">
            <v>122</v>
          </cell>
          <cell r="Y23">
            <v>238</v>
          </cell>
          <cell r="Z23">
            <v>292</v>
          </cell>
          <cell r="AA23">
            <v>256</v>
          </cell>
          <cell r="AB23">
            <v>367</v>
          </cell>
        </row>
        <row r="24">
          <cell r="G24">
            <v>0</v>
          </cell>
          <cell r="H24">
            <v>0</v>
          </cell>
          <cell r="I24">
            <v>0</v>
          </cell>
          <cell r="J24">
            <v>0</v>
          </cell>
          <cell r="K24">
            <v>0</v>
          </cell>
          <cell r="L24">
            <v>0</v>
          </cell>
          <cell r="M24">
            <v>0</v>
          </cell>
          <cell r="N24">
            <v>0</v>
          </cell>
          <cell r="O24">
            <v>0</v>
          </cell>
          <cell r="P24">
            <v>0</v>
          </cell>
          <cell r="Q24">
            <v>0</v>
          </cell>
          <cell r="R24">
            <v>0</v>
          </cell>
          <cell r="S24">
            <v>0</v>
          </cell>
          <cell r="T24">
            <v>1</v>
          </cell>
          <cell r="U24">
            <v>0</v>
          </cell>
          <cell r="V24">
            <v>0</v>
          </cell>
          <cell r="W24">
            <v>2</v>
          </cell>
          <cell r="X24">
            <v>6</v>
          </cell>
          <cell r="Y24">
            <v>0</v>
          </cell>
          <cell r="Z24">
            <v>0</v>
          </cell>
          <cell r="AA24">
            <v>4</v>
          </cell>
          <cell r="AB24">
            <v>6</v>
          </cell>
        </row>
        <row r="25">
          <cell r="G25">
            <v>0</v>
          </cell>
          <cell r="H25">
            <v>1</v>
          </cell>
          <cell r="I25">
            <v>1</v>
          </cell>
          <cell r="J25">
            <v>0</v>
          </cell>
          <cell r="K25">
            <v>2</v>
          </cell>
          <cell r="L25">
            <v>1</v>
          </cell>
          <cell r="M25">
            <v>2</v>
          </cell>
          <cell r="N25">
            <v>5</v>
          </cell>
          <cell r="O25">
            <v>9</v>
          </cell>
          <cell r="P25">
            <v>9</v>
          </cell>
          <cell r="Q25">
            <v>10</v>
          </cell>
          <cell r="R25">
            <v>12</v>
          </cell>
          <cell r="S25">
            <v>33</v>
          </cell>
          <cell r="T25">
            <v>41</v>
          </cell>
          <cell r="U25">
            <v>33</v>
          </cell>
          <cell r="V25">
            <v>32</v>
          </cell>
          <cell r="W25">
            <v>89</v>
          </cell>
          <cell r="X25">
            <v>75</v>
          </cell>
          <cell r="Y25">
            <v>291</v>
          </cell>
          <cell r="Z25">
            <v>301</v>
          </cell>
          <cell r="AA25">
            <v>296</v>
          </cell>
          <cell r="AB25">
            <v>503</v>
          </cell>
        </row>
      </sheetData>
      <sheetData sheetId="10"/>
      <sheetData sheetId="11"/>
      <sheetData sheetId="12"/>
      <sheetData sheetId="13">
        <row r="11">
          <cell r="B11">
            <v>150</v>
          </cell>
          <cell r="E11">
            <v>0</v>
          </cell>
          <cell r="F11">
            <v>0</v>
          </cell>
          <cell r="G11">
            <v>88</v>
          </cell>
        </row>
        <row r="25">
          <cell r="B25">
            <v>1504</v>
          </cell>
        </row>
        <row r="26">
          <cell r="B26">
            <v>31</v>
          </cell>
        </row>
        <row r="27">
          <cell r="B27">
            <v>111</v>
          </cell>
        </row>
        <row r="28">
          <cell r="B28">
            <v>127</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0</v>
          </cell>
          <cell r="F21">
            <v>0</v>
          </cell>
          <cell r="G21">
            <v>30</v>
          </cell>
          <cell r="H21">
            <v>27</v>
          </cell>
          <cell r="I21">
            <v>33</v>
          </cell>
          <cell r="J21">
            <v>38</v>
          </cell>
          <cell r="K21">
            <v>32</v>
          </cell>
          <cell r="L21">
            <v>44</v>
          </cell>
          <cell r="M21">
            <v>31</v>
          </cell>
          <cell r="N21">
            <v>38</v>
          </cell>
          <cell r="O21">
            <v>35</v>
          </cell>
          <cell r="P21">
            <v>32</v>
          </cell>
          <cell r="Q21">
            <v>11</v>
          </cell>
          <cell r="R21">
            <v>23</v>
          </cell>
          <cell r="S21">
            <v>19</v>
          </cell>
          <cell r="T21">
            <v>16</v>
          </cell>
          <cell r="U21">
            <v>11</v>
          </cell>
          <cell r="V21">
            <v>11</v>
          </cell>
          <cell r="W21">
            <v>11</v>
          </cell>
          <cell r="X21">
            <v>15</v>
          </cell>
          <cell r="Y21">
            <v>30</v>
          </cell>
          <cell r="Z21">
            <v>36</v>
          </cell>
          <cell r="AA21">
            <v>38</v>
          </cell>
          <cell r="AB21">
            <v>27</v>
          </cell>
          <cell r="AC21">
            <v>27</v>
          </cell>
          <cell r="AD21">
            <v>26</v>
          </cell>
          <cell r="AE21">
            <v>39</v>
          </cell>
          <cell r="AF21">
            <v>54</v>
          </cell>
        </row>
      </sheetData>
      <sheetData sheetId="3"/>
      <sheetData sheetId="4"/>
      <sheetData sheetId="5"/>
      <sheetData sheetId="6"/>
      <sheetData sheetId="7"/>
      <sheetData sheetId="8"/>
      <sheetData sheetId="9">
        <row r="21">
          <cell r="G21">
            <v>15</v>
          </cell>
          <cell r="H21">
            <v>11</v>
          </cell>
          <cell r="I21">
            <v>9</v>
          </cell>
          <cell r="J21">
            <v>18</v>
          </cell>
          <cell r="K21">
            <v>16</v>
          </cell>
          <cell r="L21">
            <v>17</v>
          </cell>
          <cell r="M21">
            <v>12</v>
          </cell>
          <cell r="N21">
            <v>19</v>
          </cell>
          <cell r="O21">
            <v>8</v>
          </cell>
          <cell r="P21">
            <v>11</v>
          </cell>
          <cell r="Q21">
            <v>13</v>
          </cell>
          <cell r="R21">
            <v>13</v>
          </cell>
          <cell r="S21">
            <v>7</v>
          </cell>
          <cell r="T21">
            <v>12</v>
          </cell>
          <cell r="U21">
            <v>9</v>
          </cell>
          <cell r="V21">
            <v>11</v>
          </cell>
          <cell r="W21">
            <v>30</v>
          </cell>
          <cell r="X21">
            <v>14</v>
          </cell>
          <cell r="Y21">
            <v>50</v>
          </cell>
          <cell r="Z21">
            <v>50</v>
          </cell>
          <cell r="AA21">
            <v>33</v>
          </cell>
          <cell r="AB21">
            <v>34</v>
          </cell>
        </row>
        <row r="22">
          <cell r="G22">
            <v>0</v>
          </cell>
          <cell r="H22">
            <v>0</v>
          </cell>
          <cell r="I22">
            <v>0</v>
          </cell>
          <cell r="J22">
            <v>0</v>
          </cell>
          <cell r="K22">
            <v>0</v>
          </cell>
          <cell r="L22">
            <v>4</v>
          </cell>
          <cell r="M22">
            <v>8</v>
          </cell>
          <cell r="N22">
            <v>1</v>
          </cell>
          <cell r="O22">
            <v>15</v>
          </cell>
          <cell r="P22">
            <v>9</v>
          </cell>
          <cell r="Q22">
            <v>5</v>
          </cell>
          <cell r="R22">
            <v>4</v>
          </cell>
          <cell r="S22">
            <v>12</v>
          </cell>
          <cell r="T22">
            <v>7</v>
          </cell>
          <cell r="U22">
            <v>13</v>
          </cell>
          <cell r="V22">
            <v>43</v>
          </cell>
          <cell r="W22">
            <v>45</v>
          </cell>
          <cell r="X22">
            <v>40</v>
          </cell>
          <cell r="Y22">
            <v>211</v>
          </cell>
          <cell r="Z22">
            <v>232</v>
          </cell>
          <cell r="AA22">
            <v>63</v>
          </cell>
          <cell r="AB22">
            <v>69</v>
          </cell>
        </row>
        <row r="23">
          <cell r="G23">
            <v>0</v>
          </cell>
          <cell r="H23">
            <v>0</v>
          </cell>
          <cell r="I23">
            <v>0</v>
          </cell>
          <cell r="J23">
            <v>0</v>
          </cell>
          <cell r="K23">
            <v>5</v>
          </cell>
          <cell r="L23">
            <v>3</v>
          </cell>
          <cell r="M23">
            <v>4</v>
          </cell>
          <cell r="N23">
            <v>4</v>
          </cell>
          <cell r="O23">
            <v>3</v>
          </cell>
          <cell r="P23">
            <v>4</v>
          </cell>
          <cell r="Q23">
            <v>7</v>
          </cell>
          <cell r="R23">
            <v>5</v>
          </cell>
          <cell r="S23">
            <v>5</v>
          </cell>
          <cell r="T23">
            <v>16</v>
          </cell>
          <cell r="U23">
            <v>8</v>
          </cell>
          <cell r="V23">
            <v>14</v>
          </cell>
          <cell r="W23">
            <v>25</v>
          </cell>
          <cell r="X23">
            <v>17</v>
          </cell>
          <cell r="Y23">
            <v>44</v>
          </cell>
          <cell r="Z23">
            <v>54</v>
          </cell>
          <cell r="AA23">
            <v>28</v>
          </cell>
          <cell r="AB23">
            <v>22</v>
          </cell>
        </row>
        <row r="24">
          <cell r="G24">
            <v>0</v>
          </cell>
          <cell r="H24">
            <v>0</v>
          </cell>
          <cell r="I24">
            <v>0</v>
          </cell>
          <cell r="J24">
            <v>0</v>
          </cell>
          <cell r="K24">
            <v>0</v>
          </cell>
          <cell r="L24">
            <v>0</v>
          </cell>
          <cell r="M24">
            <v>0</v>
          </cell>
          <cell r="N24">
            <v>0</v>
          </cell>
          <cell r="O24">
            <v>0</v>
          </cell>
          <cell r="P24">
            <v>0</v>
          </cell>
          <cell r="Q24">
            <v>0</v>
          </cell>
          <cell r="R24">
            <v>0</v>
          </cell>
          <cell r="S24">
            <v>0</v>
          </cell>
          <cell r="T24">
            <v>1</v>
          </cell>
          <cell r="U24">
            <v>0</v>
          </cell>
          <cell r="V24">
            <v>0</v>
          </cell>
          <cell r="W24">
            <v>0</v>
          </cell>
          <cell r="X24">
            <v>9</v>
          </cell>
          <cell r="Y24">
            <v>3</v>
          </cell>
          <cell r="Z24">
            <v>0</v>
          </cell>
          <cell r="AA24">
            <v>0</v>
          </cell>
          <cell r="AB24">
            <v>0</v>
          </cell>
        </row>
        <row r="25">
          <cell r="G25">
            <v>0</v>
          </cell>
          <cell r="H25">
            <v>0</v>
          </cell>
          <cell r="I25">
            <v>0</v>
          </cell>
          <cell r="J25">
            <v>0</v>
          </cell>
          <cell r="K25">
            <v>1</v>
          </cell>
          <cell r="L25">
            <v>1</v>
          </cell>
          <cell r="M25">
            <v>3</v>
          </cell>
          <cell r="N25">
            <v>2</v>
          </cell>
          <cell r="O25">
            <v>2</v>
          </cell>
          <cell r="P25">
            <v>2</v>
          </cell>
          <cell r="Q25">
            <v>3</v>
          </cell>
          <cell r="R25">
            <v>2</v>
          </cell>
          <cell r="S25">
            <v>4</v>
          </cell>
          <cell r="T25">
            <v>5</v>
          </cell>
          <cell r="U25">
            <v>4</v>
          </cell>
          <cell r="V25">
            <v>13</v>
          </cell>
          <cell r="W25">
            <v>26</v>
          </cell>
          <cell r="X25">
            <v>17</v>
          </cell>
          <cell r="Y25">
            <v>58</v>
          </cell>
          <cell r="Z25">
            <v>39</v>
          </cell>
          <cell r="AA25">
            <v>41</v>
          </cell>
          <cell r="AB25">
            <v>29</v>
          </cell>
        </row>
      </sheetData>
      <sheetData sheetId="10"/>
      <sheetData sheetId="11"/>
      <sheetData sheetId="12"/>
      <sheetData sheetId="13">
        <row r="11">
          <cell r="B11">
            <v>7</v>
          </cell>
          <cell r="E11">
            <v>0</v>
          </cell>
          <cell r="F11">
            <v>0</v>
          </cell>
          <cell r="G11">
            <v>5</v>
          </cell>
        </row>
        <row r="25">
          <cell r="B25">
            <v>890</v>
          </cell>
        </row>
        <row r="26">
          <cell r="B26">
            <v>1</v>
          </cell>
        </row>
        <row r="27">
          <cell r="B27">
            <v>28</v>
          </cell>
        </row>
        <row r="28">
          <cell r="B28">
            <v>6</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B11">
            <v>34</v>
          </cell>
          <cell r="E11">
            <v>0</v>
          </cell>
          <cell r="F11">
            <v>0</v>
          </cell>
          <cell r="G11">
            <v>26</v>
          </cell>
        </row>
        <row r="25">
          <cell r="B25">
            <v>528</v>
          </cell>
        </row>
        <row r="26">
          <cell r="B26">
            <v>0</v>
          </cell>
        </row>
        <row r="27">
          <cell r="B27">
            <v>22</v>
          </cell>
        </row>
        <row r="28">
          <cell r="B28">
            <v>554</v>
          </cell>
        </row>
        <row r="29">
          <cell r="B29">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0</v>
          </cell>
          <cell r="F21">
            <v>2</v>
          </cell>
          <cell r="G21">
            <v>14</v>
          </cell>
          <cell r="H21">
            <v>105</v>
          </cell>
          <cell r="I21">
            <v>8</v>
          </cell>
          <cell r="J21">
            <v>104</v>
          </cell>
          <cell r="K21">
            <v>14</v>
          </cell>
          <cell r="L21">
            <v>121</v>
          </cell>
          <cell r="M21">
            <v>11</v>
          </cell>
          <cell r="N21">
            <v>90</v>
          </cell>
          <cell r="O21">
            <v>10</v>
          </cell>
          <cell r="P21">
            <v>89</v>
          </cell>
          <cell r="Q21">
            <v>5</v>
          </cell>
          <cell r="R21">
            <v>69</v>
          </cell>
          <cell r="S21">
            <v>16</v>
          </cell>
          <cell r="T21">
            <v>42</v>
          </cell>
          <cell r="U21">
            <v>15</v>
          </cell>
          <cell r="V21">
            <v>52</v>
          </cell>
          <cell r="W21">
            <v>11</v>
          </cell>
          <cell r="X21">
            <v>29</v>
          </cell>
          <cell r="Y21">
            <v>38</v>
          </cell>
          <cell r="Z21">
            <v>52</v>
          </cell>
          <cell r="AA21">
            <v>46</v>
          </cell>
          <cell r="AB21">
            <v>75</v>
          </cell>
          <cell r="AC21">
            <v>55</v>
          </cell>
          <cell r="AD21">
            <v>76</v>
          </cell>
          <cell r="AE21">
            <v>56</v>
          </cell>
          <cell r="AF21">
            <v>86</v>
          </cell>
        </row>
      </sheetData>
      <sheetData sheetId="3"/>
      <sheetData sheetId="4"/>
      <sheetData sheetId="5"/>
      <sheetData sheetId="6"/>
      <sheetData sheetId="7"/>
      <sheetData sheetId="8"/>
      <sheetData sheetId="9">
        <row r="21">
          <cell r="G21">
            <v>18</v>
          </cell>
          <cell r="H21">
            <v>23</v>
          </cell>
          <cell r="I21">
            <v>17</v>
          </cell>
          <cell r="J21">
            <v>19</v>
          </cell>
          <cell r="K21">
            <v>14</v>
          </cell>
          <cell r="L21">
            <v>20</v>
          </cell>
          <cell r="M21">
            <v>16</v>
          </cell>
          <cell r="N21">
            <v>23</v>
          </cell>
          <cell r="O21">
            <v>18</v>
          </cell>
          <cell r="P21">
            <v>18</v>
          </cell>
          <cell r="Q21">
            <v>9</v>
          </cell>
          <cell r="R21">
            <v>18</v>
          </cell>
          <cell r="S21">
            <v>26</v>
          </cell>
          <cell r="T21">
            <v>27</v>
          </cell>
          <cell r="U21">
            <v>16</v>
          </cell>
          <cell r="V21">
            <v>16</v>
          </cell>
          <cell r="W21">
            <v>25</v>
          </cell>
          <cell r="X21">
            <v>30</v>
          </cell>
          <cell r="Y21">
            <v>59</v>
          </cell>
          <cell r="Z21">
            <v>35</v>
          </cell>
          <cell r="AA21">
            <v>25</v>
          </cell>
          <cell r="AB21">
            <v>38</v>
          </cell>
        </row>
        <row r="22">
          <cell r="G22">
            <v>0</v>
          </cell>
          <cell r="H22">
            <v>0</v>
          </cell>
          <cell r="I22">
            <v>0</v>
          </cell>
          <cell r="J22">
            <v>0</v>
          </cell>
          <cell r="K22">
            <v>0</v>
          </cell>
          <cell r="L22">
            <v>0</v>
          </cell>
          <cell r="M22">
            <v>5</v>
          </cell>
          <cell r="N22">
            <v>0</v>
          </cell>
          <cell r="O22">
            <v>0</v>
          </cell>
          <cell r="P22">
            <v>5</v>
          </cell>
          <cell r="Q22">
            <v>2</v>
          </cell>
          <cell r="R22">
            <v>4</v>
          </cell>
          <cell r="S22">
            <v>6</v>
          </cell>
          <cell r="T22">
            <v>4</v>
          </cell>
          <cell r="U22">
            <v>7</v>
          </cell>
          <cell r="V22">
            <v>15</v>
          </cell>
          <cell r="W22">
            <v>19</v>
          </cell>
          <cell r="X22">
            <v>55</v>
          </cell>
          <cell r="Y22">
            <v>86</v>
          </cell>
          <cell r="Z22">
            <v>133</v>
          </cell>
          <cell r="AA22">
            <v>70</v>
          </cell>
          <cell r="AB22">
            <v>83</v>
          </cell>
        </row>
        <row r="23">
          <cell r="G23">
            <v>0</v>
          </cell>
          <cell r="H23">
            <v>0</v>
          </cell>
          <cell r="I23">
            <v>1</v>
          </cell>
          <cell r="J23">
            <v>2</v>
          </cell>
          <cell r="K23">
            <v>9</v>
          </cell>
          <cell r="L23">
            <v>7</v>
          </cell>
          <cell r="M23">
            <v>5</v>
          </cell>
          <cell r="N23">
            <v>14</v>
          </cell>
          <cell r="O23">
            <v>6</v>
          </cell>
          <cell r="P23">
            <v>5</v>
          </cell>
          <cell r="Q23">
            <v>5</v>
          </cell>
          <cell r="R23">
            <v>5</v>
          </cell>
          <cell r="S23">
            <v>6</v>
          </cell>
          <cell r="T23">
            <v>8</v>
          </cell>
          <cell r="U23">
            <v>4</v>
          </cell>
          <cell r="V23">
            <v>4</v>
          </cell>
          <cell r="W23">
            <v>10</v>
          </cell>
          <cell r="X23">
            <v>8</v>
          </cell>
          <cell r="Y23">
            <v>16</v>
          </cell>
          <cell r="Z23">
            <v>12</v>
          </cell>
          <cell r="AA23">
            <v>6</v>
          </cell>
          <cell r="AB23">
            <v>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1</v>
          </cell>
          <cell r="N25">
            <v>0</v>
          </cell>
          <cell r="O25">
            <v>0</v>
          </cell>
          <cell r="P25">
            <v>0</v>
          </cell>
          <cell r="Q25">
            <v>0</v>
          </cell>
          <cell r="R25">
            <v>2</v>
          </cell>
          <cell r="S25">
            <v>0</v>
          </cell>
          <cell r="T25">
            <v>0</v>
          </cell>
          <cell r="U25">
            <v>0</v>
          </cell>
          <cell r="V25">
            <v>0</v>
          </cell>
          <cell r="W25">
            <v>4</v>
          </cell>
          <cell r="X25">
            <v>6</v>
          </cell>
          <cell r="Y25">
            <v>21</v>
          </cell>
          <cell r="Z25">
            <v>28</v>
          </cell>
          <cell r="AA25">
            <v>34</v>
          </cell>
          <cell r="AB25">
            <v>25</v>
          </cell>
        </row>
      </sheetData>
      <sheetData sheetId="10"/>
      <sheetData sheetId="11"/>
      <sheetData sheetId="12"/>
      <sheetData sheetId="13">
        <row r="11">
          <cell r="B11">
            <v>23</v>
          </cell>
          <cell r="E11">
            <v>0</v>
          </cell>
          <cell r="F11">
            <v>0</v>
          </cell>
          <cell r="G11">
            <v>20</v>
          </cell>
        </row>
        <row r="25">
          <cell r="B25">
            <v>269</v>
          </cell>
        </row>
        <row r="26">
          <cell r="B26">
            <v>0</v>
          </cell>
        </row>
        <row r="27">
          <cell r="B27">
            <v>16</v>
          </cell>
        </row>
        <row r="28">
          <cell r="B28">
            <v>57</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B11">
            <v>0</v>
          </cell>
          <cell r="E11">
            <v>0</v>
          </cell>
          <cell r="F11">
            <v>0</v>
          </cell>
          <cell r="G11">
            <v>0</v>
          </cell>
        </row>
        <row r="25">
          <cell r="B25">
            <v>0</v>
          </cell>
        </row>
        <row r="26">
          <cell r="B26">
            <v>0</v>
          </cell>
        </row>
        <row r="27">
          <cell r="B27">
            <v>0</v>
          </cell>
        </row>
        <row r="28">
          <cell r="B28">
            <v>0</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sheetData>
      <sheetData sheetId="3"/>
      <sheetData sheetId="4"/>
      <sheetData sheetId="5"/>
      <sheetData sheetId="6"/>
      <sheetData sheetId="7"/>
      <sheetData sheetId="8">
        <row r="30">
          <cell r="E30">
            <v>832</v>
          </cell>
          <cell r="F30">
            <v>411</v>
          </cell>
          <cell r="G30">
            <v>988</v>
          </cell>
          <cell r="H30">
            <v>735</v>
          </cell>
          <cell r="I30">
            <v>898</v>
          </cell>
          <cell r="J30">
            <v>683</v>
          </cell>
          <cell r="K30">
            <v>637</v>
          </cell>
          <cell r="L30">
            <v>637</v>
          </cell>
          <cell r="M30">
            <v>693</v>
          </cell>
          <cell r="N30">
            <v>632</v>
          </cell>
          <cell r="O30">
            <v>695</v>
          </cell>
          <cell r="P30">
            <v>663</v>
          </cell>
          <cell r="Q30">
            <v>664</v>
          </cell>
          <cell r="R30">
            <v>658</v>
          </cell>
          <cell r="S30">
            <v>609</v>
          </cell>
          <cell r="T30">
            <v>595</v>
          </cell>
          <cell r="U30">
            <v>578</v>
          </cell>
          <cell r="V30">
            <v>551</v>
          </cell>
          <cell r="W30">
            <v>446</v>
          </cell>
          <cell r="X30">
            <v>576</v>
          </cell>
          <cell r="Y30">
            <v>567</v>
          </cell>
          <cell r="Z30">
            <v>518</v>
          </cell>
          <cell r="AA30">
            <v>536</v>
          </cell>
          <cell r="AB30">
            <v>635</v>
          </cell>
          <cell r="AC30">
            <v>636</v>
          </cell>
          <cell r="AD30">
            <v>550</v>
          </cell>
          <cell r="AE30">
            <v>451</v>
          </cell>
          <cell r="AF30">
            <v>424</v>
          </cell>
          <cell r="AG30">
            <v>514</v>
          </cell>
          <cell r="AH30">
            <v>407</v>
          </cell>
          <cell r="AI30">
            <v>373</v>
          </cell>
          <cell r="AJ30">
            <v>373</v>
          </cell>
          <cell r="AK30">
            <v>540</v>
          </cell>
          <cell r="AL30">
            <v>649</v>
          </cell>
        </row>
        <row r="60">
          <cell r="B60">
            <v>2</v>
          </cell>
        </row>
        <row r="61">
          <cell r="B61">
            <v>78</v>
          </cell>
        </row>
        <row r="62">
          <cell r="B62">
            <v>6391</v>
          </cell>
        </row>
        <row r="63">
          <cell r="B63">
            <v>13413</v>
          </cell>
        </row>
        <row r="64">
          <cell r="B64">
            <v>458</v>
          </cell>
        </row>
        <row r="65">
          <cell r="B65">
            <v>12</v>
          </cell>
        </row>
      </sheetData>
      <sheetData sheetId="9"/>
      <sheetData sheetId="10"/>
      <sheetData sheetId="11"/>
      <sheetData sheetId="12"/>
      <sheetData sheetId="13">
        <row r="11">
          <cell r="B11">
            <v>54</v>
          </cell>
          <cell r="E11">
            <v>1</v>
          </cell>
          <cell r="F11">
            <v>1</v>
          </cell>
          <cell r="G11">
            <v>32</v>
          </cell>
        </row>
        <row r="25">
          <cell r="B25">
            <v>4421</v>
          </cell>
        </row>
        <row r="26">
          <cell r="B26">
            <v>1</v>
          </cell>
        </row>
        <row r="27">
          <cell r="B27">
            <v>64</v>
          </cell>
        </row>
        <row r="28">
          <cell r="B28">
            <v>4</v>
          </cell>
        </row>
        <row r="29">
          <cell r="B29">
            <v>21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sheetNames>
    <sheetDataSet>
      <sheetData sheetId="0">
        <row r="13">
          <cell r="E13">
            <v>2453</v>
          </cell>
          <cell r="F13">
            <v>2421</v>
          </cell>
          <cell r="G13">
            <v>0</v>
          </cell>
          <cell r="H13">
            <v>3011</v>
          </cell>
          <cell r="I13">
            <v>2245</v>
          </cell>
          <cell r="J13">
            <v>3026</v>
          </cell>
          <cell r="K13">
            <v>0</v>
          </cell>
          <cell r="L13">
            <v>0</v>
          </cell>
          <cell r="N13">
            <v>1337</v>
          </cell>
          <cell r="O13">
            <v>3493</v>
          </cell>
          <cell r="P13">
            <v>4509</v>
          </cell>
          <cell r="Q13">
            <v>3858</v>
          </cell>
          <cell r="R13">
            <v>0</v>
          </cell>
          <cell r="S13">
            <v>2586</v>
          </cell>
          <cell r="T13">
            <v>3907</v>
          </cell>
          <cell r="V13">
            <v>0</v>
          </cell>
          <cell r="W13">
            <v>3375</v>
          </cell>
          <cell r="X13">
            <v>2543</v>
          </cell>
        </row>
        <row r="14">
          <cell r="E14">
            <v>2043</v>
          </cell>
          <cell r="F14">
            <v>1171</v>
          </cell>
          <cell r="G14">
            <v>0</v>
          </cell>
          <cell r="H14">
            <v>2080</v>
          </cell>
          <cell r="I14">
            <v>1655</v>
          </cell>
          <cell r="J14">
            <v>2132</v>
          </cell>
          <cell r="K14">
            <v>2</v>
          </cell>
          <cell r="L14">
            <v>0</v>
          </cell>
          <cell r="N14">
            <v>1010</v>
          </cell>
          <cell r="O14">
            <v>2253</v>
          </cell>
          <cell r="P14">
            <v>2860</v>
          </cell>
          <cell r="Q14">
            <v>2701</v>
          </cell>
          <cell r="R14">
            <v>0</v>
          </cell>
          <cell r="S14">
            <v>1573</v>
          </cell>
          <cell r="T14">
            <v>2746</v>
          </cell>
          <cell r="V14">
            <v>0</v>
          </cell>
          <cell r="W14">
            <v>2247</v>
          </cell>
          <cell r="X14">
            <v>2075</v>
          </cell>
        </row>
        <row r="15">
          <cell r="E15">
            <v>13443</v>
          </cell>
          <cell r="F15">
            <v>7841</v>
          </cell>
          <cell r="G15">
            <v>0</v>
          </cell>
          <cell r="H15">
            <v>9324</v>
          </cell>
          <cell r="I15">
            <v>8040</v>
          </cell>
          <cell r="J15">
            <v>11828</v>
          </cell>
          <cell r="K15">
            <v>1462</v>
          </cell>
          <cell r="L15">
            <v>0</v>
          </cell>
          <cell r="N15">
            <v>3548</v>
          </cell>
          <cell r="O15">
            <v>12651</v>
          </cell>
          <cell r="P15">
            <v>18404</v>
          </cell>
          <cell r="Q15">
            <v>12876</v>
          </cell>
          <cell r="R15">
            <v>486</v>
          </cell>
          <cell r="S15">
            <v>10038</v>
          </cell>
          <cell r="T15">
            <v>12042</v>
          </cell>
          <cell r="U15">
            <v>196</v>
          </cell>
          <cell r="V15">
            <v>260</v>
          </cell>
          <cell r="W15">
            <v>12181</v>
          </cell>
          <cell r="X15">
            <v>11935</v>
          </cell>
        </row>
        <row r="16">
          <cell r="E16">
            <v>8432</v>
          </cell>
          <cell r="F16">
            <v>4343</v>
          </cell>
          <cell r="G16">
            <v>0</v>
          </cell>
          <cell r="H16">
            <v>3134</v>
          </cell>
          <cell r="I16">
            <v>2866</v>
          </cell>
          <cell r="J16">
            <v>5204</v>
          </cell>
          <cell r="K16">
            <v>5</v>
          </cell>
          <cell r="L16">
            <v>0</v>
          </cell>
          <cell r="N16">
            <v>1374</v>
          </cell>
          <cell r="O16">
            <v>5067</v>
          </cell>
          <cell r="P16">
            <v>10935</v>
          </cell>
          <cell r="Q16">
            <v>4991</v>
          </cell>
          <cell r="R16">
            <v>663</v>
          </cell>
          <cell r="S16">
            <v>4373</v>
          </cell>
          <cell r="T16">
            <v>3954</v>
          </cell>
          <cell r="U16">
            <v>276</v>
          </cell>
          <cell r="V16">
            <v>1</v>
          </cell>
          <cell r="W16">
            <v>5879</v>
          </cell>
          <cell r="X16">
            <v>5104</v>
          </cell>
        </row>
        <row r="21">
          <cell r="E21">
            <v>1220</v>
          </cell>
          <cell r="F21">
            <v>1405</v>
          </cell>
          <cell r="G21">
            <v>0</v>
          </cell>
          <cell r="H21">
            <v>1188</v>
          </cell>
          <cell r="I21">
            <v>642</v>
          </cell>
          <cell r="J21">
            <v>523</v>
          </cell>
          <cell r="K21">
            <v>0</v>
          </cell>
          <cell r="L21">
            <v>0</v>
          </cell>
          <cell r="N21">
            <v>709</v>
          </cell>
          <cell r="O21">
            <v>805</v>
          </cell>
          <cell r="P21">
            <v>919</v>
          </cell>
          <cell r="Q21">
            <v>1230</v>
          </cell>
          <cell r="R21">
            <v>205</v>
          </cell>
          <cell r="S21">
            <v>672</v>
          </cell>
          <cell r="T21">
            <v>463</v>
          </cell>
          <cell r="V21">
            <v>0</v>
          </cell>
          <cell r="W21">
            <v>1841</v>
          </cell>
          <cell r="X21">
            <v>684</v>
          </cell>
        </row>
        <row r="22">
          <cell r="E22">
            <v>0</v>
          </cell>
          <cell r="F22">
            <v>26</v>
          </cell>
          <cell r="H22">
            <v>15</v>
          </cell>
          <cell r="I22">
            <v>23</v>
          </cell>
          <cell r="J22">
            <v>5</v>
          </cell>
          <cell r="N22">
            <v>0</v>
          </cell>
          <cell r="O22">
            <v>26</v>
          </cell>
          <cell r="P22">
            <v>12</v>
          </cell>
          <cell r="Q22">
            <v>7</v>
          </cell>
          <cell r="S22">
            <v>78</v>
          </cell>
          <cell r="T22">
            <v>24</v>
          </cell>
          <cell r="W22">
            <v>8</v>
          </cell>
        </row>
        <row r="23">
          <cell r="E23">
            <v>0</v>
          </cell>
          <cell r="H23">
            <v>0</v>
          </cell>
          <cell r="I23">
            <v>0</v>
          </cell>
          <cell r="J23">
            <v>26</v>
          </cell>
          <cell r="N23">
            <v>0</v>
          </cell>
          <cell r="O23">
            <v>32</v>
          </cell>
          <cell r="P23">
            <v>18</v>
          </cell>
          <cell r="S23">
            <v>0</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1</v>
          </cell>
          <cell r="F21">
            <v>0</v>
          </cell>
          <cell r="G21">
            <v>36</v>
          </cell>
          <cell r="H21">
            <v>107</v>
          </cell>
          <cell r="I21">
            <v>44</v>
          </cell>
          <cell r="J21">
            <v>114</v>
          </cell>
          <cell r="K21">
            <v>44</v>
          </cell>
          <cell r="L21">
            <v>121</v>
          </cell>
          <cell r="M21">
            <v>49</v>
          </cell>
          <cell r="N21">
            <v>113</v>
          </cell>
          <cell r="O21">
            <v>41</v>
          </cell>
          <cell r="P21">
            <v>103</v>
          </cell>
          <cell r="Q21">
            <v>33</v>
          </cell>
          <cell r="R21">
            <v>95</v>
          </cell>
          <cell r="S21">
            <v>60</v>
          </cell>
          <cell r="T21">
            <v>83</v>
          </cell>
          <cell r="U21">
            <v>71</v>
          </cell>
          <cell r="V21">
            <v>73</v>
          </cell>
          <cell r="W21">
            <v>34</v>
          </cell>
          <cell r="X21">
            <v>56</v>
          </cell>
          <cell r="Y21">
            <v>90</v>
          </cell>
          <cell r="Z21">
            <v>136</v>
          </cell>
          <cell r="AA21">
            <v>97</v>
          </cell>
          <cell r="AB21">
            <v>143</v>
          </cell>
          <cell r="AC21">
            <v>77</v>
          </cell>
          <cell r="AD21">
            <v>108</v>
          </cell>
          <cell r="AE21">
            <v>96</v>
          </cell>
          <cell r="AF21">
            <v>146</v>
          </cell>
        </row>
      </sheetData>
      <sheetData sheetId="3"/>
      <sheetData sheetId="4"/>
      <sheetData sheetId="5"/>
      <sheetData sheetId="6"/>
      <sheetData sheetId="7"/>
      <sheetData sheetId="8"/>
      <sheetData sheetId="9">
        <row r="21">
          <cell r="G21">
            <v>24</v>
          </cell>
          <cell r="H21">
            <v>14</v>
          </cell>
          <cell r="I21">
            <v>14</v>
          </cell>
          <cell r="J21">
            <v>8</v>
          </cell>
          <cell r="K21">
            <v>11</v>
          </cell>
          <cell r="L21">
            <v>12</v>
          </cell>
          <cell r="M21">
            <v>9</v>
          </cell>
          <cell r="N21">
            <v>16</v>
          </cell>
          <cell r="O21">
            <v>18</v>
          </cell>
          <cell r="P21">
            <v>18</v>
          </cell>
          <cell r="Q21">
            <v>27</v>
          </cell>
          <cell r="R21">
            <v>18</v>
          </cell>
          <cell r="S21">
            <v>34</v>
          </cell>
          <cell r="T21">
            <v>23</v>
          </cell>
          <cell r="U21">
            <v>27</v>
          </cell>
          <cell r="V21">
            <v>22</v>
          </cell>
          <cell r="W21">
            <v>43</v>
          </cell>
          <cell r="X21">
            <v>31</v>
          </cell>
          <cell r="Y21">
            <v>90</v>
          </cell>
          <cell r="Z21">
            <v>125</v>
          </cell>
          <cell r="AA21">
            <v>13</v>
          </cell>
          <cell r="AB21">
            <v>24</v>
          </cell>
        </row>
        <row r="22">
          <cell r="G22">
            <v>0</v>
          </cell>
          <cell r="H22">
            <v>0</v>
          </cell>
          <cell r="I22">
            <v>0</v>
          </cell>
          <cell r="J22">
            <v>0</v>
          </cell>
          <cell r="K22">
            <v>0</v>
          </cell>
          <cell r="L22">
            <v>0</v>
          </cell>
          <cell r="M22">
            <v>0</v>
          </cell>
          <cell r="N22">
            <v>0</v>
          </cell>
          <cell r="O22">
            <v>2</v>
          </cell>
          <cell r="P22">
            <v>0</v>
          </cell>
          <cell r="Q22">
            <v>0</v>
          </cell>
          <cell r="R22">
            <v>5</v>
          </cell>
          <cell r="S22">
            <v>40</v>
          </cell>
          <cell r="T22">
            <v>29</v>
          </cell>
          <cell r="U22">
            <v>4</v>
          </cell>
          <cell r="V22">
            <v>0</v>
          </cell>
          <cell r="W22">
            <v>7</v>
          </cell>
          <cell r="X22">
            <v>4</v>
          </cell>
          <cell r="Y22">
            <v>38</v>
          </cell>
          <cell r="Z22">
            <v>59</v>
          </cell>
          <cell r="AA22">
            <v>13</v>
          </cell>
          <cell r="AB22">
            <v>29</v>
          </cell>
        </row>
        <row r="23">
          <cell r="G23">
            <v>0</v>
          </cell>
          <cell r="H23">
            <v>0</v>
          </cell>
          <cell r="I23">
            <v>1</v>
          </cell>
          <cell r="J23">
            <v>0</v>
          </cell>
          <cell r="K23">
            <v>5</v>
          </cell>
          <cell r="L23">
            <v>2</v>
          </cell>
          <cell r="M23">
            <v>0</v>
          </cell>
          <cell r="N23">
            <v>6</v>
          </cell>
          <cell r="O23">
            <v>9</v>
          </cell>
          <cell r="P23">
            <v>11</v>
          </cell>
          <cell r="Q23">
            <v>14</v>
          </cell>
          <cell r="R23">
            <v>13</v>
          </cell>
          <cell r="S23">
            <v>16</v>
          </cell>
          <cell r="T23">
            <v>13</v>
          </cell>
          <cell r="U23">
            <v>11</v>
          </cell>
          <cell r="V23">
            <v>7</v>
          </cell>
          <cell r="W23">
            <v>22</v>
          </cell>
          <cell r="X23">
            <v>15</v>
          </cell>
          <cell r="Y23">
            <v>42</v>
          </cell>
          <cell r="Z23">
            <v>94</v>
          </cell>
          <cell r="AA23">
            <v>22</v>
          </cell>
          <cell r="AB23">
            <v>38</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6</v>
          </cell>
          <cell r="M25">
            <v>0</v>
          </cell>
          <cell r="N25">
            <v>1</v>
          </cell>
          <cell r="O25">
            <v>13</v>
          </cell>
          <cell r="P25">
            <v>4</v>
          </cell>
          <cell r="Q25">
            <v>1</v>
          </cell>
          <cell r="R25">
            <v>4</v>
          </cell>
          <cell r="S25">
            <v>22</v>
          </cell>
          <cell r="T25">
            <v>15</v>
          </cell>
          <cell r="U25">
            <v>16</v>
          </cell>
          <cell r="V25">
            <v>37</v>
          </cell>
          <cell r="W25">
            <v>58</v>
          </cell>
          <cell r="X25">
            <v>52</v>
          </cell>
          <cell r="Y25">
            <v>154</v>
          </cell>
          <cell r="Z25">
            <v>265</v>
          </cell>
          <cell r="AA25">
            <v>95</v>
          </cell>
          <cell r="AB25">
            <v>156</v>
          </cell>
        </row>
      </sheetData>
      <sheetData sheetId="10"/>
      <sheetData sheetId="11"/>
      <sheetData sheetId="12"/>
      <sheetData sheetId="13">
        <row r="11">
          <cell r="B11">
            <v>23</v>
          </cell>
          <cell r="E11">
            <v>0</v>
          </cell>
          <cell r="F11">
            <v>0</v>
          </cell>
          <cell r="G11">
            <v>20</v>
          </cell>
        </row>
        <row r="25">
          <cell r="B25">
            <v>0</v>
          </cell>
        </row>
        <row r="26">
          <cell r="B26">
            <v>0</v>
          </cell>
        </row>
        <row r="27">
          <cell r="B27">
            <v>16</v>
          </cell>
        </row>
        <row r="28">
          <cell r="B28">
            <v>0</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sheetData sheetId="8">
        <row r="12">
          <cell r="E12">
            <v>0</v>
          </cell>
          <cell r="F12">
            <v>0</v>
          </cell>
          <cell r="G12">
            <v>0</v>
          </cell>
          <cell r="H12">
            <v>0</v>
          </cell>
          <cell r="I12">
            <v>2</v>
          </cell>
          <cell r="J12">
            <v>10</v>
          </cell>
          <cell r="K12">
            <v>358</v>
          </cell>
          <cell r="L12">
            <v>557</v>
          </cell>
          <cell r="M12">
            <v>364</v>
          </cell>
          <cell r="N12">
            <v>434</v>
          </cell>
          <cell r="O12">
            <v>342</v>
          </cell>
          <cell r="P12">
            <v>360</v>
          </cell>
          <cell r="Q12">
            <v>343</v>
          </cell>
          <cell r="R12">
            <v>376</v>
          </cell>
          <cell r="S12">
            <v>235</v>
          </cell>
          <cell r="T12">
            <v>281</v>
          </cell>
          <cell r="U12">
            <v>229</v>
          </cell>
          <cell r="V12">
            <v>202</v>
          </cell>
          <cell r="W12">
            <v>150</v>
          </cell>
          <cell r="X12">
            <v>175</v>
          </cell>
          <cell r="Y12">
            <v>141</v>
          </cell>
          <cell r="Z12">
            <v>150</v>
          </cell>
          <cell r="AA12">
            <v>96</v>
          </cell>
          <cell r="AB12">
            <v>186</v>
          </cell>
          <cell r="AC12">
            <v>61</v>
          </cell>
          <cell r="AD12">
            <v>70</v>
          </cell>
          <cell r="AE12">
            <v>49</v>
          </cell>
          <cell r="AF12">
            <v>60</v>
          </cell>
          <cell r="AG12">
            <v>21</v>
          </cell>
          <cell r="AH12">
            <v>38</v>
          </cell>
          <cell r="AI12">
            <v>8</v>
          </cell>
          <cell r="AJ12">
            <v>29</v>
          </cell>
          <cell r="AK12">
            <v>29</v>
          </cell>
          <cell r="AL12">
            <v>42</v>
          </cell>
        </row>
        <row r="13">
          <cell r="B13">
            <v>0</v>
          </cell>
        </row>
        <row r="60">
          <cell r="B60">
            <v>1</v>
          </cell>
        </row>
        <row r="61">
          <cell r="B61">
            <v>15</v>
          </cell>
        </row>
        <row r="62">
          <cell r="B62">
            <v>1328</v>
          </cell>
        </row>
        <row r="63">
          <cell r="B63">
            <v>4018</v>
          </cell>
        </row>
        <row r="64">
          <cell r="B64">
            <v>36</v>
          </cell>
        </row>
        <row r="65">
          <cell r="B65">
            <v>0</v>
          </cell>
        </row>
      </sheetData>
      <sheetData sheetId="9"/>
      <sheetData sheetId="10"/>
      <sheetData sheetId="11"/>
      <sheetData sheetId="12"/>
      <sheetData sheetId="13">
        <row r="11">
          <cell r="B11">
            <v>39</v>
          </cell>
          <cell r="E11">
            <v>0</v>
          </cell>
          <cell r="F11">
            <v>0</v>
          </cell>
          <cell r="G11">
            <v>31</v>
          </cell>
        </row>
        <row r="25">
          <cell r="B25">
            <v>36</v>
          </cell>
        </row>
        <row r="26">
          <cell r="B26">
            <v>9</v>
          </cell>
        </row>
        <row r="27">
          <cell r="B27">
            <v>48</v>
          </cell>
        </row>
        <row r="28">
          <cell r="B28">
            <v>64</v>
          </cell>
        </row>
        <row r="29">
          <cell r="B29">
            <v>20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3</v>
          </cell>
          <cell r="F21">
            <v>16</v>
          </cell>
          <cell r="G21">
            <v>30</v>
          </cell>
          <cell r="H21">
            <v>101</v>
          </cell>
          <cell r="I21">
            <v>37</v>
          </cell>
          <cell r="J21">
            <v>96</v>
          </cell>
          <cell r="K21">
            <v>30</v>
          </cell>
          <cell r="L21">
            <v>110</v>
          </cell>
          <cell r="M21">
            <v>27</v>
          </cell>
          <cell r="N21">
            <v>73</v>
          </cell>
          <cell r="O21">
            <v>30</v>
          </cell>
          <cell r="P21">
            <v>102</v>
          </cell>
          <cell r="Q21">
            <v>32</v>
          </cell>
          <cell r="R21">
            <v>79</v>
          </cell>
          <cell r="S21">
            <v>31</v>
          </cell>
          <cell r="T21">
            <v>68</v>
          </cell>
          <cell r="U21">
            <v>32</v>
          </cell>
          <cell r="V21">
            <v>73</v>
          </cell>
          <cell r="W21">
            <v>21</v>
          </cell>
          <cell r="X21">
            <v>53</v>
          </cell>
          <cell r="Y21">
            <v>92</v>
          </cell>
          <cell r="Z21">
            <v>135</v>
          </cell>
          <cell r="AA21">
            <v>106</v>
          </cell>
          <cell r="AB21">
            <v>155</v>
          </cell>
          <cell r="AC21">
            <v>71</v>
          </cell>
          <cell r="AD21">
            <v>120</v>
          </cell>
          <cell r="AE21">
            <v>102</v>
          </cell>
          <cell r="AF21">
            <v>151</v>
          </cell>
        </row>
      </sheetData>
      <sheetData sheetId="3"/>
      <sheetData sheetId="4"/>
      <sheetData sheetId="5"/>
      <sheetData sheetId="6"/>
      <sheetData sheetId="7"/>
      <sheetData sheetId="8"/>
      <sheetData sheetId="9">
        <row r="21">
          <cell r="G21">
            <v>34</v>
          </cell>
          <cell r="H21">
            <v>38</v>
          </cell>
          <cell r="I21">
            <v>18</v>
          </cell>
          <cell r="J21">
            <v>29</v>
          </cell>
          <cell r="K21">
            <v>30</v>
          </cell>
          <cell r="L21">
            <v>16</v>
          </cell>
          <cell r="M21">
            <v>33</v>
          </cell>
          <cell r="N21">
            <v>31</v>
          </cell>
          <cell r="O21">
            <v>31</v>
          </cell>
          <cell r="P21">
            <v>41</v>
          </cell>
          <cell r="Q21">
            <v>47</v>
          </cell>
          <cell r="R21">
            <v>38</v>
          </cell>
          <cell r="S21">
            <v>46</v>
          </cell>
          <cell r="T21">
            <v>62</v>
          </cell>
          <cell r="U21">
            <v>46</v>
          </cell>
          <cell r="V21">
            <v>62</v>
          </cell>
          <cell r="W21">
            <v>88</v>
          </cell>
          <cell r="X21">
            <v>83</v>
          </cell>
          <cell r="Y21">
            <v>205</v>
          </cell>
          <cell r="Z21">
            <v>189</v>
          </cell>
          <cell r="AA21">
            <v>104</v>
          </cell>
          <cell r="AB21">
            <v>111</v>
          </cell>
        </row>
        <row r="22">
          <cell r="G22">
            <v>0</v>
          </cell>
          <cell r="H22">
            <v>0</v>
          </cell>
          <cell r="I22">
            <v>0</v>
          </cell>
          <cell r="J22">
            <v>0</v>
          </cell>
          <cell r="K22">
            <v>3</v>
          </cell>
          <cell r="L22">
            <v>7</v>
          </cell>
          <cell r="M22">
            <v>22</v>
          </cell>
          <cell r="N22">
            <v>19</v>
          </cell>
          <cell r="O22">
            <v>24</v>
          </cell>
          <cell r="P22">
            <v>39</v>
          </cell>
          <cell r="Q22">
            <v>48</v>
          </cell>
          <cell r="R22">
            <v>48</v>
          </cell>
          <cell r="S22">
            <v>78</v>
          </cell>
          <cell r="T22">
            <v>127</v>
          </cell>
          <cell r="U22">
            <v>124</v>
          </cell>
          <cell r="V22">
            <v>114</v>
          </cell>
          <cell r="W22">
            <v>155</v>
          </cell>
          <cell r="X22">
            <v>145</v>
          </cell>
          <cell r="Y22">
            <v>616</v>
          </cell>
          <cell r="Z22">
            <v>663</v>
          </cell>
          <cell r="AA22">
            <v>306</v>
          </cell>
          <cell r="AB22">
            <v>302</v>
          </cell>
        </row>
        <row r="23">
          <cell r="G23">
            <v>0</v>
          </cell>
          <cell r="H23">
            <v>0</v>
          </cell>
          <cell r="I23">
            <v>0</v>
          </cell>
          <cell r="J23">
            <v>0</v>
          </cell>
          <cell r="K23">
            <v>2</v>
          </cell>
          <cell r="L23">
            <v>1</v>
          </cell>
          <cell r="M23">
            <v>5</v>
          </cell>
          <cell r="N23">
            <v>4</v>
          </cell>
          <cell r="O23">
            <v>7</v>
          </cell>
          <cell r="P23">
            <v>14</v>
          </cell>
          <cell r="Q23">
            <v>22</v>
          </cell>
          <cell r="R23">
            <v>22</v>
          </cell>
          <cell r="S23">
            <v>17</v>
          </cell>
          <cell r="T23">
            <v>21</v>
          </cell>
          <cell r="U23">
            <v>20</v>
          </cell>
          <cell r="V23">
            <v>30</v>
          </cell>
          <cell r="W23">
            <v>43</v>
          </cell>
          <cell r="X23">
            <v>33</v>
          </cell>
          <cell r="Y23">
            <v>115</v>
          </cell>
          <cell r="Z23">
            <v>116</v>
          </cell>
          <cell r="AA23">
            <v>75</v>
          </cell>
          <cell r="AB23">
            <v>50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1</v>
          </cell>
          <cell r="L25">
            <v>0</v>
          </cell>
          <cell r="M25">
            <v>3</v>
          </cell>
          <cell r="N25">
            <v>3</v>
          </cell>
          <cell r="O25">
            <v>3</v>
          </cell>
          <cell r="P25">
            <v>7</v>
          </cell>
          <cell r="Q25">
            <v>6</v>
          </cell>
          <cell r="R25">
            <v>9</v>
          </cell>
          <cell r="S25">
            <v>7</v>
          </cell>
          <cell r="T25">
            <v>5</v>
          </cell>
          <cell r="U25">
            <v>12</v>
          </cell>
          <cell r="V25">
            <v>14</v>
          </cell>
          <cell r="W25">
            <v>35</v>
          </cell>
          <cell r="X25">
            <v>21</v>
          </cell>
          <cell r="Y25">
            <v>176</v>
          </cell>
          <cell r="Z25">
            <v>125</v>
          </cell>
          <cell r="AA25">
            <v>126</v>
          </cell>
          <cell r="AB25">
            <v>113</v>
          </cell>
        </row>
      </sheetData>
      <sheetData sheetId="10"/>
      <sheetData sheetId="11"/>
      <sheetData sheetId="12"/>
      <sheetData sheetId="13">
        <row r="11">
          <cell r="B11">
            <v>88</v>
          </cell>
          <cell r="E11">
            <v>0</v>
          </cell>
          <cell r="F11">
            <v>0</v>
          </cell>
          <cell r="G11">
            <v>88</v>
          </cell>
        </row>
        <row r="25">
          <cell r="B25">
            <v>0</v>
          </cell>
        </row>
        <row r="26">
          <cell r="B26">
            <v>10</v>
          </cell>
        </row>
        <row r="27">
          <cell r="B27">
            <v>99</v>
          </cell>
        </row>
        <row r="28">
          <cell r="B28">
            <v>22</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sheetData sheetId="8">
        <row r="30">
          <cell r="E30">
            <v>2042</v>
          </cell>
          <cell r="F30">
            <v>1391</v>
          </cell>
          <cell r="G30">
            <v>1646</v>
          </cell>
          <cell r="H30">
            <v>1349</v>
          </cell>
          <cell r="I30">
            <v>1471</v>
          </cell>
          <cell r="J30">
            <v>1146</v>
          </cell>
          <cell r="K30">
            <v>1114</v>
          </cell>
          <cell r="L30">
            <v>1309</v>
          </cell>
          <cell r="M30">
            <v>955</v>
          </cell>
          <cell r="N30">
            <v>1584</v>
          </cell>
          <cell r="O30">
            <v>1049</v>
          </cell>
          <cell r="P30">
            <v>1583</v>
          </cell>
          <cell r="Q30">
            <v>1031</v>
          </cell>
          <cell r="R30">
            <v>1788</v>
          </cell>
          <cell r="S30">
            <v>992</v>
          </cell>
          <cell r="T30">
            <v>1513</v>
          </cell>
          <cell r="U30">
            <v>856</v>
          </cell>
          <cell r="V30">
            <v>1127</v>
          </cell>
          <cell r="W30">
            <v>789</v>
          </cell>
          <cell r="X30">
            <v>1039</v>
          </cell>
          <cell r="Y30">
            <v>782</v>
          </cell>
          <cell r="Z30">
            <v>993</v>
          </cell>
          <cell r="AA30">
            <v>847</v>
          </cell>
          <cell r="AB30">
            <v>959</v>
          </cell>
          <cell r="AC30">
            <v>912</v>
          </cell>
          <cell r="AD30">
            <v>942</v>
          </cell>
          <cell r="AE30">
            <v>694</v>
          </cell>
          <cell r="AF30">
            <v>823</v>
          </cell>
          <cell r="AG30">
            <v>574</v>
          </cell>
          <cell r="AH30">
            <v>702</v>
          </cell>
          <cell r="AI30">
            <v>555</v>
          </cell>
          <cell r="AJ30">
            <v>628</v>
          </cell>
          <cell r="AK30">
            <v>760</v>
          </cell>
          <cell r="AL30">
            <v>995</v>
          </cell>
        </row>
        <row r="60">
          <cell r="B60">
            <v>16</v>
          </cell>
        </row>
        <row r="61">
          <cell r="B61">
            <v>228</v>
          </cell>
        </row>
        <row r="62">
          <cell r="B62">
            <v>12749</v>
          </cell>
        </row>
        <row r="63">
          <cell r="B63">
            <v>22247</v>
          </cell>
        </row>
        <row r="64">
          <cell r="B64">
            <v>1641</v>
          </cell>
        </row>
        <row r="65">
          <cell r="B65">
            <v>59</v>
          </cell>
        </row>
      </sheetData>
      <sheetData sheetId="9"/>
      <sheetData sheetId="10"/>
      <sheetData sheetId="11"/>
      <sheetData sheetId="12"/>
      <sheetData sheetId="13">
        <row r="11">
          <cell r="B11">
            <v>55</v>
          </cell>
          <cell r="E11">
            <v>0</v>
          </cell>
          <cell r="F11">
            <v>0</v>
          </cell>
          <cell r="G11">
            <v>49</v>
          </cell>
        </row>
        <row r="25">
          <cell r="B25">
            <v>1106</v>
          </cell>
        </row>
        <row r="26">
          <cell r="B26">
            <v>1</v>
          </cell>
        </row>
        <row r="27">
          <cell r="B27">
            <v>57</v>
          </cell>
        </row>
        <row r="28">
          <cell r="B28">
            <v>120</v>
          </cell>
        </row>
        <row r="29">
          <cell r="B29">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1</v>
          </cell>
          <cell r="F21">
            <v>2</v>
          </cell>
          <cell r="G21">
            <v>29</v>
          </cell>
          <cell r="H21">
            <v>76</v>
          </cell>
          <cell r="I21">
            <v>39</v>
          </cell>
          <cell r="J21">
            <v>97</v>
          </cell>
          <cell r="K21">
            <v>63</v>
          </cell>
          <cell r="L21">
            <v>119</v>
          </cell>
          <cell r="M21">
            <v>58</v>
          </cell>
          <cell r="N21">
            <v>105</v>
          </cell>
          <cell r="O21">
            <v>58</v>
          </cell>
          <cell r="P21">
            <v>129</v>
          </cell>
          <cell r="Q21">
            <v>54</v>
          </cell>
          <cell r="R21">
            <v>110</v>
          </cell>
          <cell r="S21">
            <v>41</v>
          </cell>
          <cell r="T21">
            <v>114</v>
          </cell>
          <cell r="U21">
            <v>57</v>
          </cell>
          <cell r="V21">
            <v>90</v>
          </cell>
          <cell r="W21">
            <v>38</v>
          </cell>
          <cell r="X21">
            <v>64</v>
          </cell>
          <cell r="Y21">
            <v>96</v>
          </cell>
          <cell r="Z21">
            <v>179</v>
          </cell>
          <cell r="AA21">
            <v>104</v>
          </cell>
          <cell r="AB21">
            <v>130</v>
          </cell>
          <cell r="AC21">
            <v>67</v>
          </cell>
          <cell r="AD21">
            <v>115</v>
          </cell>
          <cell r="AE21">
            <v>84</v>
          </cell>
          <cell r="AF21">
            <v>100</v>
          </cell>
        </row>
      </sheetData>
      <sheetData sheetId="3"/>
      <sheetData sheetId="4"/>
      <sheetData sheetId="5"/>
      <sheetData sheetId="6"/>
      <sheetData sheetId="7"/>
      <sheetData sheetId="8"/>
      <sheetData sheetId="9">
        <row r="21">
          <cell r="G21">
            <v>105</v>
          </cell>
          <cell r="H21">
            <v>90</v>
          </cell>
          <cell r="I21">
            <v>33</v>
          </cell>
          <cell r="J21">
            <v>30</v>
          </cell>
          <cell r="K21">
            <v>20</v>
          </cell>
          <cell r="L21">
            <v>29</v>
          </cell>
          <cell r="M21">
            <v>25</v>
          </cell>
          <cell r="N21">
            <v>23</v>
          </cell>
          <cell r="O21">
            <v>19</v>
          </cell>
          <cell r="P21">
            <v>20</v>
          </cell>
          <cell r="Q21">
            <v>17</v>
          </cell>
          <cell r="R21">
            <v>19</v>
          </cell>
          <cell r="S21">
            <v>67</v>
          </cell>
          <cell r="T21">
            <v>78</v>
          </cell>
          <cell r="U21">
            <v>14</v>
          </cell>
          <cell r="V21">
            <v>23</v>
          </cell>
          <cell r="W21">
            <v>48</v>
          </cell>
          <cell r="X21">
            <v>49</v>
          </cell>
          <cell r="Y21">
            <v>131</v>
          </cell>
          <cell r="Z21">
            <v>113</v>
          </cell>
          <cell r="AA21">
            <v>96</v>
          </cell>
          <cell r="AB21">
            <v>94</v>
          </cell>
        </row>
        <row r="22">
          <cell r="G22">
            <v>0</v>
          </cell>
          <cell r="H22">
            <v>0</v>
          </cell>
          <cell r="I22">
            <v>1</v>
          </cell>
          <cell r="J22">
            <v>2</v>
          </cell>
          <cell r="K22">
            <v>1</v>
          </cell>
          <cell r="L22">
            <v>0</v>
          </cell>
          <cell r="M22">
            <v>4</v>
          </cell>
          <cell r="N22">
            <v>7</v>
          </cell>
          <cell r="O22">
            <v>24</v>
          </cell>
          <cell r="P22">
            <v>29</v>
          </cell>
          <cell r="Q22">
            <v>37</v>
          </cell>
          <cell r="R22">
            <v>28</v>
          </cell>
          <cell r="S22">
            <v>135</v>
          </cell>
          <cell r="T22">
            <v>141</v>
          </cell>
          <cell r="U22">
            <v>123</v>
          </cell>
          <cell r="V22">
            <v>145</v>
          </cell>
          <cell r="W22">
            <v>350</v>
          </cell>
          <cell r="X22">
            <v>355</v>
          </cell>
          <cell r="Y22">
            <v>690</v>
          </cell>
          <cell r="Z22">
            <v>725</v>
          </cell>
          <cell r="AA22">
            <v>383</v>
          </cell>
          <cell r="AB22">
            <v>423</v>
          </cell>
        </row>
        <row r="23">
          <cell r="G23">
            <v>2</v>
          </cell>
          <cell r="H23">
            <v>1</v>
          </cell>
          <cell r="I23">
            <v>41</v>
          </cell>
          <cell r="J23">
            <v>33</v>
          </cell>
          <cell r="K23">
            <v>67</v>
          </cell>
          <cell r="L23">
            <v>84</v>
          </cell>
          <cell r="M23">
            <v>81</v>
          </cell>
          <cell r="N23">
            <v>81</v>
          </cell>
          <cell r="O23">
            <v>75</v>
          </cell>
          <cell r="P23">
            <v>81</v>
          </cell>
          <cell r="Q23">
            <v>82</v>
          </cell>
          <cell r="R23">
            <v>83</v>
          </cell>
          <cell r="S23">
            <v>79</v>
          </cell>
          <cell r="T23">
            <v>75</v>
          </cell>
          <cell r="U23">
            <v>54</v>
          </cell>
          <cell r="V23">
            <v>66</v>
          </cell>
          <cell r="W23">
            <v>170</v>
          </cell>
          <cell r="X23">
            <v>143</v>
          </cell>
          <cell r="Y23">
            <v>219</v>
          </cell>
          <cell r="Z23">
            <v>180</v>
          </cell>
          <cell r="AA23">
            <v>97</v>
          </cell>
          <cell r="AB23">
            <v>107</v>
          </cell>
        </row>
        <row r="24">
          <cell r="G24">
            <v>0</v>
          </cell>
          <cell r="H24">
            <v>0</v>
          </cell>
          <cell r="I24">
            <v>0</v>
          </cell>
          <cell r="J24">
            <v>0</v>
          </cell>
          <cell r="K24">
            <v>0</v>
          </cell>
          <cell r="L24">
            <v>0</v>
          </cell>
          <cell r="M24">
            <v>0</v>
          </cell>
          <cell r="N24">
            <v>0</v>
          </cell>
          <cell r="O24">
            <v>0</v>
          </cell>
          <cell r="P24">
            <v>0</v>
          </cell>
          <cell r="Q24">
            <v>0</v>
          </cell>
          <cell r="R24">
            <v>0</v>
          </cell>
          <cell r="S24">
            <v>1</v>
          </cell>
          <cell r="T24">
            <v>1</v>
          </cell>
          <cell r="U24">
            <v>3</v>
          </cell>
          <cell r="V24">
            <v>1</v>
          </cell>
          <cell r="W24">
            <v>1</v>
          </cell>
          <cell r="X24">
            <v>7</v>
          </cell>
          <cell r="Y24">
            <v>6</v>
          </cell>
          <cell r="Z24">
            <v>4</v>
          </cell>
          <cell r="AA24">
            <v>0</v>
          </cell>
          <cell r="AB24">
            <v>0</v>
          </cell>
        </row>
        <row r="25">
          <cell r="G25">
            <v>0</v>
          </cell>
          <cell r="H25">
            <v>0</v>
          </cell>
          <cell r="I25">
            <v>0</v>
          </cell>
          <cell r="J25">
            <v>0</v>
          </cell>
          <cell r="K25">
            <v>1</v>
          </cell>
          <cell r="L25">
            <v>0</v>
          </cell>
          <cell r="M25">
            <v>1</v>
          </cell>
          <cell r="N25">
            <v>1</v>
          </cell>
          <cell r="O25">
            <v>4</v>
          </cell>
          <cell r="P25">
            <v>1</v>
          </cell>
          <cell r="Q25">
            <v>3</v>
          </cell>
          <cell r="R25">
            <v>2</v>
          </cell>
          <cell r="S25">
            <v>12</v>
          </cell>
          <cell r="T25">
            <v>3</v>
          </cell>
          <cell r="U25">
            <v>5</v>
          </cell>
          <cell r="V25">
            <v>13</v>
          </cell>
          <cell r="W25">
            <v>34</v>
          </cell>
          <cell r="X25">
            <v>27</v>
          </cell>
          <cell r="Y25">
            <v>129</v>
          </cell>
          <cell r="Z25">
            <v>79</v>
          </cell>
          <cell r="AA25">
            <v>104</v>
          </cell>
          <cell r="AB25">
            <v>98</v>
          </cell>
        </row>
      </sheetData>
      <sheetData sheetId="10"/>
      <sheetData sheetId="11"/>
      <sheetData sheetId="12"/>
      <sheetData sheetId="13">
        <row r="11">
          <cell r="B11">
            <v>77</v>
          </cell>
          <cell r="E11">
            <v>0</v>
          </cell>
          <cell r="F11">
            <v>0</v>
          </cell>
          <cell r="G11">
            <v>32</v>
          </cell>
        </row>
        <row r="25">
          <cell r="B25">
            <v>4099</v>
          </cell>
        </row>
        <row r="26">
          <cell r="B26">
            <v>5</v>
          </cell>
        </row>
        <row r="27">
          <cell r="B27">
            <v>35</v>
          </cell>
        </row>
        <row r="28">
          <cell r="B28">
            <v>271</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0</v>
          </cell>
          <cell r="F21">
            <v>0</v>
          </cell>
          <cell r="G21">
            <v>50</v>
          </cell>
          <cell r="H21">
            <v>96</v>
          </cell>
          <cell r="I21">
            <v>61</v>
          </cell>
          <cell r="J21">
            <v>110</v>
          </cell>
          <cell r="K21">
            <v>62</v>
          </cell>
          <cell r="L21">
            <v>126</v>
          </cell>
          <cell r="M21">
            <v>75</v>
          </cell>
          <cell r="N21">
            <v>129</v>
          </cell>
          <cell r="O21">
            <v>71</v>
          </cell>
          <cell r="P21">
            <v>120</v>
          </cell>
          <cell r="Q21">
            <v>43</v>
          </cell>
          <cell r="R21">
            <v>107</v>
          </cell>
          <cell r="S21">
            <v>38</v>
          </cell>
          <cell r="T21">
            <v>76</v>
          </cell>
          <cell r="U21">
            <v>40</v>
          </cell>
          <cell r="V21">
            <v>73</v>
          </cell>
          <cell r="W21">
            <v>31</v>
          </cell>
          <cell r="X21">
            <v>45</v>
          </cell>
          <cell r="Y21">
            <v>115</v>
          </cell>
          <cell r="Z21">
            <v>172</v>
          </cell>
          <cell r="AA21">
            <v>129</v>
          </cell>
          <cell r="AB21">
            <v>151</v>
          </cell>
          <cell r="AC21">
            <v>93</v>
          </cell>
          <cell r="AD21">
            <v>126</v>
          </cell>
          <cell r="AE21">
            <v>106</v>
          </cell>
          <cell r="AF21">
            <v>168</v>
          </cell>
        </row>
      </sheetData>
      <sheetData sheetId="3"/>
      <sheetData sheetId="4"/>
      <sheetData sheetId="5"/>
      <sheetData sheetId="6"/>
      <sheetData sheetId="7"/>
      <sheetData sheetId="8"/>
      <sheetData sheetId="9">
        <row r="21">
          <cell r="G21">
            <v>41</v>
          </cell>
          <cell r="H21">
            <v>45</v>
          </cell>
          <cell r="I21">
            <v>27</v>
          </cell>
          <cell r="J21">
            <v>30</v>
          </cell>
          <cell r="K21">
            <v>19</v>
          </cell>
          <cell r="L21">
            <v>29</v>
          </cell>
          <cell r="M21">
            <v>50</v>
          </cell>
          <cell r="N21">
            <v>55</v>
          </cell>
          <cell r="O21">
            <v>77</v>
          </cell>
          <cell r="P21">
            <v>56</v>
          </cell>
          <cell r="Q21">
            <v>90</v>
          </cell>
          <cell r="R21">
            <v>64</v>
          </cell>
          <cell r="S21">
            <v>59</v>
          </cell>
          <cell r="T21">
            <v>72</v>
          </cell>
          <cell r="U21">
            <v>93</v>
          </cell>
          <cell r="V21">
            <v>87</v>
          </cell>
          <cell r="W21">
            <v>218</v>
          </cell>
          <cell r="X21">
            <v>238</v>
          </cell>
          <cell r="Y21">
            <v>334</v>
          </cell>
          <cell r="Z21">
            <v>405</v>
          </cell>
          <cell r="AA21">
            <v>200</v>
          </cell>
          <cell r="AB21">
            <v>314</v>
          </cell>
        </row>
        <row r="22">
          <cell r="G22">
            <v>0</v>
          </cell>
          <cell r="H22">
            <v>0</v>
          </cell>
          <cell r="I22">
            <v>0</v>
          </cell>
          <cell r="J22">
            <v>0</v>
          </cell>
          <cell r="K22">
            <v>0</v>
          </cell>
          <cell r="L22">
            <v>0</v>
          </cell>
          <cell r="M22">
            <v>0</v>
          </cell>
          <cell r="N22">
            <v>5</v>
          </cell>
          <cell r="O22">
            <v>19</v>
          </cell>
          <cell r="P22">
            <v>21</v>
          </cell>
          <cell r="Q22">
            <v>21</v>
          </cell>
          <cell r="R22">
            <v>49</v>
          </cell>
          <cell r="S22">
            <v>37</v>
          </cell>
          <cell r="T22">
            <v>22</v>
          </cell>
          <cell r="U22">
            <v>66</v>
          </cell>
          <cell r="V22">
            <v>36</v>
          </cell>
          <cell r="W22">
            <v>146</v>
          </cell>
          <cell r="X22">
            <v>150</v>
          </cell>
          <cell r="Y22">
            <v>499</v>
          </cell>
          <cell r="Z22">
            <v>522</v>
          </cell>
          <cell r="AA22">
            <v>224</v>
          </cell>
          <cell r="AB22">
            <v>288</v>
          </cell>
        </row>
        <row r="23">
          <cell r="G23">
            <v>4</v>
          </cell>
          <cell r="H23">
            <v>2</v>
          </cell>
          <cell r="I23">
            <v>10</v>
          </cell>
          <cell r="J23">
            <v>9</v>
          </cell>
          <cell r="K23">
            <v>11</v>
          </cell>
          <cell r="L23">
            <v>17</v>
          </cell>
          <cell r="M23">
            <v>29</v>
          </cell>
          <cell r="N23">
            <v>30</v>
          </cell>
          <cell r="O23">
            <v>37</v>
          </cell>
          <cell r="P23">
            <v>25</v>
          </cell>
          <cell r="Q23">
            <v>25</v>
          </cell>
          <cell r="R23">
            <v>27</v>
          </cell>
          <cell r="S23">
            <v>15</v>
          </cell>
          <cell r="T23">
            <v>24</v>
          </cell>
          <cell r="U23">
            <v>29</v>
          </cell>
          <cell r="V23">
            <v>18</v>
          </cell>
          <cell r="W23">
            <v>49</v>
          </cell>
          <cell r="X23">
            <v>63</v>
          </cell>
          <cell r="Y23">
            <v>100</v>
          </cell>
          <cell r="Z23">
            <v>122</v>
          </cell>
          <cell r="AA23">
            <v>49</v>
          </cell>
          <cell r="AB23">
            <v>61</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3</v>
          </cell>
          <cell r="O25">
            <v>10</v>
          </cell>
          <cell r="P25">
            <v>14</v>
          </cell>
          <cell r="Q25">
            <v>28</v>
          </cell>
          <cell r="R25">
            <v>28</v>
          </cell>
          <cell r="S25">
            <v>5</v>
          </cell>
          <cell r="T25">
            <v>4</v>
          </cell>
          <cell r="U25">
            <v>19</v>
          </cell>
          <cell r="V25">
            <v>12</v>
          </cell>
          <cell r="W25">
            <v>35</v>
          </cell>
          <cell r="X25">
            <v>39</v>
          </cell>
          <cell r="Y25">
            <v>152</v>
          </cell>
          <cell r="Z25">
            <v>162</v>
          </cell>
          <cell r="AA25">
            <v>118</v>
          </cell>
          <cell r="AB25">
            <v>173</v>
          </cell>
        </row>
      </sheetData>
      <sheetData sheetId="10"/>
      <sheetData sheetId="11"/>
      <sheetData sheetId="12"/>
      <sheetData sheetId="13">
        <row r="11">
          <cell r="B11">
            <v>56</v>
          </cell>
          <cell r="E11">
            <v>0</v>
          </cell>
          <cell r="F11">
            <v>0</v>
          </cell>
          <cell r="G11">
            <v>56</v>
          </cell>
        </row>
        <row r="25">
          <cell r="B25">
            <v>7853</v>
          </cell>
        </row>
        <row r="26">
          <cell r="B26">
            <v>2</v>
          </cell>
        </row>
        <row r="27">
          <cell r="B27">
            <v>52</v>
          </cell>
        </row>
        <row r="28">
          <cell r="B28">
            <v>154</v>
          </cell>
        </row>
        <row r="29">
          <cell r="B29">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0</v>
          </cell>
          <cell r="F21">
            <v>0</v>
          </cell>
          <cell r="G21">
            <v>12</v>
          </cell>
          <cell r="H21">
            <v>20</v>
          </cell>
          <cell r="I21">
            <v>5</v>
          </cell>
          <cell r="J21">
            <v>25</v>
          </cell>
          <cell r="K21">
            <v>6</v>
          </cell>
          <cell r="L21">
            <v>20</v>
          </cell>
          <cell r="M21">
            <v>8</v>
          </cell>
          <cell r="N21">
            <v>30</v>
          </cell>
          <cell r="O21">
            <v>8</v>
          </cell>
          <cell r="P21">
            <v>21</v>
          </cell>
          <cell r="Q21">
            <v>12</v>
          </cell>
          <cell r="R21">
            <v>14</v>
          </cell>
          <cell r="S21">
            <v>7</v>
          </cell>
          <cell r="T21">
            <v>15</v>
          </cell>
          <cell r="U21">
            <v>3</v>
          </cell>
          <cell r="V21">
            <v>6</v>
          </cell>
          <cell r="W21">
            <v>3</v>
          </cell>
          <cell r="X21">
            <v>3</v>
          </cell>
          <cell r="Y21">
            <v>10</v>
          </cell>
          <cell r="Z21">
            <v>15</v>
          </cell>
          <cell r="AA21">
            <v>17</v>
          </cell>
          <cell r="AB21">
            <v>14</v>
          </cell>
          <cell r="AC21">
            <v>12</v>
          </cell>
          <cell r="AD21">
            <v>15</v>
          </cell>
          <cell r="AE21">
            <v>14</v>
          </cell>
          <cell r="AF21">
            <v>15</v>
          </cell>
        </row>
      </sheetData>
      <sheetData sheetId="3"/>
      <sheetData sheetId="4"/>
      <sheetData sheetId="5"/>
      <sheetData sheetId="6"/>
      <sheetData sheetId="7"/>
      <sheetData sheetId="8"/>
      <sheetData sheetId="9"/>
      <sheetData sheetId="10"/>
      <sheetData sheetId="11"/>
      <sheetData sheetId="12"/>
      <sheetData sheetId="13">
        <row r="11">
          <cell r="B11">
            <v>0</v>
          </cell>
          <cell r="E11">
            <v>0</v>
          </cell>
          <cell r="F11">
            <v>0</v>
          </cell>
          <cell r="G11">
            <v>0</v>
          </cell>
        </row>
        <row r="25">
          <cell r="B25">
            <v>18</v>
          </cell>
        </row>
        <row r="26">
          <cell r="B26">
            <v>0</v>
          </cell>
        </row>
        <row r="27">
          <cell r="B27">
            <v>1</v>
          </cell>
        </row>
        <row r="28">
          <cell r="B28">
            <v>0</v>
          </cell>
        </row>
        <row r="29">
          <cell r="B29">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D15"/>
      <sheetName val="D16"/>
      <sheetName val="Control"/>
      <sheetName val="MACROS"/>
    </sheetNames>
    <sheetDataSet>
      <sheetData sheetId="0" refreshError="1"/>
      <sheetData sheetId="1" refreshError="1">
        <row r="13">
          <cell r="C13">
            <v>14150</v>
          </cell>
        </row>
        <row r="14">
          <cell r="C14">
            <v>63925</v>
          </cell>
        </row>
        <row r="15">
          <cell r="C15">
            <v>15375</v>
          </cell>
        </row>
        <row r="16">
          <cell r="C16">
            <v>20030.899999999998</v>
          </cell>
        </row>
        <row r="18">
          <cell r="C18">
            <v>612</v>
          </cell>
        </row>
        <row r="19">
          <cell r="C19">
            <v>2373</v>
          </cell>
        </row>
        <row r="20">
          <cell r="C20">
            <v>3568</v>
          </cell>
        </row>
        <row r="21">
          <cell r="C21">
            <v>286</v>
          </cell>
        </row>
        <row r="22">
          <cell r="C22">
            <v>1079.3000000000002</v>
          </cell>
        </row>
        <row r="24">
          <cell r="C24">
            <v>703.59999999999991</v>
          </cell>
        </row>
        <row r="25">
          <cell r="C25">
            <v>918.80000000000018</v>
          </cell>
        </row>
        <row r="26">
          <cell r="C26">
            <v>0</v>
          </cell>
        </row>
        <row r="27">
          <cell r="C27">
            <v>430.6</v>
          </cell>
        </row>
        <row r="29">
          <cell r="C29">
            <v>2050</v>
          </cell>
        </row>
        <row r="30">
          <cell r="C30">
            <v>1167.2</v>
          </cell>
        </row>
        <row r="51">
          <cell r="C51">
            <v>1582</v>
          </cell>
        </row>
        <row r="52">
          <cell r="C52">
            <v>186</v>
          </cell>
        </row>
        <row r="53">
          <cell r="C53">
            <v>0</v>
          </cell>
        </row>
        <row r="55">
          <cell r="C55">
            <v>12</v>
          </cell>
        </row>
        <row r="56">
          <cell r="C56">
            <v>18</v>
          </cell>
        </row>
        <row r="57">
          <cell r="C57">
            <v>28</v>
          </cell>
        </row>
        <row r="58">
          <cell r="C58">
            <v>3</v>
          </cell>
        </row>
        <row r="59">
          <cell r="C59">
            <v>6.3</v>
          </cell>
        </row>
        <row r="61">
          <cell r="C61">
            <v>42.400000000000006</v>
          </cell>
        </row>
        <row r="62">
          <cell r="C62">
            <v>0</v>
          </cell>
        </row>
        <row r="63">
          <cell r="C63">
            <v>0</v>
          </cell>
        </row>
        <row r="64">
          <cell r="C64">
            <v>0</v>
          </cell>
        </row>
        <row r="66">
          <cell r="C66">
            <v>432.40000000000003</v>
          </cell>
        </row>
        <row r="67">
          <cell r="C67">
            <v>368.7</v>
          </cell>
        </row>
      </sheetData>
      <sheetData sheetId="2" refreshError="1">
        <row r="29">
          <cell r="F29">
            <v>68126</v>
          </cell>
        </row>
        <row r="30">
          <cell r="F30">
            <v>68126</v>
          </cell>
        </row>
      </sheetData>
      <sheetData sheetId="3" refreshError="1"/>
      <sheetData sheetId="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D15"/>
      <sheetName val="D16"/>
      <sheetName val="Control"/>
      <sheetName val="MACROS"/>
    </sheetNames>
    <sheetDataSet>
      <sheetData sheetId="0"/>
      <sheetData sheetId="1">
        <row r="50">
          <cell r="C50">
            <v>917</v>
          </cell>
        </row>
      </sheetData>
      <sheetData sheetId="2"/>
      <sheetData sheetId="3"/>
      <sheetData sheetId="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row r="21">
          <cell r="F21">
            <v>0</v>
          </cell>
          <cell r="G21">
            <v>2</v>
          </cell>
          <cell r="H21">
            <v>3</v>
          </cell>
          <cell r="I21">
            <v>4</v>
          </cell>
          <cell r="J21">
            <v>2</v>
          </cell>
          <cell r="K21">
            <v>5</v>
          </cell>
          <cell r="L21">
            <v>6</v>
          </cell>
          <cell r="M21">
            <v>3</v>
          </cell>
          <cell r="N21">
            <v>3</v>
          </cell>
          <cell r="O21">
            <v>3</v>
          </cell>
          <cell r="P21">
            <v>3</v>
          </cell>
          <cell r="Q21">
            <v>5</v>
          </cell>
          <cell r="R21">
            <v>9</v>
          </cell>
          <cell r="S21">
            <v>10</v>
          </cell>
          <cell r="T21">
            <v>7</v>
          </cell>
          <cell r="U21">
            <v>3</v>
          </cell>
          <cell r="V21">
            <v>8</v>
          </cell>
          <cell r="W21">
            <v>2</v>
          </cell>
          <cell r="X21">
            <v>1</v>
          </cell>
          <cell r="Y21">
            <v>22</v>
          </cell>
          <cell r="Z21">
            <v>29</v>
          </cell>
          <cell r="AA21">
            <v>31</v>
          </cell>
          <cell r="AB21">
            <v>21</v>
          </cell>
          <cell r="AC21">
            <v>19</v>
          </cell>
          <cell r="AD21">
            <v>17</v>
          </cell>
          <cell r="AE21">
            <v>13</v>
          </cell>
          <cell r="AF21">
            <v>23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sheetNames>
    <sheetDataSet>
      <sheetData sheetId="0">
        <row r="13">
          <cell r="E13">
            <v>2829</v>
          </cell>
          <cell r="F13">
            <v>1830</v>
          </cell>
          <cell r="G13">
            <v>0</v>
          </cell>
          <cell r="H13">
            <v>2780</v>
          </cell>
          <cell r="I13">
            <v>2269</v>
          </cell>
          <cell r="J13">
            <v>2671</v>
          </cell>
          <cell r="K13">
            <v>0</v>
          </cell>
          <cell r="L13">
            <v>0</v>
          </cell>
          <cell r="N13">
            <v>982</v>
          </cell>
          <cell r="O13">
            <v>3754</v>
          </cell>
          <cell r="P13">
            <v>5062</v>
          </cell>
          <cell r="Q13">
            <v>3398</v>
          </cell>
          <cell r="R13">
            <v>0</v>
          </cell>
          <cell r="S13">
            <v>2303</v>
          </cell>
          <cell r="T13">
            <v>3227</v>
          </cell>
          <cell r="V13">
            <v>0</v>
          </cell>
          <cell r="W13">
            <v>4447</v>
          </cell>
          <cell r="X13">
            <v>2666</v>
          </cell>
        </row>
        <row r="14">
          <cell r="E14">
            <v>2319</v>
          </cell>
          <cell r="F14">
            <v>1157</v>
          </cell>
          <cell r="G14">
            <v>0</v>
          </cell>
          <cell r="H14">
            <v>1895</v>
          </cell>
          <cell r="I14">
            <v>2176</v>
          </cell>
          <cell r="J14">
            <v>2102</v>
          </cell>
          <cell r="K14">
            <v>0</v>
          </cell>
          <cell r="L14">
            <v>0</v>
          </cell>
          <cell r="N14">
            <v>611</v>
          </cell>
          <cell r="O14">
            <v>1668</v>
          </cell>
          <cell r="P14">
            <v>2830</v>
          </cell>
          <cell r="Q14">
            <v>2523</v>
          </cell>
          <cell r="R14">
            <v>2</v>
          </cell>
          <cell r="S14">
            <v>1254</v>
          </cell>
          <cell r="T14">
            <v>2144</v>
          </cell>
          <cell r="V14">
            <v>0</v>
          </cell>
          <cell r="W14">
            <v>2787</v>
          </cell>
          <cell r="X14">
            <v>1965</v>
          </cell>
        </row>
        <row r="15">
          <cell r="E15">
            <v>14725</v>
          </cell>
          <cell r="F15">
            <v>7667</v>
          </cell>
          <cell r="G15">
            <v>0</v>
          </cell>
          <cell r="H15">
            <v>9086</v>
          </cell>
          <cell r="I15">
            <v>9790</v>
          </cell>
          <cell r="J15">
            <v>11201</v>
          </cell>
          <cell r="K15">
            <v>1789</v>
          </cell>
          <cell r="L15">
            <v>0</v>
          </cell>
          <cell r="N15">
            <v>2607</v>
          </cell>
          <cell r="O15">
            <v>10043</v>
          </cell>
          <cell r="P15">
            <v>18257</v>
          </cell>
          <cell r="Q15">
            <v>12193</v>
          </cell>
          <cell r="R15">
            <v>445</v>
          </cell>
          <cell r="S15">
            <v>7225</v>
          </cell>
          <cell r="T15">
            <v>9073</v>
          </cell>
          <cell r="U15">
            <v>141</v>
          </cell>
          <cell r="V15">
            <v>59</v>
          </cell>
          <cell r="W15">
            <v>14176</v>
          </cell>
          <cell r="X15">
            <v>9462</v>
          </cell>
        </row>
        <row r="16">
          <cell r="E16">
            <v>9954</v>
          </cell>
          <cell r="F16">
            <v>5207</v>
          </cell>
          <cell r="G16">
            <v>0</v>
          </cell>
          <cell r="H16">
            <v>4012</v>
          </cell>
          <cell r="I16">
            <v>3862</v>
          </cell>
          <cell r="J16">
            <v>5408</v>
          </cell>
          <cell r="K16">
            <v>10</v>
          </cell>
          <cell r="L16">
            <v>0</v>
          </cell>
          <cell r="N16">
            <v>931</v>
          </cell>
          <cell r="O16">
            <v>4894</v>
          </cell>
          <cell r="P16">
            <v>11010</v>
          </cell>
          <cell r="Q16">
            <v>5181</v>
          </cell>
          <cell r="R16">
            <v>832</v>
          </cell>
          <cell r="S16">
            <v>3649</v>
          </cell>
          <cell r="T16">
            <v>3281</v>
          </cell>
          <cell r="U16">
            <v>267</v>
          </cell>
          <cell r="V16">
            <v>0</v>
          </cell>
          <cell r="W16">
            <v>7035</v>
          </cell>
          <cell r="X16">
            <v>4015</v>
          </cell>
        </row>
        <row r="21">
          <cell r="E21">
            <v>1469</v>
          </cell>
          <cell r="F21">
            <v>2261</v>
          </cell>
          <cell r="G21">
            <v>0</v>
          </cell>
          <cell r="H21">
            <v>1884</v>
          </cell>
          <cell r="I21">
            <v>1158</v>
          </cell>
          <cell r="J21">
            <v>776</v>
          </cell>
          <cell r="K21">
            <v>0</v>
          </cell>
          <cell r="L21">
            <v>0</v>
          </cell>
          <cell r="N21">
            <v>700</v>
          </cell>
          <cell r="O21">
            <v>1199</v>
          </cell>
          <cell r="P21">
            <v>1724</v>
          </cell>
          <cell r="Q21">
            <v>1800</v>
          </cell>
          <cell r="R21">
            <v>31</v>
          </cell>
          <cell r="S21">
            <v>949</v>
          </cell>
          <cell r="T21">
            <v>452</v>
          </cell>
          <cell r="V21">
            <v>0</v>
          </cell>
          <cell r="W21">
            <v>2092</v>
          </cell>
          <cell r="X21">
            <v>1502</v>
          </cell>
        </row>
        <row r="22">
          <cell r="E22">
            <v>0</v>
          </cell>
          <cell r="F22">
            <v>14</v>
          </cell>
          <cell r="H22">
            <v>20</v>
          </cell>
          <cell r="I22">
            <v>6</v>
          </cell>
          <cell r="J22">
            <v>25</v>
          </cell>
          <cell r="N22">
            <v>0</v>
          </cell>
          <cell r="O22">
            <v>46</v>
          </cell>
          <cell r="P22">
            <v>202</v>
          </cell>
          <cell r="Q22">
            <v>0</v>
          </cell>
          <cell r="S22">
            <v>0</v>
          </cell>
          <cell r="T22">
            <v>9</v>
          </cell>
          <cell r="W22">
            <v>49</v>
          </cell>
        </row>
        <row r="23">
          <cell r="E23">
            <v>0</v>
          </cell>
          <cell r="H23">
            <v>0</v>
          </cell>
          <cell r="I23">
            <v>37</v>
          </cell>
          <cell r="J23">
            <v>36</v>
          </cell>
          <cell r="N23">
            <v>0</v>
          </cell>
          <cell r="O23">
            <v>6</v>
          </cell>
          <cell r="P23">
            <v>0</v>
          </cell>
          <cell r="S23">
            <v>0</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row r="21">
          <cell r="F21">
            <v>0</v>
          </cell>
          <cell r="G21">
            <v>8</v>
          </cell>
          <cell r="H21">
            <v>20</v>
          </cell>
          <cell r="I21">
            <v>4</v>
          </cell>
          <cell r="J21">
            <v>18</v>
          </cell>
          <cell r="K21">
            <v>3</v>
          </cell>
          <cell r="L21">
            <v>33</v>
          </cell>
          <cell r="M21">
            <v>9</v>
          </cell>
          <cell r="N21">
            <v>26</v>
          </cell>
          <cell r="O21">
            <v>6</v>
          </cell>
          <cell r="P21">
            <v>20</v>
          </cell>
          <cell r="Q21">
            <v>9</v>
          </cell>
          <cell r="R21">
            <v>19</v>
          </cell>
          <cell r="S21">
            <v>8</v>
          </cell>
          <cell r="T21">
            <v>19</v>
          </cell>
          <cell r="U21">
            <v>11</v>
          </cell>
          <cell r="V21">
            <v>20</v>
          </cell>
          <cell r="W21">
            <v>9</v>
          </cell>
          <cell r="X21">
            <v>9</v>
          </cell>
          <cell r="Y21">
            <v>65</v>
          </cell>
          <cell r="Z21">
            <v>66</v>
          </cell>
          <cell r="AA21">
            <v>44</v>
          </cell>
          <cell r="AB21">
            <v>49</v>
          </cell>
          <cell r="AC21">
            <v>37</v>
          </cell>
          <cell r="AD21">
            <v>42</v>
          </cell>
          <cell r="AE21">
            <v>45</v>
          </cell>
          <cell r="AF21">
            <v>66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0</v>
          </cell>
          <cell r="F21">
            <v>0</v>
          </cell>
          <cell r="G21">
            <v>6</v>
          </cell>
          <cell r="H21">
            <v>9</v>
          </cell>
          <cell r="I21">
            <v>5</v>
          </cell>
          <cell r="J21">
            <v>17</v>
          </cell>
          <cell r="K21">
            <v>6</v>
          </cell>
          <cell r="L21">
            <v>13</v>
          </cell>
          <cell r="M21">
            <v>4</v>
          </cell>
          <cell r="N21">
            <v>17</v>
          </cell>
          <cell r="O21">
            <v>3</v>
          </cell>
          <cell r="P21">
            <v>8</v>
          </cell>
          <cell r="Q21">
            <v>5</v>
          </cell>
          <cell r="R21">
            <v>12</v>
          </cell>
          <cell r="S21">
            <v>3</v>
          </cell>
          <cell r="T21">
            <v>4</v>
          </cell>
          <cell r="U21">
            <v>0</v>
          </cell>
          <cell r="V21">
            <v>3</v>
          </cell>
          <cell r="W21">
            <v>3</v>
          </cell>
          <cell r="X21">
            <v>6</v>
          </cell>
          <cell r="Y21">
            <v>14</v>
          </cell>
          <cell r="Z21">
            <v>20</v>
          </cell>
          <cell r="AA21">
            <v>24</v>
          </cell>
          <cell r="AB21">
            <v>31</v>
          </cell>
          <cell r="AC21">
            <v>13</v>
          </cell>
          <cell r="AD21">
            <v>16</v>
          </cell>
          <cell r="AE21">
            <v>15</v>
          </cell>
          <cell r="AF21">
            <v>13</v>
          </cell>
        </row>
      </sheetData>
      <sheetData sheetId="3"/>
      <sheetData sheetId="4"/>
      <sheetData sheetId="5"/>
      <sheetData sheetId="6"/>
      <sheetData sheetId="7"/>
      <sheetData sheetId="8"/>
      <sheetData sheetId="9">
        <row r="21">
          <cell r="G21">
            <v>9</v>
          </cell>
          <cell r="H21">
            <v>3</v>
          </cell>
          <cell r="I21">
            <v>0</v>
          </cell>
          <cell r="J21">
            <v>0</v>
          </cell>
          <cell r="K21">
            <v>0</v>
          </cell>
          <cell r="L21">
            <v>0</v>
          </cell>
          <cell r="M21">
            <v>1</v>
          </cell>
          <cell r="N21">
            <v>0</v>
          </cell>
          <cell r="O21">
            <v>2</v>
          </cell>
          <cell r="P21">
            <v>1</v>
          </cell>
          <cell r="Q21">
            <v>0</v>
          </cell>
          <cell r="R21">
            <v>0</v>
          </cell>
          <cell r="S21">
            <v>8</v>
          </cell>
          <cell r="T21">
            <v>6</v>
          </cell>
          <cell r="U21">
            <v>0</v>
          </cell>
          <cell r="V21">
            <v>1</v>
          </cell>
          <cell r="W21">
            <v>6</v>
          </cell>
          <cell r="X21">
            <v>2</v>
          </cell>
          <cell r="Y21">
            <v>11</v>
          </cell>
          <cell r="Z21">
            <v>11</v>
          </cell>
          <cell r="AA21">
            <v>9</v>
          </cell>
          <cell r="AB21">
            <v>8</v>
          </cell>
        </row>
        <row r="22">
          <cell r="G22">
            <v>0</v>
          </cell>
          <cell r="H22">
            <v>0</v>
          </cell>
          <cell r="I22">
            <v>0</v>
          </cell>
          <cell r="J22">
            <v>0</v>
          </cell>
          <cell r="K22">
            <v>0</v>
          </cell>
          <cell r="L22">
            <v>0</v>
          </cell>
          <cell r="M22">
            <v>0</v>
          </cell>
          <cell r="N22">
            <v>1</v>
          </cell>
          <cell r="O22">
            <v>0</v>
          </cell>
          <cell r="P22">
            <v>1</v>
          </cell>
          <cell r="Q22">
            <v>4</v>
          </cell>
          <cell r="R22">
            <v>0</v>
          </cell>
          <cell r="S22">
            <v>9</v>
          </cell>
          <cell r="T22">
            <v>1</v>
          </cell>
          <cell r="U22">
            <v>0</v>
          </cell>
          <cell r="V22">
            <v>18</v>
          </cell>
          <cell r="W22">
            <v>18</v>
          </cell>
          <cell r="X22">
            <v>19</v>
          </cell>
          <cell r="Y22">
            <v>8</v>
          </cell>
          <cell r="Z22">
            <v>45</v>
          </cell>
          <cell r="AA22">
            <v>11</v>
          </cell>
          <cell r="AB22">
            <v>13</v>
          </cell>
        </row>
        <row r="23">
          <cell r="G23">
            <v>0</v>
          </cell>
          <cell r="H23">
            <v>0</v>
          </cell>
          <cell r="I23">
            <v>3</v>
          </cell>
          <cell r="J23">
            <v>1</v>
          </cell>
          <cell r="K23">
            <v>5</v>
          </cell>
          <cell r="L23">
            <v>6</v>
          </cell>
          <cell r="M23">
            <v>5</v>
          </cell>
          <cell r="N23">
            <v>7</v>
          </cell>
          <cell r="O23">
            <v>3</v>
          </cell>
          <cell r="P23">
            <v>9</v>
          </cell>
          <cell r="Q23">
            <v>9</v>
          </cell>
          <cell r="R23">
            <v>4</v>
          </cell>
          <cell r="S23">
            <v>7</v>
          </cell>
          <cell r="T23">
            <v>8</v>
          </cell>
          <cell r="U23">
            <v>10</v>
          </cell>
          <cell r="V23">
            <v>13</v>
          </cell>
          <cell r="W23">
            <v>13</v>
          </cell>
          <cell r="X23">
            <v>20</v>
          </cell>
          <cell r="Y23">
            <v>27</v>
          </cell>
          <cell r="Z23">
            <v>31</v>
          </cell>
          <cell r="AA23">
            <v>11</v>
          </cell>
          <cell r="AB23">
            <v>9</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0</v>
          </cell>
          <cell r="F21">
            <v>0</v>
          </cell>
          <cell r="G21">
            <v>5</v>
          </cell>
          <cell r="H21">
            <v>1</v>
          </cell>
          <cell r="I21">
            <v>2</v>
          </cell>
          <cell r="J21">
            <v>5</v>
          </cell>
          <cell r="K21">
            <v>0</v>
          </cell>
          <cell r="L21">
            <v>5</v>
          </cell>
          <cell r="M21">
            <v>0</v>
          </cell>
          <cell r="N21">
            <v>3</v>
          </cell>
          <cell r="O21">
            <v>1</v>
          </cell>
          <cell r="P21">
            <v>6</v>
          </cell>
          <cell r="Q21">
            <v>0</v>
          </cell>
          <cell r="R21">
            <v>8</v>
          </cell>
          <cell r="S21">
            <v>0</v>
          </cell>
          <cell r="T21">
            <v>7</v>
          </cell>
          <cell r="U21">
            <v>5</v>
          </cell>
          <cell r="V21">
            <v>5</v>
          </cell>
          <cell r="W21">
            <v>5</v>
          </cell>
          <cell r="X21">
            <v>3</v>
          </cell>
          <cell r="Y21">
            <v>13</v>
          </cell>
          <cell r="Z21">
            <v>16</v>
          </cell>
          <cell r="AA21">
            <v>11</v>
          </cell>
          <cell r="AB21">
            <v>20</v>
          </cell>
          <cell r="AC21">
            <v>11</v>
          </cell>
          <cell r="AD21">
            <v>16</v>
          </cell>
          <cell r="AE21">
            <v>8</v>
          </cell>
          <cell r="AF21">
            <v>22</v>
          </cell>
        </row>
      </sheetData>
      <sheetData sheetId="3"/>
      <sheetData sheetId="4"/>
      <sheetData sheetId="5"/>
      <sheetData sheetId="6"/>
      <sheetData sheetId="7"/>
      <sheetData sheetId="8"/>
      <sheetData sheetId="9">
        <row r="21">
          <cell r="G21">
            <v>11</v>
          </cell>
          <cell r="H21">
            <v>9</v>
          </cell>
          <cell r="I21">
            <v>3</v>
          </cell>
          <cell r="J21">
            <v>7</v>
          </cell>
          <cell r="K21">
            <v>2</v>
          </cell>
          <cell r="L21">
            <v>3</v>
          </cell>
          <cell r="M21">
            <v>7</v>
          </cell>
          <cell r="N21">
            <v>7</v>
          </cell>
          <cell r="O21">
            <v>13</v>
          </cell>
          <cell r="P21">
            <v>6</v>
          </cell>
          <cell r="Q21">
            <v>6</v>
          </cell>
          <cell r="R21">
            <v>5</v>
          </cell>
          <cell r="S21">
            <v>2</v>
          </cell>
          <cell r="T21">
            <v>7</v>
          </cell>
          <cell r="U21">
            <v>11</v>
          </cell>
          <cell r="V21">
            <v>8</v>
          </cell>
          <cell r="W21">
            <v>24</v>
          </cell>
          <cell r="X21">
            <v>12</v>
          </cell>
          <cell r="Y21">
            <v>31</v>
          </cell>
          <cell r="Z21">
            <v>40</v>
          </cell>
          <cell r="AA21">
            <v>12</v>
          </cell>
          <cell r="AB21">
            <v>12</v>
          </cell>
        </row>
        <row r="22">
          <cell r="G22">
            <v>0</v>
          </cell>
          <cell r="H22">
            <v>0</v>
          </cell>
          <cell r="I22">
            <v>0</v>
          </cell>
          <cell r="J22">
            <v>0</v>
          </cell>
          <cell r="K22">
            <v>0</v>
          </cell>
          <cell r="L22">
            <v>0</v>
          </cell>
          <cell r="M22">
            <v>0</v>
          </cell>
          <cell r="N22">
            <v>1</v>
          </cell>
          <cell r="O22">
            <v>4</v>
          </cell>
          <cell r="P22">
            <v>2</v>
          </cell>
          <cell r="Q22">
            <v>2</v>
          </cell>
          <cell r="R22">
            <v>0</v>
          </cell>
          <cell r="S22">
            <v>2</v>
          </cell>
          <cell r="T22">
            <v>4</v>
          </cell>
          <cell r="U22">
            <v>16</v>
          </cell>
          <cell r="V22">
            <v>11</v>
          </cell>
          <cell r="W22">
            <v>26</v>
          </cell>
          <cell r="X22">
            <v>11</v>
          </cell>
          <cell r="Y22">
            <v>30</v>
          </cell>
          <cell r="Z22">
            <v>43</v>
          </cell>
          <cell r="AA22">
            <v>9</v>
          </cell>
          <cell r="AB22">
            <v>23</v>
          </cell>
        </row>
        <row r="23">
          <cell r="G23">
            <v>0</v>
          </cell>
          <cell r="H23">
            <v>0</v>
          </cell>
          <cell r="I23">
            <v>0</v>
          </cell>
          <cell r="J23">
            <v>0</v>
          </cell>
          <cell r="K23">
            <v>0</v>
          </cell>
          <cell r="L23">
            <v>0</v>
          </cell>
          <cell r="M23">
            <v>0</v>
          </cell>
          <cell r="N23">
            <v>1</v>
          </cell>
          <cell r="O23">
            <v>13</v>
          </cell>
          <cell r="P23">
            <v>1</v>
          </cell>
          <cell r="Q23">
            <v>1</v>
          </cell>
          <cell r="R23">
            <v>2</v>
          </cell>
          <cell r="S23">
            <v>3</v>
          </cell>
          <cell r="T23">
            <v>1</v>
          </cell>
          <cell r="U23">
            <v>10</v>
          </cell>
          <cell r="V23">
            <v>4</v>
          </cell>
          <cell r="W23">
            <v>23</v>
          </cell>
          <cell r="X23">
            <v>9</v>
          </cell>
          <cell r="Y23">
            <v>16</v>
          </cell>
          <cell r="Z23">
            <v>31</v>
          </cell>
          <cell r="AA23">
            <v>2</v>
          </cell>
          <cell r="AB23">
            <v>7</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2</v>
          </cell>
          <cell r="O25">
            <v>1</v>
          </cell>
          <cell r="P25">
            <v>2</v>
          </cell>
          <cell r="Q25">
            <v>0</v>
          </cell>
          <cell r="R25">
            <v>0</v>
          </cell>
          <cell r="S25">
            <v>1</v>
          </cell>
          <cell r="T25">
            <v>0</v>
          </cell>
          <cell r="U25">
            <v>4</v>
          </cell>
          <cell r="V25">
            <v>1</v>
          </cell>
          <cell r="W25">
            <v>25</v>
          </cell>
          <cell r="X25">
            <v>7</v>
          </cell>
          <cell r="Y25">
            <v>26</v>
          </cell>
          <cell r="Z25">
            <v>25</v>
          </cell>
          <cell r="AA25">
            <v>12</v>
          </cell>
          <cell r="AB25">
            <v>14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0</v>
          </cell>
          <cell r="F21">
            <v>1</v>
          </cell>
          <cell r="G21">
            <v>2</v>
          </cell>
          <cell r="H21">
            <v>25</v>
          </cell>
          <cell r="I21">
            <v>7</v>
          </cell>
          <cell r="J21">
            <v>41</v>
          </cell>
          <cell r="K21">
            <v>6</v>
          </cell>
          <cell r="L21">
            <v>35</v>
          </cell>
          <cell r="M21">
            <v>2</v>
          </cell>
          <cell r="N21">
            <v>47</v>
          </cell>
          <cell r="O21">
            <v>8</v>
          </cell>
          <cell r="P21">
            <v>19</v>
          </cell>
          <cell r="Q21">
            <v>2</v>
          </cell>
          <cell r="R21">
            <v>18</v>
          </cell>
          <cell r="S21">
            <v>4</v>
          </cell>
          <cell r="T21">
            <v>11</v>
          </cell>
          <cell r="U21">
            <v>2</v>
          </cell>
          <cell r="V21">
            <v>12</v>
          </cell>
          <cell r="W21">
            <v>1</v>
          </cell>
          <cell r="X21">
            <v>8</v>
          </cell>
          <cell r="Y21">
            <v>18</v>
          </cell>
          <cell r="Z21">
            <v>27</v>
          </cell>
          <cell r="AA21">
            <v>17</v>
          </cell>
          <cell r="AB21">
            <v>27</v>
          </cell>
          <cell r="AC21">
            <v>15</v>
          </cell>
          <cell r="AD21">
            <v>24</v>
          </cell>
          <cell r="AE21">
            <v>27</v>
          </cell>
          <cell r="AF21">
            <v>35</v>
          </cell>
        </row>
      </sheetData>
      <sheetData sheetId="3"/>
      <sheetData sheetId="4"/>
      <sheetData sheetId="5"/>
      <sheetData sheetId="6"/>
      <sheetData sheetId="7"/>
      <sheetData sheetId="8"/>
      <sheetData sheetId="9">
        <row r="21">
          <cell r="G21">
            <v>9</v>
          </cell>
          <cell r="H21">
            <v>6</v>
          </cell>
          <cell r="I21">
            <v>10</v>
          </cell>
          <cell r="J21">
            <v>7</v>
          </cell>
          <cell r="K21">
            <v>9</v>
          </cell>
          <cell r="L21">
            <v>6</v>
          </cell>
          <cell r="M21">
            <v>9</v>
          </cell>
          <cell r="N21">
            <v>3</v>
          </cell>
          <cell r="O21">
            <v>10</v>
          </cell>
          <cell r="P21">
            <v>13</v>
          </cell>
          <cell r="Q21">
            <v>5</v>
          </cell>
          <cell r="R21">
            <v>9</v>
          </cell>
          <cell r="S21">
            <v>9</v>
          </cell>
          <cell r="T21">
            <v>17</v>
          </cell>
          <cell r="U21">
            <v>15</v>
          </cell>
          <cell r="V21">
            <v>10</v>
          </cell>
          <cell r="W21">
            <v>14</v>
          </cell>
          <cell r="X21">
            <v>29</v>
          </cell>
          <cell r="Y21">
            <v>46</v>
          </cell>
          <cell r="Z21">
            <v>39</v>
          </cell>
          <cell r="AA21">
            <v>23</v>
          </cell>
          <cell r="AB21">
            <v>22</v>
          </cell>
        </row>
        <row r="22">
          <cell r="G22">
            <v>0</v>
          </cell>
          <cell r="H22">
            <v>0</v>
          </cell>
          <cell r="I22">
            <v>0</v>
          </cell>
          <cell r="J22">
            <v>0</v>
          </cell>
          <cell r="K22">
            <v>0</v>
          </cell>
          <cell r="L22">
            <v>0</v>
          </cell>
          <cell r="M22">
            <v>0</v>
          </cell>
          <cell r="N22">
            <v>0</v>
          </cell>
          <cell r="O22">
            <v>13</v>
          </cell>
          <cell r="P22">
            <v>33</v>
          </cell>
          <cell r="Q22">
            <v>12</v>
          </cell>
          <cell r="R22">
            <v>16</v>
          </cell>
          <cell r="S22">
            <v>25</v>
          </cell>
          <cell r="T22">
            <v>24</v>
          </cell>
          <cell r="U22">
            <v>64</v>
          </cell>
          <cell r="V22">
            <v>50</v>
          </cell>
          <cell r="W22">
            <v>60</v>
          </cell>
          <cell r="X22">
            <v>110</v>
          </cell>
          <cell r="Y22">
            <v>241</v>
          </cell>
          <cell r="Z22">
            <v>196</v>
          </cell>
          <cell r="AA22">
            <v>46</v>
          </cell>
          <cell r="AB22">
            <v>86</v>
          </cell>
        </row>
        <row r="23">
          <cell r="G23">
            <v>0</v>
          </cell>
          <cell r="H23">
            <v>0</v>
          </cell>
          <cell r="I23">
            <v>0</v>
          </cell>
          <cell r="J23">
            <v>0</v>
          </cell>
          <cell r="K23">
            <v>3</v>
          </cell>
          <cell r="L23">
            <v>1</v>
          </cell>
          <cell r="M23">
            <v>1</v>
          </cell>
          <cell r="N23">
            <v>0</v>
          </cell>
          <cell r="O23">
            <v>4</v>
          </cell>
          <cell r="P23">
            <v>6</v>
          </cell>
          <cell r="Q23">
            <v>3</v>
          </cell>
          <cell r="R23">
            <v>3</v>
          </cell>
          <cell r="S23">
            <v>5</v>
          </cell>
          <cell r="T23">
            <v>2</v>
          </cell>
          <cell r="U23">
            <v>9</v>
          </cell>
          <cell r="V23">
            <v>5</v>
          </cell>
          <cell r="W23">
            <v>6</v>
          </cell>
          <cell r="X23">
            <v>17</v>
          </cell>
          <cell r="Y23">
            <v>21</v>
          </cell>
          <cell r="Z23">
            <v>19</v>
          </cell>
          <cell r="AA23">
            <v>8</v>
          </cell>
          <cell r="AB23">
            <v>9</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0</v>
          </cell>
          <cell r="P25">
            <v>2</v>
          </cell>
          <cell r="Q25">
            <v>2</v>
          </cell>
          <cell r="R25">
            <v>0</v>
          </cell>
          <cell r="S25">
            <v>2</v>
          </cell>
          <cell r="T25">
            <v>0</v>
          </cell>
          <cell r="U25">
            <v>12</v>
          </cell>
          <cell r="V25">
            <v>5</v>
          </cell>
          <cell r="W25">
            <v>13</v>
          </cell>
          <cell r="X25">
            <v>40</v>
          </cell>
          <cell r="Y25">
            <v>56</v>
          </cell>
          <cell r="Z25">
            <v>40</v>
          </cell>
          <cell r="AA25">
            <v>34</v>
          </cell>
          <cell r="AB25">
            <v>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row r="21">
          <cell r="E21">
            <v>0</v>
          </cell>
          <cell r="F21">
            <v>1</v>
          </cell>
          <cell r="G21">
            <v>21</v>
          </cell>
          <cell r="H21">
            <v>57</v>
          </cell>
          <cell r="I21">
            <v>22</v>
          </cell>
          <cell r="J21">
            <v>59</v>
          </cell>
          <cell r="K21">
            <v>31</v>
          </cell>
          <cell r="L21">
            <v>63</v>
          </cell>
          <cell r="M21">
            <v>27</v>
          </cell>
          <cell r="N21">
            <v>72</v>
          </cell>
          <cell r="O21">
            <v>28</v>
          </cell>
          <cell r="P21">
            <v>40</v>
          </cell>
          <cell r="Q21">
            <v>10</v>
          </cell>
          <cell r="R21">
            <v>56</v>
          </cell>
          <cell r="S21">
            <v>17</v>
          </cell>
          <cell r="T21">
            <v>47</v>
          </cell>
          <cell r="U21">
            <v>24</v>
          </cell>
          <cell r="V21">
            <v>42</v>
          </cell>
          <cell r="W21">
            <v>9</v>
          </cell>
          <cell r="X21">
            <v>22</v>
          </cell>
          <cell r="Y21">
            <v>81</v>
          </cell>
          <cell r="Z21">
            <v>92</v>
          </cell>
          <cell r="AA21">
            <v>64</v>
          </cell>
          <cell r="AB21">
            <v>80</v>
          </cell>
          <cell r="AC21">
            <v>56</v>
          </cell>
          <cell r="AD21">
            <v>64</v>
          </cell>
          <cell r="AE21">
            <v>51</v>
          </cell>
          <cell r="AF21">
            <v>65</v>
          </cell>
        </row>
      </sheetData>
      <sheetData sheetId="3"/>
      <sheetData sheetId="4"/>
      <sheetData sheetId="5"/>
      <sheetData sheetId="6"/>
      <sheetData sheetId="7"/>
      <sheetData sheetId="8"/>
      <sheetData sheetId="9">
        <row r="21">
          <cell r="G21">
            <v>24</v>
          </cell>
          <cell r="H21">
            <v>33</v>
          </cell>
          <cell r="I21">
            <v>23</v>
          </cell>
          <cell r="J21">
            <v>14</v>
          </cell>
          <cell r="K21">
            <v>25</v>
          </cell>
          <cell r="L21">
            <v>17</v>
          </cell>
          <cell r="M21">
            <v>16</v>
          </cell>
          <cell r="N21">
            <v>26</v>
          </cell>
          <cell r="O21">
            <v>23</v>
          </cell>
          <cell r="P21">
            <v>19</v>
          </cell>
          <cell r="Q21">
            <v>19</v>
          </cell>
          <cell r="R21">
            <v>17</v>
          </cell>
          <cell r="S21">
            <v>21</v>
          </cell>
          <cell r="T21">
            <v>29</v>
          </cell>
          <cell r="U21">
            <v>10</v>
          </cell>
          <cell r="V21">
            <v>8</v>
          </cell>
          <cell r="W21">
            <v>49</v>
          </cell>
          <cell r="X21">
            <v>48</v>
          </cell>
          <cell r="Y21">
            <v>88</v>
          </cell>
          <cell r="Z21">
            <v>70</v>
          </cell>
          <cell r="AA21">
            <v>31</v>
          </cell>
          <cell r="AB21">
            <v>47</v>
          </cell>
        </row>
        <row r="22">
          <cell r="G22">
            <v>0</v>
          </cell>
          <cell r="H22">
            <v>0</v>
          </cell>
          <cell r="I22">
            <v>0</v>
          </cell>
          <cell r="J22">
            <v>0</v>
          </cell>
          <cell r="K22">
            <v>1</v>
          </cell>
          <cell r="L22">
            <v>0</v>
          </cell>
          <cell r="M22">
            <v>11</v>
          </cell>
          <cell r="N22">
            <v>16</v>
          </cell>
          <cell r="O22">
            <v>48</v>
          </cell>
          <cell r="P22">
            <v>28</v>
          </cell>
          <cell r="Q22">
            <v>36</v>
          </cell>
          <cell r="R22">
            <v>47</v>
          </cell>
          <cell r="S22">
            <v>88</v>
          </cell>
          <cell r="T22">
            <v>76</v>
          </cell>
          <cell r="U22">
            <v>66</v>
          </cell>
          <cell r="V22">
            <v>73</v>
          </cell>
          <cell r="W22">
            <v>241</v>
          </cell>
          <cell r="X22">
            <v>266</v>
          </cell>
          <cell r="Y22">
            <v>622</v>
          </cell>
          <cell r="Z22">
            <v>651</v>
          </cell>
          <cell r="AA22">
            <v>171</v>
          </cell>
          <cell r="AB22">
            <v>226</v>
          </cell>
        </row>
        <row r="23">
          <cell r="G23">
            <v>0</v>
          </cell>
          <cell r="H23">
            <v>0</v>
          </cell>
          <cell r="I23">
            <v>2</v>
          </cell>
          <cell r="J23">
            <v>2</v>
          </cell>
          <cell r="K23">
            <v>15</v>
          </cell>
          <cell r="L23">
            <v>13</v>
          </cell>
          <cell r="M23">
            <v>8</v>
          </cell>
          <cell r="N23">
            <v>5</v>
          </cell>
          <cell r="O23">
            <v>9</v>
          </cell>
          <cell r="P23">
            <v>6</v>
          </cell>
          <cell r="Q23">
            <v>6</v>
          </cell>
          <cell r="R23">
            <v>11</v>
          </cell>
          <cell r="S23">
            <v>6</v>
          </cell>
          <cell r="T23">
            <v>9</v>
          </cell>
          <cell r="U23">
            <v>6</v>
          </cell>
          <cell r="V23">
            <v>5</v>
          </cell>
          <cell r="W23">
            <v>31</v>
          </cell>
          <cell r="X23">
            <v>25</v>
          </cell>
          <cell r="Y23">
            <v>48</v>
          </cell>
          <cell r="Z23">
            <v>51</v>
          </cell>
          <cell r="AA23">
            <v>10</v>
          </cell>
          <cell r="AB23">
            <v>15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2</v>
          </cell>
          <cell r="N25">
            <v>1</v>
          </cell>
          <cell r="O25">
            <v>1</v>
          </cell>
          <cell r="P25">
            <v>4</v>
          </cell>
          <cell r="Q25">
            <v>3</v>
          </cell>
          <cell r="R25">
            <v>2</v>
          </cell>
          <cell r="S25">
            <v>4</v>
          </cell>
          <cell r="T25">
            <v>4</v>
          </cell>
          <cell r="U25">
            <v>7</v>
          </cell>
          <cell r="V25">
            <v>7</v>
          </cell>
          <cell r="W25">
            <v>39</v>
          </cell>
          <cell r="X25">
            <v>27</v>
          </cell>
          <cell r="Y25">
            <v>90</v>
          </cell>
          <cell r="Z25">
            <v>73</v>
          </cell>
          <cell r="AA25">
            <v>69</v>
          </cell>
          <cell r="AB25">
            <v>82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1257</v>
          </cell>
        </row>
        <row r="15">
          <cell r="C15">
            <v>11</v>
          </cell>
        </row>
        <row r="16">
          <cell r="C16">
            <v>2</v>
          </cell>
        </row>
        <row r="17">
          <cell r="C17">
            <v>0</v>
          </cell>
        </row>
        <row r="18">
          <cell r="C18">
            <v>2</v>
          </cell>
        </row>
        <row r="19">
          <cell r="C19">
            <v>2</v>
          </cell>
        </row>
        <row r="20">
          <cell r="C20">
            <v>1257</v>
          </cell>
        </row>
        <row r="21">
          <cell r="C21">
            <v>147</v>
          </cell>
        </row>
        <row r="22">
          <cell r="C22">
            <v>311</v>
          </cell>
        </row>
        <row r="23">
          <cell r="C23">
            <v>36</v>
          </cell>
        </row>
        <row r="24">
          <cell r="C24">
            <v>3</v>
          </cell>
        </row>
        <row r="25">
          <cell r="C25">
            <v>0</v>
          </cell>
        </row>
        <row r="26">
          <cell r="C26">
            <v>1</v>
          </cell>
        </row>
        <row r="27">
          <cell r="C27">
            <v>7</v>
          </cell>
        </row>
        <row r="28">
          <cell r="C28">
            <v>3</v>
          </cell>
        </row>
        <row r="29">
          <cell r="C29">
            <v>4</v>
          </cell>
        </row>
        <row r="30">
          <cell r="C30">
            <v>20</v>
          </cell>
        </row>
        <row r="31">
          <cell r="C31">
            <v>33</v>
          </cell>
        </row>
        <row r="32">
          <cell r="C32">
            <v>3</v>
          </cell>
        </row>
        <row r="33">
          <cell r="C33">
            <v>0</v>
          </cell>
        </row>
        <row r="34">
          <cell r="C34">
            <v>40</v>
          </cell>
        </row>
        <row r="35">
          <cell r="C35">
            <v>7</v>
          </cell>
        </row>
        <row r="36">
          <cell r="C36">
            <v>40</v>
          </cell>
        </row>
        <row r="37">
          <cell r="C37">
            <v>4</v>
          </cell>
        </row>
        <row r="38">
          <cell r="C38">
            <v>46</v>
          </cell>
        </row>
        <row r="39">
          <cell r="C39">
            <v>353</v>
          </cell>
        </row>
        <row r="40">
          <cell r="C40">
            <v>5</v>
          </cell>
        </row>
        <row r="41">
          <cell r="C41">
            <v>0</v>
          </cell>
        </row>
        <row r="42">
          <cell r="C42">
            <v>0</v>
          </cell>
        </row>
        <row r="43">
          <cell r="C43">
            <v>1</v>
          </cell>
        </row>
        <row r="44">
          <cell r="C44">
            <v>31</v>
          </cell>
        </row>
        <row r="45">
          <cell r="C45">
            <v>5</v>
          </cell>
        </row>
        <row r="46">
          <cell r="C46">
            <v>7</v>
          </cell>
        </row>
        <row r="47">
          <cell r="C47">
            <v>48</v>
          </cell>
        </row>
        <row r="48">
          <cell r="C48">
            <v>23</v>
          </cell>
        </row>
        <row r="49">
          <cell r="C49">
            <v>2</v>
          </cell>
        </row>
        <row r="50">
          <cell r="C50">
            <v>0</v>
          </cell>
        </row>
      </sheetData>
      <sheetData sheetId="7"/>
      <sheetData sheetId="8"/>
      <sheetData sheetId="9"/>
      <sheetData sheetId="10"/>
      <sheetData sheetId="11"/>
      <sheetData sheetId="12"/>
      <sheetData sheetId="1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96</v>
          </cell>
        </row>
        <row r="15">
          <cell r="C15">
            <v>0</v>
          </cell>
        </row>
        <row r="16">
          <cell r="C16">
            <v>0</v>
          </cell>
        </row>
        <row r="17">
          <cell r="C17">
            <v>0</v>
          </cell>
        </row>
        <row r="18">
          <cell r="C18">
            <v>0</v>
          </cell>
        </row>
        <row r="19">
          <cell r="C19">
            <v>0</v>
          </cell>
        </row>
        <row r="20">
          <cell r="C20">
            <v>96</v>
          </cell>
        </row>
        <row r="21">
          <cell r="C21">
            <v>8</v>
          </cell>
        </row>
        <row r="22">
          <cell r="C22">
            <v>25</v>
          </cell>
        </row>
        <row r="23">
          <cell r="C23">
            <v>5</v>
          </cell>
        </row>
        <row r="24">
          <cell r="C24">
            <v>0</v>
          </cell>
        </row>
        <row r="25">
          <cell r="C25">
            <v>0</v>
          </cell>
        </row>
        <row r="26">
          <cell r="C26">
            <v>1</v>
          </cell>
        </row>
        <row r="27">
          <cell r="C27">
            <v>1</v>
          </cell>
        </row>
        <row r="28">
          <cell r="C28">
            <v>0</v>
          </cell>
        </row>
        <row r="29">
          <cell r="C29">
            <v>0</v>
          </cell>
        </row>
        <row r="30">
          <cell r="C30">
            <v>0</v>
          </cell>
        </row>
        <row r="31">
          <cell r="C31">
            <v>0</v>
          </cell>
        </row>
        <row r="32">
          <cell r="C32">
            <v>0</v>
          </cell>
        </row>
        <row r="33">
          <cell r="C33">
            <v>0</v>
          </cell>
        </row>
        <row r="34">
          <cell r="C34">
            <v>6</v>
          </cell>
        </row>
        <row r="35">
          <cell r="C35">
            <v>0</v>
          </cell>
        </row>
        <row r="36">
          <cell r="C36">
            <v>10</v>
          </cell>
        </row>
        <row r="37">
          <cell r="C37">
            <v>0</v>
          </cell>
        </row>
        <row r="38">
          <cell r="C38">
            <v>2</v>
          </cell>
        </row>
        <row r="39">
          <cell r="C39">
            <v>35</v>
          </cell>
        </row>
        <row r="40">
          <cell r="C40">
            <v>1</v>
          </cell>
        </row>
        <row r="41">
          <cell r="C41">
            <v>0</v>
          </cell>
        </row>
        <row r="42">
          <cell r="C42">
            <v>0</v>
          </cell>
        </row>
        <row r="43">
          <cell r="C43">
            <v>0</v>
          </cell>
        </row>
        <row r="44">
          <cell r="C44">
            <v>3</v>
          </cell>
        </row>
        <row r="45">
          <cell r="C45">
            <v>0</v>
          </cell>
        </row>
        <row r="46">
          <cell r="C46">
            <v>3</v>
          </cell>
        </row>
        <row r="47">
          <cell r="C47">
            <v>5</v>
          </cell>
        </row>
        <row r="48">
          <cell r="C48">
            <v>1</v>
          </cell>
        </row>
        <row r="49">
          <cell r="C49">
            <v>0</v>
          </cell>
        </row>
        <row r="50">
          <cell r="C50">
            <v>0</v>
          </cell>
        </row>
      </sheetData>
      <sheetData sheetId="7"/>
      <sheetData sheetId="8"/>
      <sheetData sheetId="9"/>
      <sheetData sheetId="10"/>
      <sheetData sheetId="11"/>
      <sheetData sheetId="12"/>
      <sheetData sheetId="1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1236</v>
          </cell>
        </row>
        <row r="15">
          <cell r="C15">
            <v>41</v>
          </cell>
        </row>
        <row r="16">
          <cell r="C16">
            <v>5</v>
          </cell>
        </row>
        <row r="17">
          <cell r="C17">
            <v>6</v>
          </cell>
        </row>
        <row r="18">
          <cell r="C18">
            <v>19</v>
          </cell>
        </row>
        <row r="19">
          <cell r="C19">
            <v>9</v>
          </cell>
        </row>
        <row r="20">
          <cell r="C20">
            <v>1217</v>
          </cell>
        </row>
        <row r="21">
          <cell r="C21">
            <v>82</v>
          </cell>
        </row>
        <row r="22">
          <cell r="C22">
            <v>134</v>
          </cell>
        </row>
        <row r="23">
          <cell r="C23">
            <v>49</v>
          </cell>
        </row>
        <row r="24">
          <cell r="C24">
            <v>8</v>
          </cell>
        </row>
        <row r="25">
          <cell r="C25">
            <v>4</v>
          </cell>
        </row>
        <row r="26">
          <cell r="C26">
            <v>11</v>
          </cell>
        </row>
        <row r="27">
          <cell r="C27">
            <v>1</v>
          </cell>
        </row>
        <row r="28">
          <cell r="C28">
            <v>4</v>
          </cell>
        </row>
        <row r="29">
          <cell r="C29">
            <v>10</v>
          </cell>
        </row>
        <row r="30">
          <cell r="C30">
            <v>10</v>
          </cell>
        </row>
        <row r="31">
          <cell r="C31">
            <v>48</v>
          </cell>
        </row>
        <row r="32">
          <cell r="C32">
            <v>3</v>
          </cell>
        </row>
        <row r="33">
          <cell r="C33">
            <v>0</v>
          </cell>
        </row>
        <row r="34">
          <cell r="C34">
            <v>121</v>
          </cell>
        </row>
        <row r="35">
          <cell r="C35">
            <v>11</v>
          </cell>
        </row>
        <row r="36">
          <cell r="C36">
            <v>54</v>
          </cell>
        </row>
        <row r="37">
          <cell r="C37">
            <v>1</v>
          </cell>
        </row>
        <row r="38">
          <cell r="C38">
            <v>48</v>
          </cell>
        </row>
        <row r="39">
          <cell r="C39">
            <v>479</v>
          </cell>
        </row>
        <row r="40">
          <cell r="C40">
            <v>14</v>
          </cell>
        </row>
        <row r="41">
          <cell r="C41">
            <v>21</v>
          </cell>
        </row>
        <row r="42">
          <cell r="C42">
            <v>12</v>
          </cell>
        </row>
        <row r="43">
          <cell r="C43">
            <v>0</v>
          </cell>
        </row>
        <row r="44">
          <cell r="C44">
            <v>50</v>
          </cell>
        </row>
        <row r="45">
          <cell r="C45">
            <v>3</v>
          </cell>
        </row>
        <row r="46">
          <cell r="C46">
            <v>14</v>
          </cell>
        </row>
        <row r="47">
          <cell r="C47">
            <v>25</v>
          </cell>
        </row>
        <row r="48">
          <cell r="C48">
            <v>10</v>
          </cell>
        </row>
        <row r="49">
          <cell r="C49">
            <v>0</v>
          </cell>
        </row>
        <row r="50">
          <cell r="C50">
            <v>0</v>
          </cell>
        </row>
      </sheetData>
      <sheetData sheetId="7"/>
      <sheetData sheetId="8"/>
      <sheetData sheetId="9"/>
      <sheetData sheetId="10"/>
      <sheetData sheetId="11"/>
      <sheetData sheetId="12"/>
      <sheetData sheetId="13"/>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0</v>
          </cell>
        </row>
        <row r="15">
          <cell r="C15">
            <v>0</v>
          </cell>
        </row>
        <row r="16">
          <cell r="C16">
            <v>0</v>
          </cell>
        </row>
        <row r="17">
          <cell r="C17">
            <v>0</v>
          </cell>
        </row>
        <row r="18">
          <cell r="C18">
            <v>0</v>
          </cell>
        </row>
        <row r="19">
          <cell r="C19">
            <v>0</v>
          </cell>
        </row>
        <row r="20">
          <cell r="C20">
            <v>1</v>
          </cell>
        </row>
        <row r="21">
          <cell r="C21">
            <v>58</v>
          </cell>
        </row>
        <row r="22">
          <cell r="C22">
            <v>51</v>
          </cell>
        </row>
        <row r="23">
          <cell r="C23">
            <v>6</v>
          </cell>
        </row>
        <row r="24">
          <cell r="C24">
            <v>0</v>
          </cell>
        </row>
        <row r="25">
          <cell r="C25">
            <v>0</v>
          </cell>
        </row>
        <row r="26">
          <cell r="C26">
            <v>4</v>
          </cell>
        </row>
        <row r="27">
          <cell r="C27">
            <v>0</v>
          </cell>
        </row>
        <row r="28">
          <cell r="C28">
            <v>6</v>
          </cell>
        </row>
        <row r="29">
          <cell r="C29">
            <v>1</v>
          </cell>
        </row>
        <row r="30">
          <cell r="C30">
            <v>1</v>
          </cell>
        </row>
        <row r="31">
          <cell r="C31">
            <v>13</v>
          </cell>
        </row>
        <row r="32">
          <cell r="C32">
            <v>2</v>
          </cell>
        </row>
        <row r="33">
          <cell r="C33">
            <v>0</v>
          </cell>
        </row>
        <row r="34">
          <cell r="C34">
            <v>0</v>
          </cell>
        </row>
        <row r="35">
          <cell r="C35">
            <v>0</v>
          </cell>
        </row>
        <row r="36">
          <cell r="C36">
            <v>12</v>
          </cell>
        </row>
        <row r="37">
          <cell r="C37">
            <v>2</v>
          </cell>
        </row>
        <row r="38">
          <cell r="C38">
            <v>19</v>
          </cell>
        </row>
        <row r="39">
          <cell r="C39">
            <v>5</v>
          </cell>
        </row>
        <row r="40">
          <cell r="C40">
            <v>8</v>
          </cell>
        </row>
        <row r="41">
          <cell r="C41">
            <v>0</v>
          </cell>
        </row>
        <row r="42">
          <cell r="C42">
            <v>0</v>
          </cell>
        </row>
        <row r="43">
          <cell r="C43">
            <v>3</v>
          </cell>
        </row>
        <row r="44">
          <cell r="C44">
            <v>6</v>
          </cell>
        </row>
        <row r="45">
          <cell r="C45">
            <v>0</v>
          </cell>
        </row>
        <row r="46">
          <cell r="C46">
            <v>1</v>
          </cell>
        </row>
        <row r="47">
          <cell r="C47">
            <v>7</v>
          </cell>
        </row>
        <row r="48">
          <cell r="C48">
            <v>2</v>
          </cell>
        </row>
        <row r="49">
          <cell r="C49">
            <v>0</v>
          </cell>
        </row>
        <row r="50">
          <cell r="C50">
            <v>0</v>
          </cell>
        </row>
      </sheetData>
      <sheetData sheetId="7"/>
      <sheetData sheetId="8"/>
      <sheetData sheetId="9"/>
      <sheetData sheetId="10"/>
      <sheetData sheetId="11"/>
      <sheetData sheetId="12"/>
      <sheetData sheetId="1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0</v>
          </cell>
        </row>
        <row r="15">
          <cell r="C15">
            <v>0</v>
          </cell>
        </row>
        <row r="16">
          <cell r="C16">
            <v>0</v>
          </cell>
        </row>
        <row r="17">
          <cell r="C17">
            <v>0</v>
          </cell>
        </row>
        <row r="18">
          <cell r="C18">
            <v>0</v>
          </cell>
        </row>
        <row r="19">
          <cell r="C19">
            <v>0</v>
          </cell>
        </row>
        <row r="20">
          <cell r="C20">
            <v>0</v>
          </cell>
        </row>
        <row r="21">
          <cell r="C21">
            <v>17</v>
          </cell>
        </row>
        <row r="22">
          <cell r="C22">
            <v>5</v>
          </cell>
        </row>
        <row r="23">
          <cell r="C23">
            <v>1</v>
          </cell>
        </row>
        <row r="24">
          <cell r="C24">
            <v>0</v>
          </cell>
        </row>
        <row r="25">
          <cell r="C25">
            <v>0</v>
          </cell>
        </row>
        <row r="26">
          <cell r="C26">
            <v>0</v>
          </cell>
        </row>
        <row r="27">
          <cell r="C27">
            <v>0</v>
          </cell>
        </row>
        <row r="28">
          <cell r="C28">
            <v>0</v>
          </cell>
        </row>
        <row r="29">
          <cell r="C29">
            <v>1</v>
          </cell>
        </row>
        <row r="30">
          <cell r="C30">
            <v>1</v>
          </cell>
        </row>
        <row r="31">
          <cell r="C31">
            <v>1</v>
          </cell>
        </row>
        <row r="32">
          <cell r="C32">
            <v>0</v>
          </cell>
        </row>
        <row r="33">
          <cell r="C33">
            <v>0</v>
          </cell>
        </row>
        <row r="34">
          <cell r="C34">
            <v>0</v>
          </cell>
        </row>
        <row r="35">
          <cell r="C35">
            <v>0</v>
          </cell>
        </row>
        <row r="36">
          <cell r="C36">
            <v>2</v>
          </cell>
        </row>
        <row r="37">
          <cell r="C37">
            <v>0</v>
          </cell>
        </row>
        <row r="38">
          <cell r="C38">
            <v>6</v>
          </cell>
        </row>
        <row r="39">
          <cell r="C39">
            <v>2</v>
          </cell>
        </row>
        <row r="40">
          <cell r="C40">
            <v>0</v>
          </cell>
        </row>
        <row r="41">
          <cell r="C41">
            <v>0</v>
          </cell>
        </row>
        <row r="42">
          <cell r="C42">
            <v>0</v>
          </cell>
        </row>
        <row r="43">
          <cell r="C43">
            <v>0</v>
          </cell>
        </row>
        <row r="44">
          <cell r="C44">
            <v>0</v>
          </cell>
        </row>
        <row r="45">
          <cell r="C45">
            <v>0</v>
          </cell>
        </row>
        <row r="46">
          <cell r="C46">
            <v>0</v>
          </cell>
        </row>
        <row r="47">
          <cell r="C47">
            <v>0</v>
          </cell>
        </row>
        <row r="48">
          <cell r="C48">
            <v>0</v>
          </cell>
        </row>
        <row r="49">
          <cell r="C49">
            <v>0</v>
          </cell>
        </row>
        <row r="50">
          <cell r="C50">
            <v>0</v>
          </cell>
        </row>
      </sheetData>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row r="71">
          <cell r="B71">
            <v>63207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855</v>
          </cell>
        </row>
        <row r="15">
          <cell r="C15">
            <v>8</v>
          </cell>
        </row>
        <row r="16">
          <cell r="C16">
            <v>1</v>
          </cell>
        </row>
        <row r="17">
          <cell r="C17">
            <v>2</v>
          </cell>
        </row>
        <row r="18">
          <cell r="C18">
            <v>1</v>
          </cell>
        </row>
        <row r="19">
          <cell r="C19">
            <v>1</v>
          </cell>
        </row>
        <row r="20">
          <cell r="C20">
            <v>1101</v>
          </cell>
        </row>
        <row r="21">
          <cell r="C21">
            <v>39</v>
          </cell>
        </row>
        <row r="22">
          <cell r="C22">
            <v>171</v>
          </cell>
        </row>
        <row r="23">
          <cell r="C23">
            <v>21</v>
          </cell>
        </row>
        <row r="24">
          <cell r="C24">
            <v>2</v>
          </cell>
        </row>
        <row r="25">
          <cell r="C25">
            <v>0</v>
          </cell>
        </row>
        <row r="26">
          <cell r="C26">
            <v>12</v>
          </cell>
        </row>
        <row r="27">
          <cell r="C27">
            <v>8</v>
          </cell>
        </row>
        <row r="28">
          <cell r="C28">
            <v>5</v>
          </cell>
        </row>
        <row r="29">
          <cell r="C29">
            <v>6</v>
          </cell>
        </row>
        <row r="30">
          <cell r="C30">
            <v>6</v>
          </cell>
        </row>
        <row r="31">
          <cell r="C31">
            <v>29</v>
          </cell>
        </row>
        <row r="32">
          <cell r="C32">
            <v>2</v>
          </cell>
        </row>
        <row r="33">
          <cell r="C33">
            <v>2</v>
          </cell>
        </row>
        <row r="34">
          <cell r="C34">
            <v>21</v>
          </cell>
        </row>
        <row r="35">
          <cell r="C35">
            <v>9</v>
          </cell>
        </row>
        <row r="36">
          <cell r="C36">
            <v>85</v>
          </cell>
        </row>
        <row r="37">
          <cell r="C37">
            <v>0</v>
          </cell>
        </row>
        <row r="38">
          <cell r="C38">
            <v>34</v>
          </cell>
        </row>
        <row r="39">
          <cell r="C39">
            <v>462</v>
          </cell>
        </row>
        <row r="40">
          <cell r="C40">
            <v>12</v>
          </cell>
        </row>
        <row r="41">
          <cell r="C41">
            <v>21</v>
          </cell>
        </row>
        <row r="42">
          <cell r="C42">
            <v>4</v>
          </cell>
        </row>
        <row r="43">
          <cell r="C43">
            <v>0</v>
          </cell>
        </row>
        <row r="44">
          <cell r="C44">
            <v>41</v>
          </cell>
        </row>
        <row r="45">
          <cell r="C45">
            <v>5</v>
          </cell>
        </row>
        <row r="46">
          <cell r="C46">
            <v>7</v>
          </cell>
        </row>
        <row r="47">
          <cell r="C47">
            <v>29</v>
          </cell>
        </row>
        <row r="48">
          <cell r="C48">
            <v>6</v>
          </cell>
        </row>
        <row r="49">
          <cell r="C49">
            <v>0</v>
          </cell>
        </row>
        <row r="50">
          <cell r="C50">
            <v>0</v>
          </cell>
        </row>
      </sheetData>
      <sheetData sheetId="7"/>
      <sheetData sheetId="8"/>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638</v>
          </cell>
        </row>
        <row r="15">
          <cell r="C15">
            <v>3</v>
          </cell>
        </row>
        <row r="16">
          <cell r="C16">
            <v>5</v>
          </cell>
        </row>
        <row r="17">
          <cell r="C17">
            <v>2</v>
          </cell>
        </row>
        <row r="18">
          <cell r="C18">
            <v>0</v>
          </cell>
        </row>
        <row r="19">
          <cell r="C19">
            <v>0</v>
          </cell>
        </row>
        <row r="20">
          <cell r="C20">
            <v>629</v>
          </cell>
        </row>
        <row r="21">
          <cell r="C21">
            <v>13</v>
          </cell>
        </row>
        <row r="22">
          <cell r="C22">
            <v>110</v>
          </cell>
        </row>
        <row r="23">
          <cell r="C23">
            <v>36</v>
          </cell>
        </row>
        <row r="24">
          <cell r="C24">
            <v>0</v>
          </cell>
        </row>
        <row r="25">
          <cell r="C25">
            <v>4</v>
          </cell>
        </row>
        <row r="26">
          <cell r="C26">
            <v>9</v>
          </cell>
        </row>
        <row r="27">
          <cell r="C27">
            <v>2</v>
          </cell>
        </row>
        <row r="28">
          <cell r="C28">
            <v>42</v>
          </cell>
        </row>
        <row r="29">
          <cell r="C29">
            <v>3</v>
          </cell>
        </row>
        <row r="30">
          <cell r="C30">
            <v>3</v>
          </cell>
        </row>
        <row r="31">
          <cell r="C31">
            <v>13</v>
          </cell>
        </row>
        <row r="32">
          <cell r="C32">
            <v>2</v>
          </cell>
        </row>
        <row r="33">
          <cell r="C33">
            <v>1</v>
          </cell>
        </row>
        <row r="34">
          <cell r="C34">
            <v>44</v>
          </cell>
        </row>
        <row r="35">
          <cell r="C35">
            <v>3</v>
          </cell>
        </row>
        <row r="36">
          <cell r="C36">
            <v>11</v>
          </cell>
        </row>
        <row r="37">
          <cell r="C37">
            <v>1</v>
          </cell>
        </row>
        <row r="38">
          <cell r="C38">
            <v>4</v>
          </cell>
        </row>
        <row r="39">
          <cell r="C39">
            <v>306</v>
          </cell>
        </row>
        <row r="40">
          <cell r="C40">
            <v>4</v>
          </cell>
        </row>
        <row r="41">
          <cell r="C41">
            <v>8</v>
          </cell>
        </row>
        <row r="42">
          <cell r="C42">
            <v>1</v>
          </cell>
        </row>
        <row r="43">
          <cell r="C43">
            <v>2</v>
          </cell>
        </row>
        <row r="44">
          <cell r="C44">
            <v>15</v>
          </cell>
        </row>
        <row r="45">
          <cell r="C45">
            <v>1</v>
          </cell>
        </row>
        <row r="46">
          <cell r="C46">
            <v>9</v>
          </cell>
        </row>
        <row r="47">
          <cell r="C47">
            <v>21</v>
          </cell>
        </row>
        <row r="48">
          <cell r="C48">
            <v>1</v>
          </cell>
        </row>
        <row r="49">
          <cell r="C49">
            <v>0</v>
          </cell>
        </row>
        <row r="50">
          <cell r="C50">
            <v>0</v>
          </cell>
        </row>
      </sheetData>
      <sheetData sheetId="7"/>
      <sheetData sheetId="8"/>
      <sheetData sheetId="9"/>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1224</v>
          </cell>
        </row>
        <row r="15">
          <cell r="C15">
            <v>13</v>
          </cell>
        </row>
        <row r="16">
          <cell r="C16">
            <v>0</v>
          </cell>
        </row>
        <row r="17">
          <cell r="C17">
            <v>3</v>
          </cell>
        </row>
        <row r="18">
          <cell r="C18">
            <v>6</v>
          </cell>
        </row>
        <row r="19">
          <cell r="C19">
            <v>0</v>
          </cell>
        </row>
        <row r="20">
          <cell r="C20">
            <v>1224</v>
          </cell>
        </row>
        <row r="21">
          <cell r="C21">
            <v>62</v>
          </cell>
        </row>
        <row r="22">
          <cell r="C22">
            <v>249</v>
          </cell>
        </row>
        <row r="23">
          <cell r="C23">
            <v>32</v>
          </cell>
        </row>
        <row r="24">
          <cell r="C24">
            <v>7</v>
          </cell>
        </row>
        <row r="25">
          <cell r="C25">
            <v>3</v>
          </cell>
        </row>
        <row r="26">
          <cell r="C26">
            <v>9</v>
          </cell>
        </row>
        <row r="27">
          <cell r="C27">
            <v>3</v>
          </cell>
        </row>
        <row r="28">
          <cell r="C28">
            <v>7</v>
          </cell>
        </row>
        <row r="29">
          <cell r="C29">
            <v>2</v>
          </cell>
        </row>
        <row r="30">
          <cell r="C30">
            <v>2</v>
          </cell>
        </row>
        <row r="31">
          <cell r="C31">
            <v>25</v>
          </cell>
        </row>
        <row r="32">
          <cell r="C32">
            <v>0</v>
          </cell>
        </row>
        <row r="33">
          <cell r="C33">
            <v>0</v>
          </cell>
        </row>
        <row r="34">
          <cell r="C34">
            <v>128</v>
          </cell>
        </row>
        <row r="35">
          <cell r="C35">
            <v>5</v>
          </cell>
        </row>
        <row r="36">
          <cell r="C36">
            <v>41</v>
          </cell>
        </row>
        <row r="37">
          <cell r="C37">
            <v>4</v>
          </cell>
        </row>
        <row r="38">
          <cell r="C38">
            <v>40</v>
          </cell>
        </row>
        <row r="39">
          <cell r="C39">
            <v>432</v>
          </cell>
        </row>
        <row r="40">
          <cell r="C40">
            <v>20</v>
          </cell>
        </row>
        <row r="41">
          <cell r="C41">
            <v>25</v>
          </cell>
        </row>
        <row r="42">
          <cell r="C42">
            <v>7</v>
          </cell>
        </row>
        <row r="43">
          <cell r="C43">
            <v>3</v>
          </cell>
        </row>
        <row r="44">
          <cell r="C44">
            <v>139</v>
          </cell>
        </row>
        <row r="45">
          <cell r="C45">
            <v>12</v>
          </cell>
        </row>
        <row r="46">
          <cell r="C46">
            <v>8</v>
          </cell>
        </row>
        <row r="47">
          <cell r="C47">
            <v>31</v>
          </cell>
        </row>
        <row r="48">
          <cell r="C48">
            <v>9</v>
          </cell>
        </row>
        <row r="49">
          <cell r="C49">
            <v>0</v>
          </cell>
        </row>
        <row r="50">
          <cell r="C50">
            <v>0</v>
          </cell>
        </row>
      </sheetData>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1408</v>
          </cell>
        </row>
        <row r="15">
          <cell r="C15">
            <v>32</v>
          </cell>
        </row>
        <row r="16">
          <cell r="C16">
            <v>3</v>
          </cell>
        </row>
        <row r="17">
          <cell r="C17">
            <v>11</v>
          </cell>
        </row>
        <row r="18">
          <cell r="C18">
            <v>81</v>
          </cell>
        </row>
        <row r="19">
          <cell r="C19">
            <v>16</v>
          </cell>
        </row>
        <row r="20">
          <cell r="C20">
            <v>1408</v>
          </cell>
        </row>
        <row r="21">
          <cell r="C21">
            <v>87</v>
          </cell>
        </row>
        <row r="22">
          <cell r="C22">
            <v>271</v>
          </cell>
        </row>
        <row r="23">
          <cell r="C23">
            <v>89</v>
          </cell>
        </row>
        <row r="24">
          <cell r="C24">
            <v>0</v>
          </cell>
        </row>
        <row r="25">
          <cell r="C25">
            <v>7</v>
          </cell>
        </row>
        <row r="26">
          <cell r="C26">
            <v>11</v>
          </cell>
        </row>
        <row r="27">
          <cell r="C27">
            <v>6</v>
          </cell>
        </row>
        <row r="28">
          <cell r="C28">
            <v>15</v>
          </cell>
        </row>
        <row r="29">
          <cell r="C29">
            <v>3</v>
          </cell>
        </row>
        <row r="30">
          <cell r="C30">
            <v>15</v>
          </cell>
        </row>
        <row r="31">
          <cell r="C31">
            <v>83</v>
          </cell>
        </row>
        <row r="32">
          <cell r="C32">
            <v>13</v>
          </cell>
        </row>
        <row r="33">
          <cell r="C33">
            <v>6</v>
          </cell>
        </row>
        <row r="34">
          <cell r="C34">
            <v>225</v>
          </cell>
        </row>
        <row r="35">
          <cell r="C35">
            <v>19</v>
          </cell>
        </row>
        <row r="36">
          <cell r="C36">
            <v>63</v>
          </cell>
        </row>
        <row r="37">
          <cell r="C37">
            <v>9</v>
          </cell>
        </row>
        <row r="38">
          <cell r="C38">
            <v>30</v>
          </cell>
        </row>
        <row r="39">
          <cell r="C39">
            <v>431</v>
          </cell>
        </row>
        <row r="40">
          <cell r="C40">
            <v>10</v>
          </cell>
        </row>
        <row r="41">
          <cell r="C41">
            <v>93</v>
          </cell>
        </row>
        <row r="42">
          <cell r="C42">
            <v>20</v>
          </cell>
        </row>
        <row r="43">
          <cell r="C43">
            <v>0</v>
          </cell>
        </row>
        <row r="44">
          <cell r="C44">
            <v>44</v>
          </cell>
        </row>
        <row r="45">
          <cell r="C45">
            <v>12</v>
          </cell>
        </row>
        <row r="46">
          <cell r="C46">
            <v>14</v>
          </cell>
        </row>
        <row r="47">
          <cell r="C47">
            <v>50</v>
          </cell>
        </row>
        <row r="48">
          <cell r="C48">
            <v>30</v>
          </cell>
        </row>
        <row r="49">
          <cell r="C49">
            <v>0</v>
          </cell>
        </row>
        <row r="50">
          <cell r="C50">
            <v>0</v>
          </cell>
        </row>
      </sheetData>
      <sheetData sheetId="7"/>
      <sheetData sheetId="8"/>
      <sheetData sheetId="9"/>
      <sheetData sheetId="10"/>
      <sheetData sheetId="11"/>
      <sheetData sheetId="12"/>
      <sheetData sheetId="1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144</v>
          </cell>
        </row>
        <row r="15">
          <cell r="C15">
            <v>14</v>
          </cell>
        </row>
        <row r="16">
          <cell r="C16">
            <v>6</v>
          </cell>
        </row>
        <row r="17">
          <cell r="C17">
            <v>9</v>
          </cell>
        </row>
        <row r="18">
          <cell r="C18">
            <v>0</v>
          </cell>
        </row>
        <row r="19">
          <cell r="C19">
            <v>0</v>
          </cell>
        </row>
        <row r="20">
          <cell r="C20">
            <v>144</v>
          </cell>
        </row>
        <row r="21">
          <cell r="C21">
            <v>1</v>
          </cell>
        </row>
        <row r="22">
          <cell r="C22">
            <v>14</v>
          </cell>
        </row>
        <row r="23">
          <cell r="C23">
            <v>0</v>
          </cell>
        </row>
        <row r="24">
          <cell r="C24">
            <v>0</v>
          </cell>
        </row>
        <row r="25">
          <cell r="C25">
            <v>0</v>
          </cell>
        </row>
        <row r="26">
          <cell r="C26">
            <v>0</v>
          </cell>
        </row>
        <row r="27">
          <cell r="C27">
            <v>0</v>
          </cell>
        </row>
        <row r="28">
          <cell r="C28">
            <v>0</v>
          </cell>
        </row>
        <row r="29">
          <cell r="C29">
            <v>0</v>
          </cell>
        </row>
        <row r="30">
          <cell r="C30">
            <v>0</v>
          </cell>
        </row>
        <row r="31">
          <cell r="C31">
            <v>4</v>
          </cell>
        </row>
        <row r="32">
          <cell r="C32">
            <v>3</v>
          </cell>
        </row>
        <row r="33">
          <cell r="C33">
            <v>0</v>
          </cell>
        </row>
        <row r="34">
          <cell r="C34">
            <v>15</v>
          </cell>
        </row>
        <row r="35">
          <cell r="C35">
            <v>1</v>
          </cell>
        </row>
        <row r="36">
          <cell r="C36">
            <v>15</v>
          </cell>
        </row>
        <row r="37">
          <cell r="C37">
            <v>4</v>
          </cell>
        </row>
        <row r="38">
          <cell r="C38">
            <v>3</v>
          </cell>
        </row>
        <row r="39">
          <cell r="C39">
            <v>31</v>
          </cell>
        </row>
        <row r="40">
          <cell r="C40">
            <v>1</v>
          </cell>
        </row>
        <row r="41">
          <cell r="C41">
            <v>6</v>
          </cell>
        </row>
        <row r="42">
          <cell r="C42">
            <v>4</v>
          </cell>
        </row>
        <row r="43">
          <cell r="C43">
            <v>0</v>
          </cell>
        </row>
        <row r="44">
          <cell r="C44">
            <v>19</v>
          </cell>
        </row>
        <row r="45">
          <cell r="C45">
            <v>0</v>
          </cell>
        </row>
        <row r="46">
          <cell r="C46">
            <v>2</v>
          </cell>
        </row>
        <row r="47">
          <cell r="C47">
            <v>9</v>
          </cell>
        </row>
        <row r="48">
          <cell r="C48">
            <v>6</v>
          </cell>
        </row>
        <row r="49">
          <cell r="C49">
            <v>0</v>
          </cell>
        </row>
        <row r="50">
          <cell r="C50">
            <v>0</v>
          </cell>
        </row>
      </sheetData>
      <sheetData sheetId="7"/>
      <sheetData sheetId="8"/>
      <sheetData sheetId="9"/>
      <sheetData sheetId="10"/>
      <sheetData sheetId="11"/>
      <sheetData sheetId="12"/>
      <sheetData sheetId="1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330</v>
          </cell>
        </row>
        <row r="15">
          <cell r="C15">
            <v>0</v>
          </cell>
        </row>
        <row r="16">
          <cell r="C16">
            <v>0</v>
          </cell>
        </row>
        <row r="17">
          <cell r="C17">
            <v>0</v>
          </cell>
        </row>
        <row r="18">
          <cell r="C18">
            <v>0</v>
          </cell>
        </row>
        <row r="19">
          <cell r="C19">
            <v>0</v>
          </cell>
        </row>
        <row r="20">
          <cell r="C20">
            <v>330</v>
          </cell>
        </row>
        <row r="21">
          <cell r="C21">
            <v>19</v>
          </cell>
        </row>
        <row r="22">
          <cell r="C22">
            <v>35</v>
          </cell>
        </row>
        <row r="23">
          <cell r="C23">
            <v>6</v>
          </cell>
        </row>
        <row r="24">
          <cell r="C24">
            <v>2</v>
          </cell>
        </row>
        <row r="25">
          <cell r="C25">
            <v>0</v>
          </cell>
        </row>
        <row r="26">
          <cell r="C26">
            <v>0</v>
          </cell>
        </row>
        <row r="27">
          <cell r="C27">
            <v>0</v>
          </cell>
        </row>
        <row r="28">
          <cell r="C28">
            <v>0</v>
          </cell>
        </row>
        <row r="29">
          <cell r="C29">
            <v>0</v>
          </cell>
        </row>
        <row r="30">
          <cell r="C30">
            <v>4</v>
          </cell>
        </row>
        <row r="31">
          <cell r="C31">
            <v>2</v>
          </cell>
        </row>
        <row r="32">
          <cell r="C32">
            <v>0</v>
          </cell>
        </row>
        <row r="33">
          <cell r="C33">
            <v>0</v>
          </cell>
        </row>
        <row r="34">
          <cell r="C34">
            <v>17</v>
          </cell>
        </row>
        <row r="35">
          <cell r="C35">
            <v>0</v>
          </cell>
        </row>
        <row r="36">
          <cell r="C36">
            <v>0</v>
          </cell>
        </row>
        <row r="37">
          <cell r="C37">
            <v>0</v>
          </cell>
        </row>
        <row r="38">
          <cell r="C38">
            <v>0</v>
          </cell>
        </row>
        <row r="39">
          <cell r="C39">
            <v>232</v>
          </cell>
        </row>
        <row r="40">
          <cell r="C40">
            <v>0</v>
          </cell>
        </row>
        <row r="41">
          <cell r="C41">
            <v>2</v>
          </cell>
        </row>
        <row r="42">
          <cell r="C42">
            <v>0</v>
          </cell>
        </row>
        <row r="43">
          <cell r="C43">
            <v>1</v>
          </cell>
        </row>
        <row r="44">
          <cell r="C44">
            <v>0</v>
          </cell>
        </row>
        <row r="45">
          <cell r="C45">
            <v>0</v>
          </cell>
        </row>
        <row r="46">
          <cell r="C46">
            <v>1</v>
          </cell>
        </row>
        <row r="47">
          <cell r="C47">
            <v>5</v>
          </cell>
        </row>
        <row r="48">
          <cell r="C48">
            <v>4</v>
          </cell>
        </row>
        <row r="49">
          <cell r="C49">
            <v>0</v>
          </cell>
        </row>
        <row r="50">
          <cell r="C50">
            <v>0</v>
          </cell>
        </row>
      </sheetData>
      <sheetData sheetId="7"/>
      <sheetData sheetId="8"/>
      <sheetData sheetId="9"/>
      <sheetData sheetId="10"/>
      <sheetData sheetId="11"/>
      <sheetData sheetId="12"/>
      <sheetData sheetId="1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581</v>
          </cell>
        </row>
        <row r="15">
          <cell r="C15">
            <v>6</v>
          </cell>
        </row>
        <row r="16">
          <cell r="C16">
            <v>1</v>
          </cell>
        </row>
        <row r="17">
          <cell r="C17">
            <v>0</v>
          </cell>
        </row>
        <row r="18">
          <cell r="C18">
            <v>0</v>
          </cell>
        </row>
        <row r="19">
          <cell r="C19">
            <v>0</v>
          </cell>
        </row>
        <row r="20">
          <cell r="C20">
            <v>580</v>
          </cell>
        </row>
        <row r="21">
          <cell r="C21">
            <v>55</v>
          </cell>
        </row>
        <row r="22">
          <cell r="C22">
            <v>106</v>
          </cell>
        </row>
        <row r="23">
          <cell r="C23">
            <v>7</v>
          </cell>
        </row>
        <row r="24">
          <cell r="C24">
            <v>0</v>
          </cell>
        </row>
        <row r="25">
          <cell r="C25">
            <v>0</v>
          </cell>
        </row>
        <row r="26">
          <cell r="C26">
            <v>2</v>
          </cell>
        </row>
        <row r="27">
          <cell r="C27">
            <v>3</v>
          </cell>
        </row>
        <row r="28">
          <cell r="C28">
            <v>3</v>
          </cell>
        </row>
        <row r="29">
          <cell r="C29">
            <v>6</v>
          </cell>
        </row>
        <row r="30">
          <cell r="C30">
            <v>2</v>
          </cell>
        </row>
        <row r="31">
          <cell r="C31">
            <v>6</v>
          </cell>
        </row>
        <row r="32">
          <cell r="C32">
            <v>0</v>
          </cell>
        </row>
        <row r="33">
          <cell r="C33">
            <v>0</v>
          </cell>
        </row>
        <row r="34">
          <cell r="C34">
            <v>16</v>
          </cell>
        </row>
        <row r="35">
          <cell r="C35">
            <v>3</v>
          </cell>
        </row>
        <row r="36">
          <cell r="C36">
            <v>21</v>
          </cell>
        </row>
        <row r="37">
          <cell r="C37">
            <v>2</v>
          </cell>
        </row>
        <row r="38">
          <cell r="C38">
            <v>48</v>
          </cell>
        </row>
        <row r="39">
          <cell r="C39">
            <v>189</v>
          </cell>
        </row>
        <row r="40">
          <cell r="C40">
            <v>10</v>
          </cell>
        </row>
        <row r="41">
          <cell r="C41">
            <v>7</v>
          </cell>
        </row>
        <row r="42">
          <cell r="C42">
            <v>2</v>
          </cell>
        </row>
        <row r="43">
          <cell r="C43">
            <v>1</v>
          </cell>
        </row>
        <row r="44">
          <cell r="C44">
            <v>75</v>
          </cell>
        </row>
        <row r="45">
          <cell r="C45">
            <v>4</v>
          </cell>
        </row>
        <row r="46">
          <cell r="C46">
            <v>4</v>
          </cell>
        </row>
        <row r="47">
          <cell r="C47">
            <v>6</v>
          </cell>
        </row>
        <row r="48">
          <cell r="C48">
            <v>3</v>
          </cell>
        </row>
        <row r="49">
          <cell r="C49">
            <v>0</v>
          </cell>
        </row>
        <row r="50">
          <cell r="C50">
            <v>0</v>
          </cell>
        </row>
      </sheetData>
      <sheetData sheetId="7"/>
      <sheetData sheetId="8"/>
      <sheetData sheetId="9"/>
      <sheetData sheetId="10"/>
      <sheetData sheetId="11"/>
      <sheetData sheetId="12"/>
      <sheetData sheetId="1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61</v>
          </cell>
        </row>
        <row r="15">
          <cell r="C15">
            <v>1</v>
          </cell>
        </row>
        <row r="16">
          <cell r="C16">
            <v>0</v>
          </cell>
        </row>
        <row r="17">
          <cell r="C17">
            <v>0</v>
          </cell>
        </row>
        <row r="18">
          <cell r="C18">
            <v>0</v>
          </cell>
        </row>
        <row r="19">
          <cell r="C19">
            <v>0</v>
          </cell>
        </row>
        <row r="20">
          <cell r="C20">
            <v>61</v>
          </cell>
        </row>
        <row r="21">
          <cell r="C21">
            <v>2</v>
          </cell>
        </row>
        <row r="22">
          <cell r="C22">
            <v>16</v>
          </cell>
        </row>
        <row r="23">
          <cell r="C23">
            <v>1</v>
          </cell>
        </row>
        <row r="24">
          <cell r="C24">
            <v>0</v>
          </cell>
        </row>
        <row r="25">
          <cell r="C25">
            <v>0</v>
          </cell>
        </row>
        <row r="26">
          <cell r="C26">
            <v>0</v>
          </cell>
        </row>
        <row r="27">
          <cell r="C27">
            <v>0</v>
          </cell>
        </row>
        <row r="28">
          <cell r="C28">
            <v>1</v>
          </cell>
        </row>
        <row r="29">
          <cell r="C29">
            <v>2</v>
          </cell>
        </row>
        <row r="30">
          <cell r="C30">
            <v>0</v>
          </cell>
        </row>
        <row r="31">
          <cell r="C31">
            <v>2</v>
          </cell>
        </row>
        <row r="32">
          <cell r="C32">
            <v>0</v>
          </cell>
        </row>
        <row r="33">
          <cell r="C33">
            <v>0</v>
          </cell>
        </row>
        <row r="34">
          <cell r="C34">
            <v>1</v>
          </cell>
        </row>
        <row r="35">
          <cell r="C35">
            <v>1</v>
          </cell>
        </row>
        <row r="36">
          <cell r="C36">
            <v>2</v>
          </cell>
        </row>
        <row r="37">
          <cell r="C37">
            <v>0</v>
          </cell>
        </row>
        <row r="38">
          <cell r="C38">
            <v>10</v>
          </cell>
        </row>
        <row r="39">
          <cell r="C39">
            <v>19</v>
          </cell>
        </row>
        <row r="40">
          <cell r="C40">
            <v>1</v>
          </cell>
        </row>
        <row r="41">
          <cell r="C41">
            <v>0</v>
          </cell>
        </row>
        <row r="42">
          <cell r="C42">
            <v>0</v>
          </cell>
        </row>
        <row r="43">
          <cell r="C43">
            <v>0</v>
          </cell>
        </row>
        <row r="44">
          <cell r="C44">
            <v>2</v>
          </cell>
        </row>
        <row r="45">
          <cell r="C45">
            <v>0</v>
          </cell>
        </row>
        <row r="46">
          <cell r="C46">
            <v>0</v>
          </cell>
        </row>
        <row r="47">
          <cell r="C47">
            <v>0</v>
          </cell>
        </row>
        <row r="48">
          <cell r="C48">
            <v>1</v>
          </cell>
        </row>
        <row r="49">
          <cell r="C49">
            <v>0</v>
          </cell>
        </row>
        <row r="50">
          <cell r="C50">
            <v>0</v>
          </cell>
        </row>
      </sheetData>
      <sheetData sheetId="7"/>
      <sheetData sheetId="8"/>
      <sheetData sheetId="9"/>
      <sheetData sheetId="10"/>
      <sheetData sheetId="11"/>
      <sheetData sheetId="12"/>
      <sheetData sheetId="1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748</v>
          </cell>
        </row>
        <row r="15">
          <cell r="C15">
            <v>2</v>
          </cell>
        </row>
        <row r="16">
          <cell r="C16">
            <v>3</v>
          </cell>
        </row>
        <row r="17">
          <cell r="C17">
            <v>0</v>
          </cell>
        </row>
        <row r="18">
          <cell r="C18">
            <v>1</v>
          </cell>
        </row>
        <row r="19">
          <cell r="C19">
            <v>0</v>
          </cell>
        </row>
        <row r="20">
          <cell r="C20">
            <v>742</v>
          </cell>
        </row>
        <row r="21">
          <cell r="C21">
            <v>67</v>
          </cell>
        </row>
        <row r="22">
          <cell r="C22">
            <v>100</v>
          </cell>
        </row>
        <row r="23">
          <cell r="C23">
            <v>23</v>
          </cell>
        </row>
        <row r="24">
          <cell r="C24">
            <v>2</v>
          </cell>
        </row>
        <row r="25">
          <cell r="C25">
            <v>3</v>
          </cell>
        </row>
        <row r="26">
          <cell r="C26">
            <v>2</v>
          </cell>
        </row>
        <row r="27">
          <cell r="C27">
            <v>2</v>
          </cell>
        </row>
        <row r="28">
          <cell r="C28">
            <v>2</v>
          </cell>
        </row>
        <row r="29">
          <cell r="C29">
            <v>4</v>
          </cell>
        </row>
        <row r="30">
          <cell r="C30">
            <v>0</v>
          </cell>
        </row>
        <row r="31">
          <cell r="C31">
            <v>23</v>
          </cell>
        </row>
        <row r="32">
          <cell r="C32">
            <v>1</v>
          </cell>
        </row>
        <row r="33">
          <cell r="C33">
            <v>0</v>
          </cell>
        </row>
        <row r="34">
          <cell r="C34">
            <v>55</v>
          </cell>
        </row>
        <row r="35">
          <cell r="C35">
            <v>4</v>
          </cell>
        </row>
        <row r="36">
          <cell r="C36">
            <v>25</v>
          </cell>
        </row>
        <row r="37">
          <cell r="C37">
            <v>1</v>
          </cell>
        </row>
        <row r="38">
          <cell r="C38">
            <v>28</v>
          </cell>
        </row>
        <row r="39">
          <cell r="C39">
            <v>230</v>
          </cell>
        </row>
        <row r="40">
          <cell r="C40">
            <v>0</v>
          </cell>
        </row>
        <row r="41">
          <cell r="C41">
            <v>3</v>
          </cell>
        </row>
        <row r="42">
          <cell r="C42">
            <v>0</v>
          </cell>
        </row>
        <row r="43">
          <cell r="C43">
            <v>0</v>
          </cell>
        </row>
        <row r="44">
          <cell r="C44">
            <v>69</v>
          </cell>
        </row>
        <row r="45">
          <cell r="C45">
            <v>4</v>
          </cell>
        </row>
        <row r="46">
          <cell r="C46">
            <v>3</v>
          </cell>
        </row>
        <row r="47">
          <cell r="C47">
            <v>13</v>
          </cell>
        </row>
        <row r="48">
          <cell r="C48">
            <v>15</v>
          </cell>
        </row>
        <row r="49">
          <cell r="C49">
            <v>1</v>
          </cell>
        </row>
        <row r="50">
          <cell r="C50">
            <v>0</v>
          </cell>
        </row>
      </sheetData>
      <sheetData sheetId="7"/>
      <sheetData sheetId="8"/>
      <sheetData sheetId="9"/>
      <sheetData sheetId="10"/>
      <sheetData sheetId="11"/>
      <sheetData sheetId="12"/>
      <sheetData sheetId="13"/>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118</v>
          </cell>
        </row>
        <row r="15">
          <cell r="C15">
            <v>1</v>
          </cell>
        </row>
        <row r="16">
          <cell r="C16">
            <v>0</v>
          </cell>
        </row>
        <row r="17">
          <cell r="C17">
            <v>0</v>
          </cell>
        </row>
        <row r="18">
          <cell r="C18">
            <v>0</v>
          </cell>
        </row>
        <row r="19">
          <cell r="C19">
            <v>0</v>
          </cell>
        </row>
        <row r="20">
          <cell r="C20">
            <v>117</v>
          </cell>
        </row>
        <row r="21">
          <cell r="C21">
            <v>4</v>
          </cell>
        </row>
        <row r="22">
          <cell r="C22">
            <v>5</v>
          </cell>
        </row>
        <row r="23">
          <cell r="C23">
            <v>1</v>
          </cell>
        </row>
        <row r="24">
          <cell r="C24">
            <v>0</v>
          </cell>
        </row>
        <row r="25">
          <cell r="C25">
            <v>1</v>
          </cell>
        </row>
        <row r="26">
          <cell r="C26">
            <v>1</v>
          </cell>
        </row>
        <row r="27">
          <cell r="C27">
            <v>0</v>
          </cell>
        </row>
        <row r="28">
          <cell r="C28">
            <v>0</v>
          </cell>
        </row>
        <row r="29">
          <cell r="C29">
            <v>1</v>
          </cell>
        </row>
        <row r="30">
          <cell r="C30">
            <v>0</v>
          </cell>
        </row>
        <row r="31">
          <cell r="C31">
            <v>3</v>
          </cell>
        </row>
        <row r="32">
          <cell r="C32">
            <v>1</v>
          </cell>
        </row>
        <row r="33">
          <cell r="C33">
            <v>0</v>
          </cell>
        </row>
        <row r="34">
          <cell r="C34">
            <v>2</v>
          </cell>
        </row>
        <row r="35">
          <cell r="C35">
            <v>1</v>
          </cell>
        </row>
        <row r="36">
          <cell r="C36">
            <v>0</v>
          </cell>
        </row>
        <row r="37">
          <cell r="C37">
            <v>0</v>
          </cell>
        </row>
        <row r="38">
          <cell r="C38">
            <v>7</v>
          </cell>
        </row>
        <row r="39">
          <cell r="C39">
            <v>73</v>
          </cell>
        </row>
        <row r="40">
          <cell r="C40">
            <v>0</v>
          </cell>
        </row>
        <row r="41">
          <cell r="C41">
            <v>3</v>
          </cell>
        </row>
        <row r="42">
          <cell r="C42">
            <v>0</v>
          </cell>
        </row>
        <row r="43">
          <cell r="C43">
            <v>0</v>
          </cell>
        </row>
        <row r="44">
          <cell r="C44">
            <v>5</v>
          </cell>
        </row>
        <row r="45">
          <cell r="C45">
            <v>0</v>
          </cell>
        </row>
        <row r="46">
          <cell r="C46">
            <v>0</v>
          </cell>
        </row>
        <row r="47">
          <cell r="C47">
            <v>4</v>
          </cell>
        </row>
        <row r="48">
          <cell r="C48">
            <v>1</v>
          </cell>
        </row>
        <row r="49">
          <cell r="C49">
            <v>0</v>
          </cell>
        </row>
        <row r="50">
          <cell r="C50">
            <v>0</v>
          </cell>
        </row>
      </sheetData>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row r="71">
          <cell r="B71">
            <v>66396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367</v>
          </cell>
        </row>
        <row r="15">
          <cell r="C15">
            <v>8</v>
          </cell>
        </row>
        <row r="16">
          <cell r="C16">
            <v>1</v>
          </cell>
        </row>
        <row r="17">
          <cell r="C17">
            <v>0</v>
          </cell>
        </row>
        <row r="18">
          <cell r="C18">
            <v>5</v>
          </cell>
        </row>
        <row r="19">
          <cell r="C19">
            <v>1</v>
          </cell>
        </row>
        <row r="20">
          <cell r="C20">
            <v>367</v>
          </cell>
        </row>
        <row r="21">
          <cell r="C21">
            <v>30</v>
          </cell>
        </row>
        <row r="22">
          <cell r="C22">
            <v>67</v>
          </cell>
        </row>
        <row r="23">
          <cell r="C23">
            <v>12</v>
          </cell>
        </row>
        <row r="24">
          <cell r="C24">
            <v>0</v>
          </cell>
        </row>
        <row r="25">
          <cell r="C25">
            <v>0</v>
          </cell>
        </row>
        <row r="26">
          <cell r="C26">
            <v>3</v>
          </cell>
        </row>
        <row r="27">
          <cell r="C27">
            <v>1</v>
          </cell>
        </row>
        <row r="28">
          <cell r="C28">
            <v>4</v>
          </cell>
        </row>
        <row r="29">
          <cell r="C29">
            <v>0</v>
          </cell>
        </row>
        <row r="30">
          <cell r="C30">
            <v>0</v>
          </cell>
        </row>
        <row r="31">
          <cell r="C31">
            <v>6</v>
          </cell>
        </row>
        <row r="32">
          <cell r="C32">
            <v>0</v>
          </cell>
        </row>
        <row r="33">
          <cell r="C33">
            <v>4</v>
          </cell>
        </row>
        <row r="34">
          <cell r="C34">
            <v>15</v>
          </cell>
        </row>
        <row r="35">
          <cell r="C35">
            <v>0</v>
          </cell>
        </row>
        <row r="36">
          <cell r="C36">
            <v>6</v>
          </cell>
        </row>
        <row r="37">
          <cell r="C37">
            <v>0</v>
          </cell>
        </row>
        <row r="38">
          <cell r="C38">
            <v>1</v>
          </cell>
        </row>
        <row r="39">
          <cell r="C39">
            <v>119</v>
          </cell>
        </row>
        <row r="40">
          <cell r="C40">
            <v>1</v>
          </cell>
        </row>
        <row r="41">
          <cell r="C41">
            <v>3</v>
          </cell>
        </row>
        <row r="42">
          <cell r="C42">
            <v>3</v>
          </cell>
        </row>
        <row r="43">
          <cell r="C43">
            <v>0</v>
          </cell>
        </row>
        <row r="44">
          <cell r="C44">
            <v>0</v>
          </cell>
        </row>
        <row r="45">
          <cell r="C45">
            <v>0</v>
          </cell>
        </row>
        <row r="46">
          <cell r="C46">
            <v>1</v>
          </cell>
        </row>
        <row r="47">
          <cell r="C47">
            <v>0</v>
          </cell>
        </row>
        <row r="48">
          <cell r="C48">
            <v>0</v>
          </cell>
        </row>
        <row r="49">
          <cell r="C49">
            <v>0</v>
          </cell>
        </row>
        <row r="50">
          <cell r="C50">
            <v>0</v>
          </cell>
        </row>
      </sheetData>
      <sheetData sheetId="7"/>
      <sheetData sheetId="8"/>
      <sheetData sheetId="9"/>
      <sheetData sheetId="10"/>
      <sheetData sheetId="11"/>
      <sheetData sheetId="12"/>
      <sheetData sheetId="1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892</v>
          </cell>
        </row>
        <row r="15">
          <cell r="C15">
            <v>13</v>
          </cell>
        </row>
        <row r="16">
          <cell r="C16">
            <v>5</v>
          </cell>
        </row>
        <row r="17">
          <cell r="C17">
            <v>2</v>
          </cell>
        </row>
        <row r="18">
          <cell r="C18">
            <v>0</v>
          </cell>
        </row>
        <row r="19">
          <cell r="C19">
            <v>0</v>
          </cell>
        </row>
        <row r="20">
          <cell r="C20">
            <v>884</v>
          </cell>
        </row>
        <row r="21">
          <cell r="C21">
            <v>74</v>
          </cell>
        </row>
        <row r="22">
          <cell r="C22">
            <v>154</v>
          </cell>
        </row>
        <row r="23">
          <cell r="C23">
            <v>36</v>
          </cell>
        </row>
        <row r="24">
          <cell r="C24">
            <v>3</v>
          </cell>
        </row>
        <row r="25">
          <cell r="C25">
            <v>3</v>
          </cell>
        </row>
        <row r="26">
          <cell r="C26">
            <v>4</v>
          </cell>
        </row>
        <row r="27">
          <cell r="C27">
            <v>1</v>
          </cell>
        </row>
        <row r="28">
          <cell r="C28">
            <v>3</v>
          </cell>
        </row>
        <row r="29">
          <cell r="C29">
            <v>4</v>
          </cell>
        </row>
        <row r="30">
          <cell r="C30">
            <v>1</v>
          </cell>
        </row>
        <row r="31">
          <cell r="C31">
            <v>34</v>
          </cell>
        </row>
        <row r="32">
          <cell r="C32">
            <v>4</v>
          </cell>
        </row>
        <row r="33">
          <cell r="C33">
            <v>0</v>
          </cell>
        </row>
        <row r="34">
          <cell r="C34">
            <v>20</v>
          </cell>
        </row>
        <row r="35">
          <cell r="C35">
            <v>27</v>
          </cell>
        </row>
        <row r="36">
          <cell r="C36">
            <v>37</v>
          </cell>
        </row>
        <row r="37">
          <cell r="C37">
            <v>4</v>
          </cell>
        </row>
        <row r="38">
          <cell r="C38">
            <v>60</v>
          </cell>
        </row>
        <row r="39">
          <cell r="C39">
            <v>301</v>
          </cell>
        </row>
        <row r="40">
          <cell r="C40">
            <v>4</v>
          </cell>
        </row>
        <row r="41">
          <cell r="C41">
            <v>39</v>
          </cell>
        </row>
        <row r="42">
          <cell r="C42">
            <v>35</v>
          </cell>
        </row>
        <row r="43">
          <cell r="C43">
            <v>0</v>
          </cell>
        </row>
        <row r="44">
          <cell r="C44">
            <v>132</v>
          </cell>
        </row>
        <row r="45">
          <cell r="C45">
            <v>7</v>
          </cell>
        </row>
        <row r="46">
          <cell r="C46">
            <v>4</v>
          </cell>
        </row>
        <row r="47">
          <cell r="C47">
            <v>19</v>
          </cell>
        </row>
        <row r="48">
          <cell r="C48">
            <v>7</v>
          </cell>
        </row>
        <row r="49">
          <cell r="C49">
            <v>0</v>
          </cell>
        </row>
        <row r="50">
          <cell r="C50">
            <v>0</v>
          </cell>
        </row>
      </sheetData>
      <sheetData sheetId="7"/>
      <sheetData sheetId="8"/>
      <sheetData sheetId="9"/>
      <sheetData sheetId="10"/>
      <sheetData sheetId="11"/>
      <sheetData sheetId="12"/>
      <sheetData sheetId="1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493</v>
          </cell>
        </row>
        <row r="15">
          <cell r="C15">
            <v>15</v>
          </cell>
        </row>
        <row r="16">
          <cell r="C16">
            <v>0</v>
          </cell>
        </row>
        <row r="17">
          <cell r="C17">
            <v>1</v>
          </cell>
        </row>
        <row r="18">
          <cell r="C18">
            <v>2</v>
          </cell>
        </row>
        <row r="19">
          <cell r="C19">
            <v>3</v>
          </cell>
        </row>
        <row r="20">
          <cell r="C20">
            <v>453</v>
          </cell>
        </row>
        <row r="21">
          <cell r="C21">
            <v>33</v>
          </cell>
        </row>
        <row r="22">
          <cell r="C22">
            <v>58</v>
          </cell>
        </row>
        <row r="23">
          <cell r="C23">
            <v>13</v>
          </cell>
        </row>
        <row r="24">
          <cell r="C24">
            <v>0</v>
          </cell>
        </row>
        <row r="25">
          <cell r="C25">
            <v>0</v>
          </cell>
        </row>
        <row r="26">
          <cell r="C26">
            <v>0</v>
          </cell>
        </row>
        <row r="27">
          <cell r="C27">
            <v>0</v>
          </cell>
        </row>
        <row r="28">
          <cell r="C28">
            <v>0</v>
          </cell>
        </row>
        <row r="29">
          <cell r="C29">
            <v>2</v>
          </cell>
        </row>
        <row r="30">
          <cell r="C30">
            <v>2</v>
          </cell>
        </row>
        <row r="31">
          <cell r="C31">
            <v>31</v>
          </cell>
        </row>
        <row r="32">
          <cell r="C32">
            <v>2</v>
          </cell>
        </row>
        <row r="33">
          <cell r="C33">
            <v>0</v>
          </cell>
        </row>
        <row r="34">
          <cell r="C34">
            <v>10</v>
          </cell>
        </row>
        <row r="35">
          <cell r="C35">
            <v>2</v>
          </cell>
        </row>
        <row r="36">
          <cell r="C36">
            <v>35</v>
          </cell>
        </row>
        <row r="37">
          <cell r="C37">
            <v>0</v>
          </cell>
        </row>
        <row r="38">
          <cell r="C38">
            <v>17</v>
          </cell>
        </row>
        <row r="39">
          <cell r="C39">
            <v>148</v>
          </cell>
        </row>
        <row r="40">
          <cell r="C40">
            <v>21</v>
          </cell>
        </row>
        <row r="41">
          <cell r="C41">
            <v>19</v>
          </cell>
        </row>
        <row r="42">
          <cell r="C42">
            <v>12</v>
          </cell>
        </row>
        <row r="43">
          <cell r="C43">
            <v>0</v>
          </cell>
        </row>
        <row r="44">
          <cell r="C44">
            <v>3</v>
          </cell>
        </row>
        <row r="45">
          <cell r="C45">
            <v>1</v>
          </cell>
        </row>
        <row r="46">
          <cell r="C46">
            <v>7</v>
          </cell>
        </row>
        <row r="47">
          <cell r="C47">
            <v>38</v>
          </cell>
        </row>
        <row r="48">
          <cell r="C48">
            <v>24</v>
          </cell>
        </row>
        <row r="49">
          <cell r="C49">
            <v>8</v>
          </cell>
        </row>
        <row r="50">
          <cell r="C50">
            <v>0</v>
          </cell>
        </row>
      </sheetData>
      <sheetData sheetId="7"/>
      <sheetData sheetId="8"/>
      <sheetData sheetId="9"/>
      <sheetData sheetId="10"/>
      <sheetData sheetId="11"/>
      <sheetData sheetId="12"/>
      <sheetData sheetId="1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13">
          <cell r="C13">
            <v>75</v>
          </cell>
        </row>
        <row r="15">
          <cell r="C15">
            <v>0</v>
          </cell>
        </row>
        <row r="16">
          <cell r="C16">
            <v>0</v>
          </cell>
        </row>
        <row r="17">
          <cell r="C17">
            <v>0</v>
          </cell>
        </row>
        <row r="18">
          <cell r="C18">
            <v>0</v>
          </cell>
        </row>
        <row r="19">
          <cell r="C19">
            <v>0</v>
          </cell>
        </row>
        <row r="20">
          <cell r="C20">
            <v>75</v>
          </cell>
        </row>
        <row r="21">
          <cell r="C21">
            <v>2</v>
          </cell>
        </row>
        <row r="22">
          <cell r="C22">
            <v>6</v>
          </cell>
        </row>
        <row r="23">
          <cell r="C23">
            <v>0</v>
          </cell>
        </row>
        <row r="24">
          <cell r="C24">
            <v>0</v>
          </cell>
        </row>
        <row r="25">
          <cell r="C25">
            <v>0</v>
          </cell>
        </row>
        <row r="26">
          <cell r="C26">
            <v>0</v>
          </cell>
        </row>
        <row r="27">
          <cell r="C27">
            <v>0</v>
          </cell>
        </row>
        <row r="28">
          <cell r="C28">
            <v>0</v>
          </cell>
        </row>
        <row r="29">
          <cell r="C29">
            <v>0</v>
          </cell>
        </row>
        <row r="30">
          <cell r="C30">
            <v>0</v>
          </cell>
        </row>
        <row r="31">
          <cell r="C31">
            <v>1</v>
          </cell>
        </row>
        <row r="32">
          <cell r="C32">
            <v>0</v>
          </cell>
        </row>
        <row r="33">
          <cell r="C33">
            <v>0</v>
          </cell>
        </row>
        <row r="34">
          <cell r="C34">
            <v>0</v>
          </cell>
        </row>
        <row r="35">
          <cell r="C35">
            <v>1</v>
          </cell>
        </row>
        <row r="36">
          <cell r="C36">
            <v>2</v>
          </cell>
        </row>
        <row r="37">
          <cell r="C37">
            <v>0</v>
          </cell>
        </row>
        <row r="38">
          <cell r="C38">
            <v>3</v>
          </cell>
        </row>
        <row r="39">
          <cell r="C39">
            <v>43</v>
          </cell>
        </row>
        <row r="40">
          <cell r="C40">
            <v>4</v>
          </cell>
        </row>
        <row r="41">
          <cell r="C41">
            <v>3</v>
          </cell>
        </row>
        <row r="42">
          <cell r="C42">
            <v>0</v>
          </cell>
        </row>
        <row r="43">
          <cell r="C43">
            <v>0</v>
          </cell>
        </row>
        <row r="44">
          <cell r="C44">
            <v>0</v>
          </cell>
        </row>
        <row r="45">
          <cell r="C45">
            <v>0</v>
          </cell>
        </row>
        <row r="46">
          <cell r="C46">
            <v>0</v>
          </cell>
        </row>
        <row r="47">
          <cell r="C47">
            <v>1</v>
          </cell>
        </row>
        <row r="48">
          <cell r="C48">
            <v>4</v>
          </cell>
        </row>
        <row r="49">
          <cell r="C49">
            <v>0</v>
          </cell>
        </row>
        <row r="50">
          <cell r="C50">
            <v>0</v>
          </cell>
        </row>
      </sheetData>
      <sheetData sheetId="7"/>
      <sheetData sheetId="8"/>
      <sheetData sheetId="9"/>
      <sheetData sheetId="10"/>
      <sheetData sheetId="11"/>
      <sheetData sheetId="12"/>
      <sheetData sheetId="1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69">
          <cell r="C69" t="str">
            <v>Ambos
sexos</v>
          </cell>
        </row>
        <row r="71">
          <cell r="C71"/>
        </row>
        <row r="72">
          <cell r="C72">
            <v>0</v>
          </cell>
        </row>
        <row r="73">
          <cell r="C73">
            <v>0</v>
          </cell>
        </row>
        <row r="74">
          <cell r="C74">
            <v>0</v>
          </cell>
        </row>
        <row r="75">
          <cell r="C75">
            <v>0</v>
          </cell>
        </row>
        <row r="76">
          <cell r="C76">
            <v>0</v>
          </cell>
        </row>
        <row r="77">
          <cell r="C77">
            <v>1230</v>
          </cell>
        </row>
        <row r="78">
          <cell r="C78">
            <v>276</v>
          </cell>
        </row>
        <row r="79">
          <cell r="C79">
            <v>11</v>
          </cell>
        </row>
        <row r="80">
          <cell r="C80">
            <v>0</v>
          </cell>
        </row>
        <row r="81">
          <cell r="C81">
            <v>0</v>
          </cell>
        </row>
        <row r="82">
          <cell r="C82">
            <v>134</v>
          </cell>
        </row>
        <row r="83">
          <cell r="C83">
            <v>4</v>
          </cell>
        </row>
        <row r="84">
          <cell r="C84">
            <v>11</v>
          </cell>
        </row>
        <row r="85">
          <cell r="C85">
            <v>1</v>
          </cell>
        </row>
        <row r="86">
          <cell r="C86">
            <v>22</v>
          </cell>
        </row>
        <row r="87">
          <cell r="C87">
            <v>20</v>
          </cell>
        </row>
        <row r="88">
          <cell r="C88">
            <v>32</v>
          </cell>
        </row>
        <row r="89">
          <cell r="C89">
            <v>13</v>
          </cell>
        </row>
        <row r="90">
          <cell r="C90">
            <v>3</v>
          </cell>
        </row>
        <row r="91">
          <cell r="C91">
            <v>18</v>
          </cell>
        </row>
        <row r="92">
          <cell r="C92">
            <v>18</v>
          </cell>
        </row>
        <row r="93">
          <cell r="C93">
            <v>4</v>
          </cell>
        </row>
        <row r="94">
          <cell r="C94">
            <v>3</v>
          </cell>
        </row>
        <row r="95">
          <cell r="C95">
            <v>37</v>
          </cell>
        </row>
        <row r="96">
          <cell r="C96">
            <v>44</v>
          </cell>
        </row>
        <row r="97">
          <cell r="C97">
            <v>5</v>
          </cell>
        </row>
        <row r="98">
          <cell r="C98">
            <v>10</v>
          </cell>
        </row>
        <row r="99">
          <cell r="C99">
            <v>1</v>
          </cell>
        </row>
        <row r="100">
          <cell r="C100">
            <v>159</v>
          </cell>
        </row>
        <row r="101">
          <cell r="C101">
            <v>31</v>
          </cell>
        </row>
        <row r="102">
          <cell r="C102">
            <v>10</v>
          </cell>
        </row>
        <row r="103">
          <cell r="C103">
            <v>61</v>
          </cell>
        </row>
        <row r="104">
          <cell r="C104">
            <v>212</v>
          </cell>
        </row>
        <row r="105">
          <cell r="C105">
            <v>43</v>
          </cell>
        </row>
        <row r="106">
          <cell r="C106">
            <v>16</v>
          </cell>
        </row>
        <row r="107">
          <cell r="C107">
            <v>0</v>
          </cell>
        </row>
        <row r="108">
          <cell r="C108">
            <v>0</v>
          </cell>
        </row>
        <row r="109">
          <cell r="C109">
            <v>20</v>
          </cell>
        </row>
      </sheetData>
      <sheetData sheetId="7"/>
      <sheetData sheetId="8"/>
      <sheetData sheetId="9"/>
      <sheetData sheetId="10"/>
      <sheetData sheetId="11"/>
      <sheetData sheetId="12"/>
      <sheetData sheetId="13"/>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l"/>
      <sheetName val="MACROS"/>
    </sheetNames>
    <sheetDataSet>
      <sheetData sheetId="0"/>
      <sheetData sheetId="1"/>
      <sheetData sheetId="2"/>
      <sheetData sheetId="3"/>
      <sheetData sheetId="4"/>
      <sheetData sheetId="5"/>
      <sheetData sheetId="6">
        <row r="69">
          <cell r="C69" t="str">
            <v>Ambos
sexos</v>
          </cell>
        </row>
        <row r="71">
          <cell r="C71"/>
        </row>
        <row r="72">
          <cell r="C72">
            <v>0</v>
          </cell>
        </row>
        <row r="73">
          <cell r="C73">
            <v>0</v>
          </cell>
        </row>
        <row r="74">
          <cell r="C74">
            <v>0</v>
          </cell>
        </row>
        <row r="75">
          <cell r="C75">
            <v>0</v>
          </cell>
        </row>
        <row r="76">
          <cell r="C76">
            <v>0</v>
          </cell>
        </row>
        <row r="77">
          <cell r="C77">
            <v>1193</v>
          </cell>
        </row>
        <row r="78">
          <cell r="C78">
            <v>189</v>
          </cell>
        </row>
        <row r="79">
          <cell r="C79">
            <v>80</v>
          </cell>
        </row>
        <row r="80">
          <cell r="C80">
            <v>0</v>
          </cell>
        </row>
        <row r="81">
          <cell r="C81">
            <v>0</v>
          </cell>
        </row>
        <row r="82">
          <cell r="C82">
            <v>130</v>
          </cell>
        </row>
        <row r="83">
          <cell r="C83">
            <v>8</v>
          </cell>
        </row>
        <row r="84">
          <cell r="C84">
            <v>0</v>
          </cell>
        </row>
        <row r="85">
          <cell r="C85">
            <v>31</v>
          </cell>
        </row>
        <row r="86">
          <cell r="C86">
            <v>0</v>
          </cell>
        </row>
        <row r="87">
          <cell r="C87">
            <v>0</v>
          </cell>
        </row>
        <row r="88">
          <cell r="C88">
            <v>1</v>
          </cell>
        </row>
        <row r="89">
          <cell r="C89">
            <v>22</v>
          </cell>
        </row>
        <row r="90">
          <cell r="C90">
            <v>0</v>
          </cell>
        </row>
        <row r="91">
          <cell r="C91">
            <v>66</v>
          </cell>
        </row>
        <row r="92">
          <cell r="C92">
            <v>21</v>
          </cell>
        </row>
        <row r="93">
          <cell r="C93">
            <v>11</v>
          </cell>
        </row>
        <row r="94">
          <cell r="C94">
            <v>2</v>
          </cell>
        </row>
        <row r="95">
          <cell r="C95">
            <v>8</v>
          </cell>
        </row>
        <row r="96">
          <cell r="C96">
            <v>78</v>
          </cell>
        </row>
        <row r="97">
          <cell r="C97">
            <v>13</v>
          </cell>
        </row>
        <row r="98">
          <cell r="C98">
            <v>8</v>
          </cell>
        </row>
        <row r="99">
          <cell r="C99">
            <v>7</v>
          </cell>
        </row>
        <row r="100">
          <cell r="C100">
            <v>97</v>
          </cell>
        </row>
        <row r="101">
          <cell r="C101">
            <v>25</v>
          </cell>
        </row>
        <row r="102">
          <cell r="C102">
            <v>5</v>
          </cell>
        </row>
        <row r="103">
          <cell r="C103">
            <v>55</v>
          </cell>
        </row>
        <row r="104">
          <cell r="C104">
            <v>138</v>
          </cell>
        </row>
        <row r="105">
          <cell r="C105">
            <v>34</v>
          </cell>
        </row>
        <row r="106">
          <cell r="C106">
            <v>6</v>
          </cell>
        </row>
        <row r="107">
          <cell r="C107">
            <v>1</v>
          </cell>
        </row>
        <row r="108">
          <cell r="C108">
            <v>0</v>
          </cell>
        </row>
        <row r="109">
          <cell r="C109">
            <v>9</v>
          </cell>
        </row>
      </sheetData>
      <sheetData sheetId="7"/>
      <sheetData sheetId="8"/>
      <sheetData sheetId="9"/>
      <sheetData sheetId="10"/>
      <sheetData sheetId="11"/>
      <sheetData sheetId="12"/>
      <sheetData sheetId="1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Contro"/>
      <sheetName val="MACROS"/>
    </sheetNames>
    <sheetDataSet>
      <sheetData sheetId="0"/>
      <sheetData sheetId="1"/>
      <sheetData sheetId="2"/>
      <sheetData sheetId="3"/>
      <sheetData sheetId="4"/>
      <sheetData sheetId="5"/>
      <sheetData sheetId="6"/>
      <sheetData sheetId="7"/>
      <sheetData sheetId="8"/>
      <sheetData sheetId="9">
        <row r="21">
          <cell r="G21">
            <v>7</v>
          </cell>
          <cell r="H21">
            <v>5</v>
          </cell>
          <cell r="I21">
            <v>2</v>
          </cell>
          <cell r="J21">
            <v>5</v>
          </cell>
          <cell r="K21">
            <v>8</v>
          </cell>
          <cell r="L21">
            <v>9</v>
          </cell>
          <cell r="M21">
            <v>10</v>
          </cell>
          <cell r="N21">
            <v>7</v>
          </cell>
          <cell r="O21">
            <v>13</v>
          </cell>
          <cell r="P21">
            <v>12</v>
          </cell>
          <cell r="Q21">
            <v>8</v>
          </cell>
          <cell r="R21">
            <v>17</v>
          </cell>
          <cell r="S21">
            <v>9</v>
          </cell>
          <cell r="T21">
            <v>8</v>
          </cell>
          <cell r="U21">
            <v>10</v>
          </cell>
          <cell r="V21">
            <v>16</v>
          </cell>
          <cell r="W21">
            <v>30</v>
          </cell>
          <cell r="X21">
            <v>17</v>
          </cell>
          <cell r="Y21">
            <v>35</v>
          </cell>
          <cell r="Z21">
            <v>32</v>
          </cell>
          <cell r="AA21">
            <v>14</v>
          </cell>
          <cell r="AB21">
            <v>34</v>
          </cell>
        </row>
        <row r="22">
          <cell r="G22">
            <v>0</v>
          </cell>
          <cell r="H22">
            <v>0</v>
          </cell>
          <cell r="I22">
            <v>0</v>
          </cell>
          <cell r="J22">
            <v>0</v>
          </cell>
          <cell r="K22">
            <v>1</v>
          </cell>
          <cell r="L22">
            <v>0</v>
          </cell>
          <cell r="M22">
            <v>2</v>
          </cell>
          <cell r="N22">
            <v>3</v>
          </cell>
          <cell r="O22">
            <v>0</v>
          </cell>
          <cell r="P22">
            <v>2</v>
          </cell>
          <cell r="Q22">
            <v>1</v>
          </cell>
          <cell r="R22">
            <v>7</v>
          </cell>
          <cell r="S22">
            <v>7</v>
          </cell>
          <cell r="T22">
            <v>7</v>
          </cell>
          <cell r="U22">
            <v>9</v>
          </cell>
          <cell r="V22">
            <v>21</v>
          </cell>
          <cell r="W22">
            <v>39</v>
          </cell>
          <cell r="X22">
            <v>22</v>
          </cell>
          <cell r="Y22">
            <v>42</v>
          </cell>
          <cell r="Z22">
            <v>44</v>
          </cell>
          <cell r="AA22">
            <v>10</v>
          </cell>
          <cell r="AB22">
            <v>49</v>
          </cell>
        </row>
        <row r="23">
          <cell r="G23">
            <v>0</v>
          </cell>
          <cell r="H23">
            <v>0</v>
          </cell>
          <cell r="I23">
            <v>0</v>
          </cell>
          <cell r="J23">
            <v>0</v>
          </cell>
          <cell r="K23">
            <v>5</v>
          </cell>
          <cell r="L23">
            <v>3</v>
          </cell>
          <cell r="M23">
            <v>5</v>
          </cell>
          <cell r="N23">
            <v>4</v>
          </cell>
          <cell r="O23">
            <v>6</v>
          </cell>
          <cell r="P23">
            <v>10</v>
          </cell>
          <cell r="Q23">
            <v>3</v>
          </cell>
          <cell r="R23">
            <v>7</v>
          </cell>
          <cell r="S23">
            <v>3</v>
          </cell>
          <cell r="T23">
            <v>6</v>
          </cell>
          <cell r="U23">
            <v>6</v>
          </cell>
          <cell r="V23">
            <v>8</v>
          </cell>
          <cell r="W23">
            <v>14</v>
          </cell>
          <cell r="X23">
            <v>11</v>
          </cell>
          <cell r="Y23">
            <v>24</v>
          </cell>
          <cell r="Z23">
            <v>26</v>
          </cell>
          <cell r="AA23">
            <v>5</v>
          </cell>
          <cell r="AB23">
            <v>14</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row>
        <row r="25">
          <cell r="G25">
            <v>0</v>
          </cell>
          <cell r="H25">
            <v>0</v>
          </cell>
          <cell r="I25">
            <v>0</v>
          </cell>
          <cell r="J25">
            <v>0</v>
          </cell>
          <cell r="K25">
            <v>0</v>
          </cell>
          <cell r="L25">
            <v>0</v>
          </cell>
          <cell r="M25">
            <v>0</v>
          </cell>
          <cell r="N25">
            <v>0</v>
          </cell>
          <cell r="O25">
            <v>0</v>
          </cell>
          <cell r="P25">
            <v>1</v>
          </cell>
          <cell r="Q25">
            <v>0</v>
          </cell>
          <cell r="R25">
            <v>5</v>
          </cell>
          <cell r="S25">
            <v>2</v>
          </cell>
          <cell r="T25">
            <v>1</v>
          </cell>
          <cell r="U25">
            <v>1</v>
          </cell>
          <cell r="V25">
            <v>4</v>
          </cell>
          <cell r="W25">
            <v>10</v>
          </cell>
          <cell r="X25">
            <v>4</v>
          </cell>
          <cell r="Y25">
            <v>18</v>
          </cell>
          <cell r="Z25">
            <v>15</v>
          </cell>
          <cell r="AA25">
            <v>8</v>
          </cell>
          <cell r="AB25">
            <v>17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sheetData sheetId="8">
        <row r="20">
          <cell r="E20">
            <v>1046</v>
          </cell>
          <cell r="F20">
            <v>1009</v>
          </cell>
          <cell r="G20">
            <v>1316</v>
          </cell>
          <cell r="H20">
            <v>1418</v>
          </cell>
          <cell r="I20">
            <v>1073</v>
          </cell>
          <cell r="J20">
            <v>1167</v>
          </cell>
          <cell r="K20">
            <v>892</v>
          </cell>
          <cell r="L20">
            <v>1131</v>
          </cell>
          <cell r="M20">
            <v>789</v>
          </cell>
          <cell r="N20">
            <v>1187</v>
          </cell>
          <cell r="O20">
            <v>796</v>
          </cell>
          <cell r="P20">
            <v>1140</v>
          </cell>
          <cell r="Q20">
            <v>744</v>
          </cell>
          <cell r="R20">
            <v>1057</v>
          </cell>
          <cell r="S20">
            <v>551</v>
          </cell>
          <cell r="T20">
            <v>892</v>
          </cell>
          <cell r="U20">
            <v>561</v>
          </cell>
          <cell r="V20">
            <v>928</v>
          </cell>
          <cell r="W20">
            <v>509</v>
          </cell>
          <cell r="X20">
            <v>927</v>
          </cell>
          <cell r="Y20">
            <v>481</v>
          </cell>
          <cell r="Z20">
            <v>875</v>
          </cell>
          <cell r="AA20">
            <v>533</v>
          </cell>
          <cell r="AB20">
            <v>876</v>
          </cell>
          <cell r="AC20">
            <v>446</v>
          </cell>
          <cell r="AD20">
            <v>808</v>
          </cell>
          <cell r="AE20">
            <v>338</v>
          </cell>
          <cell r="AF20">
            <v>628</v>
          </cell>
          <cell r="AG20">
            <v>329</v>
          </cell>
          <cell r="AH20">
            <v>503</v>
          </cell>
          <cell r="AI20">
            <v>246</v>
          </cell>
          <cell r="AJ20">
            <v>407</v>
          </cell>
          <cell r="AK20">
            <v>274</v>
          </cell>
          <cell r="AL20">
            <v>468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sheetData sheetId="8">
        <row r="20">
          <cell r="E20">
            <v>1445</v>
          </cell>
          <cell r="F20">
            <v>1393</v>
          </cell>
          <cell r="G20">
            <v>1385</v>
          </cell>
          <cell r="H20">
            <v>1508</v>
          </cell>
          <cell r="I20">
            <v>1049</v>
          </cell>
          <cell r="J20">
            <v>993</v>
          </cell>
          <cell r="K20">
            <v>787</v>
          </cell>
          <cell r="L20">
            <v>1107</v>
          </cell>
          <cell r="M20">
            <v>583</v>
          </cell>
          <cell r="N20">
            <v>920</v>
          </cell>
          <cell r="O20">
            <v>598</v>
          </cell>
          <cell r="P20">
            <v>841</v>
          </cell>
          <cell r="Q20">
            <v>568</v>
          </cell>
          <cell r="R20">
            <v>906</v>
          </cell>
          <cell r="S20">
            <v>538</v>
          </cell>
          <cell r="T20">
            <v>823</v>
          </cell>
          <cell r="U20">
            <v>472</v>
          </cell>
          <cell r="V20">
            <v>838</v>
          </cell>
          <cell r="W20">
            <v>420</v>
          </cell>
          <cell r="X20">
            <v>723</v>
          </cell>
          <cell r="Y20">
            <v>388</v>
          </cell>
          <cell r="Z20">
            <v>657</v>
          </cell>
          <cell r="AA20">
            <v>366</v>
          </cell>
          <cell r="AB20">
            <v>720</v>
          </cell>
          <cell r="AC20">
            <v>410</v>
          </cell>
          <cell r="AD20">
            <v>653</v>
          </cell>
          <cell r="AE20">
            <v>306</v>
          </cell>
          <cell r="AF20">
            <v>476</v>
          </cell>
          <cell r="AG20">
            <v>226</v>
          </cell>
          <cell r="AH20">
            <v>373</v>
          </cell>
          <cell r="AI20">
            <v>164</v>
          </cell>
          <cell r="AJ20">
            <v>307</v>
          </cell>
          <cell r="AK20">
            <v>174</v>
          </cell>
          <cell r="AL20">
            <v>389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AR"/>
      <sheetName val="A30"/>
      <sheetName val="A31"/>
      <sheetName val="A32"/>
      <sheetName val="A33"/>
      <sheetName val="Control"/>
      <sheetName val="MACROS"/>
    </sheetNames>
    <sheetDataSet>
      <sheetData sheetId="0"/>
      <sheetData sheetId="1"/>
      <sheetData sheetId="2"/>
      <sheetData sheetId="3"/>
      <sheetData sheetId="4"/>
      <sheetData sheetId="5"/>
      <sheetData sheetId="6"/>
      <sheetData sheetId="7"/>
      <sheetData sheetId="8">
        <row r="20">
          <cell r="E20">
            <v>2491</v>
          </cell>
          <cell r="F20">
            <v>2402</v>
          </cell>
          <cell r="G20">
            <v>2701</v>
          </cell>
          <cell r="H20">
            <v>2926</v>
          </cell>
          <cell r="I20">
            <v>2122</v>
          </cell>
          <cell r="J20">
            <v>2160</v>
          </cell>
          <cell r="K20">
            <v>1679</v>
          </cell>
          <cell r="L20">
            <v>2238</v>
          </cell>
          <cell r="M20">
            <v>1372</v>
          </cell>
          <cell r="N20">
            <v>2107</v>
          </cell>
          <cell r="O20">
            <v>1394</v>
          </cell>
          <cell r="P20">
            <v>1981</v>
          </cell>
          <cell r="Q20">
            <v>1312</v>
          </cell>
          <cell r="R20">
            <v>1963</v>
          </cell>
          <cell r="S20">
            <v>1089</v>
          </cell>
          <cell r="T20">
            <v>1715</v>
          </cell>
          <cell r="U20">
            <v>1033</v>
          </cell>
          <cell r="V20">
            <v>1766</v>
          </cell>
          <cell r="W20">
            <v>929</v>
          </cell>
          <cell r="X20">
            <v>1650</v>
          </cell>
          <cell r="Y20">
            <v>869</v>
          </cell>
          <cell r="Z20">
            <v>1532</v>
          </cell>
          <cell r="AA20">
            <v>899</v>
          </cell>
          <cell r="AB20">
            <v>1596</v>
          </cell>
          <cell r="AC20">
            <v>856</v>
          </cell>
          <cell r="AD20">
            <v>1461</v>
          </cell>
          <cell r="AE20">
            <v>644</v>
          </cell>
          <cell r="AF20">
            <v>1104</v>
          </cell>
          <cell r="AG20">
            <v>555</v>
          </cell>
          <cell r="AH20">
            <v>876</v>
          </cell>
          <cell r="AI20">
            <v>410</v>
          </cell>
          <cell r="AJ20">
            <v>714</v>
          </cell>
          <cell r="AK20">
            <v>448</v>
          </cell>
          <cell r="AL20">
            <v>857</v>
          </cell>
        </row>
        <row r="21">
          <cell r="E21">
            <v>9</v>
          </cell>
          <cell r="F21">
            <v>8</v>
          </cell>
          <cell r="G21">
            <v>9</v>
          </cell>
          <cell r="H21">
            <v>11</v>
          </cell>
          <cell r="I21">
            <v>14</v>
          </cell>
          <cell r="J21">
            <v>16</v>
          </cell>
          <cell r="K21">
            <v>8</v>
          </cell>
          <cell r="L21">
            <v>17</v>
          </cell>
          <cell r="M21">
            <v>12</v>
          </cell>
          <cell r="N21">
            <v>20</v>
          </cell>
          <cell r="O21">
            <v>18</v>
          </cell>
          <cell r="P21">
            <v>12</v>
          </cell>
          <cell r="Q21">
            <v>8</v>
          </cell>
          <cell r="R21">
            <v>25</v>
          </cell>
          <cell r="S21">
            <v>11</v>
          </cell>
          <cell r="T21">
            <v>5</v>
          </cell>
          <cell r="U21">
            <v>7</v>
          </cell>
          <cell r="V21">
            <v>13</v>
          </cell>
          <cell r="W21">
            <v>5</v>
          </cell>
          <cell r="X21">
            <v>11</v>
          </cell>
          <cell r="Y21">
            <v>6</v>
          </cell>
          <cell r="Z21">
            <v>15</v>
          </cell>
          <cell r="AA21">
            <v>3</v>
          </cell>
          <cell r="AB21">
            <v>9</v>
          </cell>
          <cell r="AC21">
            <v>6</v>
          </cell>
          <cell r="AD21">
            <v>6</v>
          </cell>
          <cell r="AE21">
            <v>4</v>
          </cell>
          <cell r="AF21">
            <v>4</v>
          </cell>
          <cell r="AG21">
            <v>7</v>
          </cell>
          <cell r="AH21">
            <v>4</v>
          </cell>
          <cell r="AI21">
            <v>0</v>
          </cell>
          <cell r="AJ21">
            <v>2</v>
          </cell>
          <cell r="AK21">
            <v>1</v>
          </cell>
          <cell r="AL21">
            <v>0</v>
          </cell>
        </row>
        <row r="23">
          <cell r="E23">
            <v>22</v>
          </cell>
          <cell r="F23">
            <v>18</v>
          </cell>
          <cell r="G23">
            <v>23</v>
          </cell>
          <cell r="H23">
            <v>28</v>
          </cell>
          <cell r="I23">
            <v>44</v>
          </cell>
          <cell r="J23">
            <v>47</v>
          </cell>
          <cell r="K23">
            <v>50</v>
          </cell>
          <cell r="L23">
            <v>47</v>
          </cell>
          <cell r="M23">
            <v>27</v>
          </cell>
          <cell r="N23">
            <v>30</v>
          </cell>
          <cell r="O23">
            <v>25</v>
          </cell>
          <cell r="P23">
            <v>38</v>
          </cell>
          <cell r="Q23">
            <v>25</v>
          </cell>
          <cell r="R23">
            <v>54</v>
          </cell>
          <cell r="S23">
            <v>19</v>
          </cell>
          <cell r="T23">
            <v>48</v>
          </cell>
          <cell r="U23">
            <v>17</v>
          </cell>
          <cell r="V23">
            <v>32</v>
          </cell>
          <cell r="W23">
            <v>14</v>
          </cell>
          <cell r="X23">
            <v>42</v>
          </cell>
          <cell r="Y23">
            <v>13</v>
          </cell>
          <cell r="Z23">
            <v>19</v>
          </cell>
          <cell r="AA23">
            <v>14</v>
          </cell>
          <cell r="AB23">
            <v>19</v>
          </cell>
          <cell r="AC23">
            <v>14</v>
          </cell>
          <cell r="AD23">
            <v>20</v>
          </cell>
          <cell r="AE23">
            <v>9</v>
          </cell>
          <cell r="AF23">
            <v>13</v>
          </cell>
          <cell r="AG23">
            <v>2</v>
          </cell>
          <cell r="AH23">
            <v>3</v>
          </cell>
          <cell r="AI23">
            <v>3</v>
          </cell>
          <cell r="AJ23">
            <v>5</v>
          </cell>
          <cell r="AK23">
            <v>3</v>
          </cell>
          <cell r="AL23">
            <v>2</v>
          </cell>
        </row>
        <row r="39">
          <cell r="E39" t="str">
            <v xml:space="preserve">Hombres </v>
          </cell>
          <cell r="F39" t="str">
            <v>Mujeres</v>
          </cell>
          <cell r="G39" t="str">
            <v xml:space="preserve">Hombres </v>
          </cell>
          <cell r="H39" t="str">
            <v>Mujeres</v>
          </cell>
          <cell r="I39" t="str">
            <v xml:space="preserve">Hombres </v>
          </cell>
          <cell r="J39" t="str">
            <v>Mujeres</v>
          </cell>
          <cell r="K39" t="str">
            <v xml:space="preserve">Hombres </v>
          </cell>
          <cell r="L39" t="str">
            <v>Mujeres</v>
          </cell>
          <cell r="M39" t="str">
            <v xml:space="preserve">Hombres </v>
          </cell>
          <cell r="N39" t="str">
            <v>Mujeres</v>
          </cell>
          <cell r="O39" t="str">
            <v xml:space="preserve">Hombres </v>
          </cell>
          <cell r="P39" t="str">
            <v>Mujeres</v>
          </cell>
          <cell r="Q39" t="str">
            <v xml:space="preserve">Hombres </v>
          </cell>
          <cell r="R39" t="str">
            <v>Mujeres</v>
          </cell>
          <cell r="S39" t="str">
            <v xml:space="preserve">Hombres </v>
          </cell>
          <cell r="T39" t="str">
            <v>Mujeres</v>
          </cell>
          <cell r="U39" t="str">
            <v xml:space="preserve">Hombres </v>
          </cell>
          <cell r="V39" t="str">
            <v>Mujeres</v>
          </cell>
          <cell r="W39" t="str">
            <v xml:space="preserve">Hombres </v>
          </cell>
          <cell r="X39" t="str">
            <v>Mujeres</v>
          </cell>
          <cell r="Y39" t="str">
            <v xml:space="preserve">Hombres </v>
          </cell>
          <cell r="Z39" t="str">
            <v>Mujeres</v>
          </cell>
          <cell r="AA39" t="str">
            <v xml:space="preserve">Hombres </v>
          </cell>
          <cell r="AB39" t="str">
            <v>Mujeres</v>
          </cell>
          <cell r="AC39" t="str">
            <v xml:space="preserve">Hombres </v>
          </cell>
          <cell r="AD39" t="str">
            <v>Mujeres</v>
          </cell>
          <cell r="AE39" t="str">
            <v xml:space="preserve">Hombres </v>
          </cell>
          <cell r="AF39" t="str">
            <v>Mujeres</v>
          </cell>
          <cell r="AG39" t="str">
            <v xml:space="preserve">Hombres </v>
          </cell>
          <cell r="AH39" t="str">
            <v>Mujeres</v>
          </cell>
          <cell r="AI39" t="str">
            <v xml:space="preserve">Hombres </v>
          </cell>
          <cell r="AJ39" t="str">
            <v>Mujeres</v>
          </cell>
          <cell r="AK39" t="str">
            <v xml:space="preserve">Hombres </v>
          </cell>
          <cell r="AL39" t="str">
            <v>Mujeres</v>
          </cell>
        </row>
        <row r="49">
          <cell r="E49" t="str">
            <v xml:space="preserve">Hombres </v>
          </cell>
          <cell r="F49" t="str">
            <v>Mujeres</v>
          </cell>
          <cell r="G49" t="str">
            <v xml:space="preserve">Hombres </v>
          </cell>
          <cell r="H49" t="str">
            <v>Mujeres</v>
          </cell>
          <cell r="I49" t="str">
            <v xml:space="preserve">Hombres </v>
          </cell>
          <cell r="J49" t="str">
            <v>Mujeres</v>
          </cell>
          <cell r="K49" t="str">
            <v xml:space="preserve">Hombres </v>
          </cell>
          <cell r="L49" t="str">
            <v>Mujeres</v>
          </cell>
          <cell r="M49" t="str">
            <v xml:space="preserve">Hombres </v>
          </cell>
          <cell r="N49" t="str">
            <v>Mujeres</v>
          </cell>
          <cell r="O49" t="str">
            <v xml:space="preserve">Hombres </v>
          </cell>
          <cell r="P49" t="str">
            <v>Mujeres</v>
          </cell>
          <cell r="Q49" t="str">
            <v xml:space="preserve">Hombres </v>
          </cell>
          <cell r="R49" t="str">
            <v>Mujeres</v>
          </cell>
          <cell r="S49" t="str">
            <v xml:space="preserve">Hombres </v>
          </cell>
          <cell r="T49" t="str">
            <v>Mujeres</v>
          </cell>
          <cell r="U49" t="str">
            <v xml:space="preserve">Hombres </v>
          </cell>
          <cell r="V49" t="str">
            <v>Mujeres</v>
          </cell>
          <cell r="W49" t="str">
            <v xml:space="preserve">Hombres </v>
          </cell>
          <cell r="X49" t="str">
            <v>Mujeres</v>
          </cell>
          <cell r="Y49" t="str">
            <v xml:space="preserve">Hombres </v>
          </cell>
          <cell r="Z49" t="str">
            <v>Mujeres</v>
          </cell>
          <cell r="AA49" t="str">
            <v xml:space="preserve">Hombres </v>
          </cell>
          <cell r="AB49" t="str">
            <v>Mujeres</v>
          </cell>
          <cell r="AC49" t="str">
            <v xml:space="preserve">Hombres </v>
          </cell>
          <cell r="AD49" t="str">
            <v>Mujeres</v>
          </cell>
          <cell r="AE49" t="str">
            <v xml:space="preserve">Hombres </v>
          </cell>
          <cell r="AF49" t="str">
            <v>Mujeres</v>
          </cell>
          <cell r="AG49" t="str">
            <v xml:space="preserve">Hombres </v>
          </cell>
          <cell r="AH49" t="str">
            <v>Mujeres</v>
          </cell>
          <cell r="AI49" t="str">
            <v xml:space="preserve">Hombres </v>
          </cell>
          <cell r="AJ49" t="str">
            <v>Mujeres</v>
          </cell>
          <cell r="AK49" t="str">
            <v xml:space="preserve">Hombres </v>
          </cell>
          <cell r="AL49" t="str">
            <v>Mujeres</v>
          </cell>
        </row>
        <row r="50">
          <cell r="E50">
            <v>2053</v>
          </cell>
          <cell r="F50">
            <v>2072</v>
          </cell>
          <cell r="G50">
            <v>2226</v>
          </cell>
          <cell r="H50">
            <v>2218</v>
          </cell>
          <cell r="I50">
            <v>1600</v>
          </cell>
          <cell r="J50">
            <v>1600</v>
          </cell>
          <cell r="K50">
            <v>1049</v>
          </cell>
          <cell r="L50">
            <v>1350</v>
          </cell>
          <cell r="M50">
            <v>648</v>
          </cell>
          <cell r="N50">
            <v>1033</v>
          </cell>
          <cell r="O50">
            <v>642</v>
          </cell>
          <cell r="P50">
            <v>1098</v>
          </cell>
          <cell r="Q50">
            <v>688</v>
          </cell>
          <cell r="R50">
            <v>1212</v>
          </cell>
          <cell r="S50">
            <v>634</v>
          </cell>
          <cell r="T50">
            <v>1148</v>
          </cell>
          <cell r="U50">
            <v>611</v>
          </cell>
          <cell r="V50">
            <v>1149</v>
          </cell>
          <cell r="W50">
            <v>579</v>
          </cell>
          <cell r="X50">
            <v>1147</v>
          </cell>
          <cell r="Y50">
            <v>591</v>
          </cell>
          <cell r="Z50">
            <v>1169</v>
          </cell>
          <cell r="AA50">
            <v>664</v>
          </cell>
          <cell r="AB50">
            <v>1333</v>
          </cell>
          <cell r="AC50">
            <v>658</v>
          </cell>
          <cell r="AD50">
            <v>981</v>
          </cell>
          <cell r="AE50">
            <v>549</v>
          </cell>
          <cell r="AF50">
            <v>837</v>
          </cell>
          <cell r="AG50">
            <v>422</v>
          </cell>
          <cell r="AH50">
            <v>620</v>
          </cell>
          <cell r="AI50">
            <v>298</v>
          </cell>
          <cell r="AJ50">
            <v>464</v>
          </cell>
          <cell r="AK50">
            <v>407</v>
          </cell>
          <cell r="AL50">
            <v>646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sheetData sheetId="1"/>
      <sheetData sheetId="2"/>
      <sheetData sheetId="3"/>
      <sheetData sheetId="4"/>
      <sheetData sheetId="5"/>
      <sheetData sheetId="6"/>
      <sheetData sheetId="7">
        <row r="71">
          <cell r="B71">
            <v>1499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B"/>
      <sheetName val="B17"/>
      <sheetName val="Control"/>
      <sheetName val="MACROS"/>
    </sheetNames>
    <sheetDataSet>
      <sheetData sheetId="0"/>
      <sheetData sheetId="1">
        <row r="1909">
          <cell r="C1909">
            <v>250</v>
          </cell>
        </row>
      </sheetData>
      <sheetData sheetId="2"/>
      <sheetData sheetId="3"/>
      <sheetData sheetId="4"/>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B"/>
      <sheetName val="B17"/>
      <sheetName val="Control"/>
      <sheetName val="MACROS"/>
    </sheetNames>
    <sheetDataSet>
      <sheetData sheetId="0"/>
      <sheetData sheetId="1">
        <row r="1909">
          <cell r="C1909">
            <v>0</v>
          </cell>
        </row>
      </sheetData>
      <sheetData sheetId="2"/>
      <sheetData sheetId="3"/>
      <sheetData sheetId="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B"/>
      <sheetName val="B17"/>
      <sheetName val="Control"/>
      <sheetName val="MACROS"/>
    </sheetNames>
    <sheetDataSet>
      <sheetData sheetId="0"/>
      <sheetData sheetId="1">
        <row r="1909">
          <cell r="C1909">
            <v>78</v>
          </cell>
        </row>
      </sheetData>
      <sheetData sheetId="2"/>
      <sheetData sheetId="3"/>
      <sheetData sheetId="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MBRE"/>
      <sheetName val="BM18"/>
      <sheetName val="BM18A"/>
      <sheetName val="Control"/>
      <sheetName val="MACROS"/>
      <sheetName val="B17"/>
    </sheetNames>
    <sheetDataSet>
      <sheetData sheetId="0"/>
      <sheetData sheetId="1"/>
      <sheetData sheetId="2">
        <row r="592">
          <cell r="C592">
            <v>1052</v>
          </cell>
        </row>
      </sheetData>
      <sheetData sheetId="3"/>
      <sheetData sheetId="4"/>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ICE"/>
      <sheetName val="PROLOGO"/>
      <sheetName val="CAP I INF. BASICA"/>
      <sheetName val="2"/>
      <sheetName val="3"/>
      <sheetName val="4"/>
      <sheetName val="5"/>
      <sheetName val="6"/>
      <sheetName val="7"/>
      <sheetName val="8"/>
      <sheetName val="9"/>
      <sheetName val="10"/>
      <sheetName val="11"/>
      <sheetName val="12"/>
      <sheetName val="13"/>
      <sheetName val="14"/>
      <sheetName val="15"/>
      <sheetName val="CAP II  IND BIODEM"/>
      <sheetName val="18"/>
      <sheetName val="19"/>
      <sheetName val="20"/>
      <sheetName val="21"/>
      <sheetName val="22"/>
      <sheetName val="23"/>
      <sheetName val="24"/>
      <sheetName val="25"/>
      <sheetName val="26"/>
      <sheetName val="27"/>
      <sheetName val="28"/>
      <sheetName val="29"/>
      <sheetName val="30"/>
      <sheetName val="31"/>
      <sheetName val="CAP III ACTIVIDADES"/>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GLOSA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12">
          <cell r="V12">
            <v>82.613526607982791</v>
          </cell>
          <cell r="W12">
            <v>12.084582169164339</v>
          </cell>
        </row>
      </sheetData>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08"/>
  <sheetViews>
    <sheetView tabSelected="1" topLeftCell="A52" zoomScaleNormal="100" workbookViewId="0">
      <selection activeCell="H78" sqref="H78"/>
    </sheetView>
  </sheetViews>
  <sheetFormatPr baseColWidth="10" defaultColWidth="11.42578125" defaultRowHeight="12.75"/>
  <cols>
    <col min="1" max="1" width="6.28515625" style="6" customWidth="1"/>
    <col min="2" max="2" width="81.5703125" style="6" customWidth="1"/>
    <col min="3" max="3" width="8.7109375" style="34" customWidth="1"/>
    <col min="4" max="16384" width="11.42578125" style="6"/>
  </cols>
  <sheetData>
    <row r="1" spans="1:3">
      <c r="A1" s="594"/>
      <c r="B1" s="5"/>
    </row>
    <row r="2" spans="1:3" ht="22.9" customHeight="1">
      <c r="A2" s="719"/>
      <c r="B2" s="720" t="s">
        <v>1246</v>
      </c>
      <c r="C2" s="721"/>
    </row>
    <row r="3" spans="1:3">
      <c r="A3" s="712"/>
      <c r="B3" s="5"/>
      <c r="C3" s="226"/>
    </row>
    <row r="4" spans="1:3" ht="7.15" customHeight="1">
      <c r="A4" s="712"/>
      <c r="B4" s="5"/>
      <c r="C4" s="226"/>
    </row>
    <row r="5" spans="1:3" ht="31.15" customHeight="1">
      <c r="A5" s="722"/>
      <c r="B5" s="723" t="s">
        <v>1247</v>
      </c>
      <c r="C5" s="724" t="s">
        <v>1245</v>
      </c>
    </row>
    <row r="6" spans="1:3">
      <c r="A6" s="713" t="s">
        <v>1248</v>
      </c>
      <c r="C6" s="33"/>
    </row>
    <row r="7" spans="1:3" ht="21" customHeight="1">
      <c r="A7" s="728" t="s">
        <v>1249</v>
      </c>
      <c r="B7" s="729"/>
      <c r="C7" s="730"/>
    </row>
    <row r="8" spans="1:3" ht="12" customHeight="1">
      <c r="A8" s="714"/>
      <c r="C8" s="33"/>
    </row>
    <row r="9" spans="1:3" ht="18" customHeight="1">
      <c r="A9" s="716" t="s">
        <v>1606</v>
      </c>
      <c r="B9" s="589" t="s">
        <v>1490</v>
      </c>
      <c r="C9" s="33">
        <v>2</v>
      </c>
    </row>
    <row r="10" spans="1:3" ht="17.25" customHeight="1">
      <c r="A10" s="715" t="s">
        <v>268</v>
      </c>
      <c r="B10" s="589" t="s">
        <v>1491</v>
      </c>
      <c r="C10" s="33">
        <v>3</v>
      </c>
    </row>
    <row r="11" spans="1:3">
      <c r="A11" s="715" t="s">
        <v>269</v>
      </c>
      <c r="B11" s="589" t="s">
        <v>1492</v>
      </c>
      <c r="C11" s="33">
        <v>4</v>
      </c>
    </row>
    <row r="12" spans="1:3">
      <c r="A12" s="715" t="s">
        <v>282</v>
      </c>
      <c r="B12" s="589" t="s">
        <v>1493</v>
      </c>
      <c r="C12" s="33">
        <v>6</v>
      </c>
    </row>
    <row r="13" spans="1:3">
      <c r="A13" s="715" t="s">
        <v>270</v>
      </c>
      <c r="B13" s="589" t="s">
        <v>1578</v>
      </c>
      <c r="C13" s="33">
        <v>7</v>
      </c>
    </row>
    <row r="14" spans="1:3">
      <c r="A14" s="715" t="s">
        <v>271</v>
      </c>
      <c r="B14" s="589" t="s">
        <v>1592</v>
      </c>
      <c r="C14" s="33">
        <v>8</v>
      </c>
    </row>
    <row r="15" spans="1:3">
      <c r="A15" s="715" t="s">
        <v>272</v>
      </c>
      <c r="B15" s="589" t="s">
        <v>1593</v>
      </c>
      <c r="C15" s="33">
        <v>9</v>
      </c>
    </row>
    <row r="16" spans="1:3">
      <c r="A16" s="715" t="s">
        <v>273</v>
      </c>
      <c r="B16" s="589" t="s">
        <v>1594</v>
      </c>
      <c r="C16" s="33">
        <v>10</v>
      </c>
    </row>
    <row r="17" spans="1:3">
      <c r="A17" s="715" t="s">
        <v>274</v>
      </c>
      <c r="B17" s="589" t="s">
        <v>1579</v>
      </c>
      <c r="C17" s="33">
        <v>11</v>
      </c>
    </row>
    <row r="18" spans="1:3">
      <c r="A18" s="715" t="s">
        <v>275</v>
      </c>
      <c r="B18" s="589" t="s">
        <v>1494</v>
      </c>
      <c r="C18" s="33">
        <v>12</v>
      </c>
    </row>
    <row r="19" spans="1:3">
      <c r="A19" s="715" t="s">
        <v>276</v>
      </c>
      <c r="B19" s="589" t="s">
        <v>1495</v>
      </c>
      <c r="C19" s="33">
        <v>13</v>
      </c>
    </row>
    <row r="20" spans="1:3">
      <c r="A20" s="715" t="s">
        <v>277</v>
      </c>
      <c r="B20" s="589" t="s">
        <v>1595</v>
      </c>
      <c r="C20" s="33">
        <v>14</v>
      </c>
    </row>
    <row r="21" spans="1:3">
      <c r="A21" s="715" t="s">
        <v>278</v>
      </c>
      <c r="B21" s="589" t="s">
        <v>1596</v>
      </c>
      <c r="C21" s="33">
        <v>15</v>
      </c>
    </row>
    <row r="22" spans="1:3">
      <c r="A22" s="37"/>
      <c r="C22" s="33"/>
    </row>
    <row r="23" spans="1:3" ht="19.5" customHeight="1">
      <c r="A23" s="725" t="s">
        <v>1250</v>
      </c>
      <c r="B23" s="726"/>
      <c r="C23" s="727"/>
    </row>
    <row r="24" spans="1:3">
      <c r="A24" s="716" t="s">
        <v>281</v>
      </c>
      <c r="B24" s="6" t="s">
        <v>1580</v>
      </c>
      <c r="C24" s="33">
        <v>18</v>
      </c>
    </row>
    <row r="25" spans="1:3">
      <c r="A25" s="715" t="s">
        <v>268</v>
      </c>
      <c r="B25" s="6" t="s">
        <v>1581</v>
      </c>
      <c r="C25" s="33">
        <v>19</v>
      </c>
    </row>
    <row r="26" spans="1:3">
      <c r="A26" s="715" t="s">
        <v>269</v>
      </c>
      <c r="B26" s="6" t="s">
        <v>1582</v>
      </c>
      <c r="C26" s="33">
        <v>20</v>
      </c>
    </row>
    <row r="27" spans="1:3">
      <c r="A27" s="715" t="s">
        <v>282</v>
      </c>
      <c r="B27" s="6" t="s">
        <v>1583</v>
      </c>
      <c r="C27" s="33">
        <v>21</v>
      </c>
    </row>
    <row r="28" spans="1:3">
      <c r="A28" s="715" t="s">
        <v>270</v>
      </c>
      <c r="B28" s="6" t="s">
        <v>1584</v>
      </c>
      <c r="C28" s="33">
        <v>22</v>
      </c>
    </row>
    <row r="29" spans="1:3">
      <c r="A29" s="715" t="s">
        <v>271</v>
      </c>
      <c r="B29" s="6" t="s">
        <v>1585</v>
      </c>
      <c r="C29" s="33">
        <v>23</v>
      </c>
    </row>
    <row r="30" spans="1:3">
      <c r="A30" s="715" t="s">
        <v>272</v>
      </c>
      <c r="B30" s="6" t="s">
        <v>1586</v>
      </c>
      <c r="C30" s="33">
        <v>24</v>
      </c>
    </row>
    <row r="31" spans="1:3">
      <c r="A31" s="715" t="s">
        <v>273</v>
      </c>
      <c r="B31" s="6" t="s">
        <v>1587</v>
      </c>
      <c r="C31" s="33">
        <v>25</v>
      </c>
    </row>
    <row r="32" spans="1:3">
      <c r="A32" s="715" t="s">
        <v>274</v>
      </c>
      <c r="B32" s="6" t="s">
        <v>1588</v>
      </c>
      <c r="C32" s="33">
        <v>26</v>
      </c>
    </row>
    <row r="33" spans="1:3">
      <c r="A33" s="715" t="s">
        <v>275</v>
      </c>
      <c r="B33" s="6" t="s">
        <v>1220</v>
      </c>
      <c r="C33" s="33">
        <v>27</v>
      </c>
    </row>
    <row r="34" spans="1:3">
      <c r="A34" s="716" t="s">
        <v>276</v>
      </c>
      <c r="B34" s="6" t="s">
        <v>1589</v>
      </c>
      <c r="C34" s="33">
        <v>28</v>
      </c>
    </row>
    <row r="35" spans="1:3">
      <c r="A35" s="716" t="s">
        <v>277</v>
      </c>
      <c r="B35" s="6" t="s">
        <v>1591</v>
      </c>
      <c r="C35" s="33">
        <v>29</v>
      </c>
    </row>
    <row r="36" spans="1:3">
      <c r="A36" s="715" t="s">
        <v>278</v>
      </c>
      <c r="B36" s="6" t="s">
        <v>284</v>
      </c>
      <c r="C36" s="33">
        <v>30</v>
      </c>
    </row>
    <row r="37" spans="1:3">
      <c r="A37" s="715" t="s">
        <v>279</v>
      </c>
      <c r="B37" s="6" t="s">
        <v>1200</v>
      </c>
      <c r="C37" s="33">
        <v>31</v>
      </c>
    </row>
    <row r="38" spans="1:3">
      <c r="A38" s="715"/>
      <c r="C38" s="33"/>
    </row>
    <row r="39" spans="1:3" ht="18.75" customHeight="1">
      <c r="A39" s="731" t="s">
        <v>1251</v>
      </c>
      <c r="B39" s="732"/>
      <c r="C39" s="733"/>
    </row>
    <row r="40" spans="1:3" ht="16.5" customHeight="1">
      <c r="A40" s="715" t="s">
        <v>285</v>
      </c>
      <c r="B40" s="717" t="s">
        <v>1201</v>
      </c>
      <c r="C40" s="33">
        <v>34</v>
      </c>
    </row>
    <row r="41" spans="1:3">
      <c r="A41" s="715" t="s">
        <v>268</v>
      </c>
      <c r="B41" s="589" t="s">
        <v>1221</v>
      </c>
      <c r="C41" s="33">
        <v>35</v>
      </c>
    </row>
    <row r="42" spans="1:3">
      <c r="A42" s="715" t="s">
        <v>269</v>
      </c>
      <c r="B42" s="589" t="s">
        <v>1607</v>
      </c>
      <c r="C42" s="33">
        <v>36</v>
      </c>
    </row>
    <row r="43" spans="1:3">
      <c r="A43" s="715" t="s">
        <v>282</v>
      </c>
      <c r="B43" s="589" t="s">
        <v>1222</v>
      </c>
      <c r="C43" s="33">
        <v>37</v>
      </c>
    </row>
    <row r="44" spans="1:3">
      <c r="A44" s="716" t="s">
        <v>270</v>
      </c>
      <c r="B44" s="6" t="s">
        <v>286</v>
      </c>
      <c r="C44" s="33">
        <v>38</v>
      </c>
    </row>
    <row r="45" spans="1:3">
      <c r="A45" s="715" t="s">
        <v>271</v>
      </c>
      <c r="B45" s="6" t="s">
        <v>287</v>
      </c>
      <c r="C45" s="33">
        <v>39</v>
      </c>
    </row>
    <row r="46" spans="1:3">
      <c r="A46" s="715" t="s">
        <v>272</v>
      </c>
      <c r="B46" s="6" t="s">
        <v>288</v>
      </c>
      <c r="C46" s="33">
        <v>40</v>
      </c>
    </row>
    <row r="47" spans="1:3">
      <c r="A47" s="715" t="s">
        <v>273</v>
      </c>
      <c r="B47" s="6" t="s">
        <v>289</v>
      </c>
      <c r="C47" s="33">
        <v>41</v>
      </c>
    </row>
    <row r="48" spans="1:3">
      <c r="A48" s="715" t="s">
        <v>274</v>
      </c>
      <c r="B48" s="6" t="s">
        <v>290</v>
      </c>
      <c r="C48" s="33">
        <v>42</v>
      </c>
    </row>
    <row r="49" spans="1:3">
      <c r="A49" s="715" t="s">
        <v>275</v>
      </c>
      <c r="B49" s="6" t="s">
        <v>291</v>
      </c>
      <c r="C49" s="33">
        <v>43</v>
      </c>
    </row>
    <row r="50" spans="1:3">
      <c r="A50" s="715" t="s">
        <v>276</v>
      </c>
      <c r="B50" s="6" t="s">
        <v>292</v>
      </c>
      <c r="C50" s="33">
        <v>44</v>
      </c>
    </row>
    <row r="51" spans="1:3">
      <c r="A51" s="715" t="s">
        <v>277</v>
      </c>
      <c r="B51" s="6" t="s">
        <v>293</v>
      </c>
      <c r="C51" s="33">
        <v>45</v>
      </c>
    </row>
    <row r="52" spans="1:3">
      <c r="A52" s="715" t="s">
        <v>278</v>
      </c>
      <c r="B52" s="6" t="s">
        <v>294</v>
      </c>
      <c r="C52" s="33">
        <v>46</v>
      </c>
    </row>
    <row r="53" spans="1:3">
      <c r="A53" s="715" t="s">
        <v>279</v>
      </c>
      <c r="B53" s="6" t="s">
        <v>295</v>
      </c>
      <c r="C53" s="33">
        <v>47</v>
      </c>
    </row>
    <row r="54" spans="1:3">
      <c r="A54" s="715" t="s">
        <v>280</v>
      </c>
      <c r="B54" s="6" t="s">
        <v>297</v>
      </c>
      <c r="C54" s="33">
        <v>48</v>
      </c>
    </row>
    <row r="55" spans="1:3">
      <c r="A55" s="715" t="s">
        <v>283</v>
      </c>
      <c r="B55" s="6" t="s">
        <v>299</v>
      </c>
      <c r="C55" s="33">
        <v>49</v>
      </c>
    </row>
    <row r="56" spans="1:3">
      <c r="A56" s="715" t="s">
        <v>296</v>
      </c>
      <c r="B56" s="6" t="s">
        <v>301</v>
      </c>
      <c r="C56" s="33">
        <v>50</v>
      </c>
    </row>
    <row r="57" spans="1:3">
      <c r="A57" s="715" t="s">
        <v>298</v>
      </c>
      <c r="B57" s="6" t="s">
        <v>303</v>
      </c>
      <c r="C57" s="33">
        <v>51</v>
      </c>
    </row>
    <row r="58" spans="1:3">
      <c r="A58" s="715" t="s">
        <v>300</v>
      </c>
      <c r="B58" s="6" t="s">
        <v>305</v>
      </c>
      <c r="C58" s="33">
        <v>52</v>
      </c>
    </row>
    <row r="59" spans="1:3">
      <c r="A59" s="715" t="s">
        <v>302</v>
      </c>
      <c r="B59" s="6" t="s">
        <v>307</v>
      </c>
      <c r="C59" s="33">
        <v>53</v>
      </c>
    </row>
    <row r="60" spans="1:3">
      <c r="A60" s="715" t="s">
        <v>304</v>
      </c>
      <c r="B60" s="589" t="s">
        <v>1223</v>
      </c>
      <c r="C60" s="33">
        <v>54</v>
      </c>
    </row>
    <row r="61" spans="1:3">
      <c r="A61" s="715" t="s">
        <v>306</v>
      </c>
      <c r="B61" s="6" t="s">
        <v>309</v>
      </c>
      <c r="C61" s="33">
        <v>55</v>
      </c>
    </row>
    <row r="62" spans="1:3">
      <c r="A62" s="715" t="s">
        <v>308</v>
      </c>
      <c r="B62" s="6" t="s">
        <v>310</v>
      </c>
      <c r="C62" s="33">
        <v>56</v>
      </c>
    </row>
    <row r="63" spans="1:3">
      <c r="A63" s="715" t="s">
        <v>311</v>
      </c>
      <c r="B63" s="589" t="s">
        <v>1609</v>
      </c>
      <c r="C63" s="33">
        <v>57</v>
      </c>
    </row>
    <row r="64" spans="1:3">
      <c r="A64" s="715" t="s">
        <v>313</v>
      </c>
      <c r="B64" s="589" t="s">
        <v>1224</v>
      </c>
      <c r="C64" s="33">
        <v>58</v>
      </c>
    </row>
    <row r="65" spans="1:9">
      <c r="A65" s="715" t="s">
        <v>318</v>
      </c>
      <c r="B65" s="6" t="s">
        <v>312</v>
      </c>
      <c r="C65" s="33">
        <v>59</v>
      </c>
    </row>
    <row r="66" spans="1:9">
      <c r="A66" s="716" t="s">
        <v>319</v>
      </c>
      <c r="B66" s="6" t="s">
        <v>317</v>
      </c>
      <c r="C66" s="33">
        <v>60</v>
      </c>
    </row>
    <row r="67" spans="1:9">
      <c r="A67" s="716" t="s">
        <v>322</v>
      </c>
      <c r="B67" s="589" t="s">
        <v>1610</v>
      </c>
      <c r="C67" s="33">
        <v>61</v>
      </c>
    </row>
    <row r="68" spans="1:9">
      <c r="A68" s="715" t="s">
        <v>323</v>
      </c>
      <c r="B68" s="6" t="s">
        <v>324</v>
      </c>
      <c r="C68" s="33">
        <v>62</v>
      </c>
    </row>
    <row r="69" spans="1:9">
      <c r="A69" s="715" t="s">
        <v>325</v>
      </c>
      <c r="B69" s="6" t="s">
        <v>326</v>
      </c>
      <c r="C69" s="33">
        <v>63</v>
      </c>
    </row>
    <row r="70" spans="1:9">
      <c r="A70" s="715" t="s">
        <v>327</v>
      </c>
      <c r="B70" s="589" t="s">
        <v>1225</v>
      </c>
      <c r="C70" s="33">
        <v>64</v>
      </c>
    </row>
    <row r="71" spans="1:9" ht="15.75">
      <c r="A71" s="715" t="s">
        <v>328</v>
      </c>
      <c r="B71" s="589" t="s">
        <v>1226</v>
      </c>
      <c r="C71" s="33">
        <v>65</v>
      </c>
      <c r="D71" s="700"/>
      <c r="E71" s="700"/>
      <c r="F71" s="700"/>
      <c r="G71" s="700"/>
      <c r="H71" s="700"/>
      <c r="I71" s="700"/>
    </row>
    <row r="72" spans="1:9">
      <c r="A72" s="715" t="s">
        <v>1458</v>
      </c>
      <c r="B72" s="6" t="s">
        <v>329</v>
      </c>
      <c r="C72" s="33">
        <v>66</v>
      </c>
    </row>
    <row r="73" spans="1:9">
      <c r="A73" s="715" t="s">
        <v>331</v>
      </c>
      <c r="B73" s="6" t="s">
        <v>330</v>
      </c>
      <c r="C73" s="33">
        <v>67</v>
      </c>
    </row>
    <row r="74" spans="1:9">
      <c r="A74" s="715" t="s">
        <v>332</v>
      </c>
      <c r="B74" s="6" t="s">
        <v>1597</v>
      </c>
      <c r="C74" s="33">
        <v>68</v>
      </c>
    </row>
    <row r="75" spans="1:9">
      <c r="A75" s="715" t="s">
        <v>333</v>
      </c>
      <c r="B75" s="589" t="s">
        <v>1611</v>
      </c>
      <c r="C75" s="33">
        <v>69</v>
      </c>
    </row>
    <row r="76" spans="1:9">
      <c r="A76" s="715" t="s">
        <v>335</v>
      </c>
      <c r="B76" s="6" t="s">
        <v>334</v>
      </c>
      <c r="C76" s="33">
        <v>70</v>
      </c>
    </row>
    <row r="77" spans="1:9">
      <c r="A77" s="716" t="s">
        <v>337</v>
      </c>
      <c r="B77" s="6" t="s">
        <v>336</v>
      </c>
      <c r="C77" s="33">
        <v>71</v>
      </c>
    </row>
    <row r="78" spans="1:9">
      <c r="A78" s="716" t="s">
        <v>1229</v>
      </c>
      <c r="B78" s="589" t="s">
        <v>1612</v>
      </c>
      <c r="C78" s="33">
        <v>72</v>
      </c>
    </row>
    <row r="79" spans="1:9">
      <c r="A79" s="715" t="s">
        <v>338</v>
      </c>
      <c r="B79" s="589" t="s">
        <v>1590</v>
      </c>
      <c r="C79" s="33">
        <v>73</v>
      </c>
    </row>
    <row r="80" spans="1:9">
      <c r="A80" s="715" t="s">
        <v>341</v>
      </c>
      <c r="B80" s="589" t="s">
        <v>1208</v>
      </c>
      <c r="C80" s="33">
        <v>74</v>
      </c>
    </row>
    <row r="81" spans="1:3">
      <c r="A81" s="715" t="s">
        <v>342</v>
      </c>
      <c r="B81" s="589" t="s">
        <v>1212</v>
      </c>
      <c r="C81" s="33">
        <v>75</v>
      </c>
    </row>
    <row r="82" spans="1:3">
      <c r="A82" s="716" t="s">
        <v>349</v>
      </c>
      <c r="B82" s="589" t="s">
        <v>1213</v>
      </c>
      <c r="C82" s="33">
        <v>76</v>
      </c>
    </row>
    <row r="83" spans="1:3">
      <c r="A83" s="715" t="s">
        <v>343</v>
      </c>
      <c r="B83" s="589" t="s">
        <v>1214</v>
      </c>
      <c r="C83" s="33">
        <v>77</v>
      </c>
    </row>
    <row r="84" spans="1:3">
      <c r="A84" s="715" t="s">
        <v>344</v>
      </c>
      <c r="B84" s="589" t="s">
        <v>1215</v>
      </c>
      <c r="C84" s="33">
        <v>78</v>
      </c>
    </row>
    <row r="85" spans="1:3">
      <c r="A85" s="715" t="s">
        <v>345</v>
      </c>
      <c r="B85" s="589" t="s">
        <v>1216</v>
      </c>
      <c r="C85" s="33">
        <v>79</v>
      </c>
    </row>
    <row r="86" spans="1:3">
      <c r="A86" s="715" t="s">
        <v>346</v>
      </c>
      <c r="B86" s="589" t="s">
        <v>1217</v>
      </c>
      <c r="C86" s="33">
        <v>80</v>
      </c>
    </row>
    <row r="87" spans="1:3">
      <c r="A87" s="715" t="s">
        <v>347</v>
      </c>
      <c r="B87" s="589" t="s">
        <v>1218</v>
      </c>
      <c r="C87" s="33">
        <v>81</v>
      </c>
    </row>
    <row r="88" spans="1:3">
      <c r="A88" s="715" t="s">
        <v>348</v>
      </c>
      <c r="B88" s="589" t="s">
        <v>1219</v>
      </c>
      <c r="C88" s="33">
        <v>82</v>
      </c>
    </row>
    <row r="89" spans="1:3">
      <c r="A89" s="716" t="s">
        <v>1230</v>
      </c>
      <c r="B89" s="589" t="s">
        <v>1202</v>
      </c>
      <c r="C89" s="33">
        <v>83</v>
      </c>
    </row>
    <row r="90" spans="1:3">
      <c r="A90" s="716" t="s">
        <v>1231</v>
      </c>
      <c r="B90" s="589" t="s">
        <v>1203</v>
      </c>
      <c r="C90" s="33">
        <v>84</v>
      </c>
    </row>
    <row r="91" spans="1:3">
      <c r="A91" s="716" t="s">
        <v>1232</v>
      </c>
      <c r="B91" s="589" t="s">
        <v>1204</v>
      </c>
      <c r="C91" s="33">
        <v>85</v>
      </c>
    </row>
    <row r="92" spans="1:3">
      <c r="A92" s="716" t="s">
        <v>1233</v>
      </c>
      <c r="B92" s="589" t="s">
        <v>1205</v>
      </c>
      <c r="C92" s="33">
        <v>86</v>
      </c>
    </row>
    <row r="93" spans="1:3">
      <c r="A93" s="716" t="s">
        <v>1234</v>
      </c>
      <c r="B93" s="589" t="s">
        <v>1206</v>
      </c>
      <c r="C93" s="33">
        <v>87</v>
      </c>
    </row>
    <row r="94" spans="1:3">
      <c r="A94" s="716" t="s">
        <v>1235</v>
      </c>
      <c r="B94" s="589" t="s">
        <v>1207</v>
      </c>
      <c r="C94" s="33">
        <v>88</v>
      </c>
    </row>
    <row r="95" spans="1:3">
      <c r="A95" s="716" t="s">
        <v>1236</v>
      </c>
      <c r="B95" s="589" t="s">
        <v>1598</v>
      </c>
      <c r="C95" s="33">
        <v>89</v>
      </c>
    </row>
    <row r="96" spans="1:3">
      <c r="A96" s="716" t="s">
        <v>1237</v>
      </c>
      <c r="B96" s="589" t="s">
        <v>1599</v>
      </c>
      <c r="C96" s="33">
        <v>90</v>
      </c>
    </row>
    <row r="97" spans="1:3">
      <c r="A97" s="716" t="s">
        <v>1238</v>
      </c>
      <c r="B97" s="589" t="s">
        <v>1600</v>
      </c>
      <c r="C97" s="33">
        <v>91</v>
      </c>
    </row>
    <row r="98" spans="1:3">
      <c r="A98" s="716" t="s">
        <v>1239</v>
      </c>
      <c r="B98" s="589" t="s">
        <v>1601</v>
      </c>
      <c r="C98" s="33">
        <v>92</v>
      </c>
    </row>
    <row r="99" spans="1:3">
      <c r="A99" s="716" t="s">
        <v>1240</v>
      </c>
      <c r="B99" s="589" t="s">
        <v>1602</v>
      </c>
      <c r="C99" s="33">
        <v>93</v>
      </c>
    </row>
    <row r="100" spans="1:3">
      <c r="A100" s="716" t="s">
        <v>1241</v>
      </c>
      <c r="B100" s="589" t="s">
        <v>1603</v>
      </c>
      <c r="C100" s="33">
        <v>94</v>
      </c>
    </row>
    <row r="101" spans="1:3">
      <c r="A101" s="716" t="s">
        <v>1242</v>
      </c>
      <c r="B101" s="589" t="s">
        <v>1604</v>
      </c>
      <c r="C101" s="33">
        <v>95</v>
      </c>
    </row>
    <row r="102" spans="1:3">
      <c r="A102" s="716" t="s">
        <v>1243</v>
      </c>
      <c r="B102" s="6" t="s">
        <v>1228</v>
      </c>
      <c r="C102" s="33"/>
    </row>
    <row r="103" spans="1:3">
      <c r="A103" s="715"/>
      <c r="C103" s="33"/>
    </row>
    <row r="104" spans="1:3">
      <c r="A104" s="735" t="s">
        <v>1252</v>
      </c>
      <c r="B104" s="736"/>
      <c r="C104" s="737">
        <v>96</v>
      </c>
    </row>
    <row r="105" spans="1:3">
      <c r="A105" s="167"/>
      <c r="B105" s="718"/>
      <c r="C105" s="40"/>
    </row>
    <row r="106" spans="1:3">
      <c r="B106" s="707"/>
    </row>
    <row r="108" spans="1:3">
      <c r="B108" s="583"/>
    </row>
  </sheetData>
  <phoneticPr fontId="0" type="noConversion"/>
  <pageMargins left="0.98425196850393704" right="0.98425196850393704" top="0.98425196850393704" bottom="0.98425196850393704" header="0.51181102362204722" footer="0.51181102362204722"/>
  <pageSetup paperSize="14" scale="85" orientation="portrait" verticalDpi="300" r:id="rId1"/>
  <headerFooter alignWithMargins="0">
    <oddHeader>&amp;L&amp;7   &amp;G Ministerio de Salud
Servicio de Salud Aconcagua
Departamento de Control de Gestión
Unidad de Estadística</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91"/>
  <sheetViews>
    <sheetView zoomScaleNormal="100" workbookViewId="0">
      <selection activeCell="AF26" sqref="AF26"/>
    </sheetView>
  </sheetViews>
  <sheetFormatPr baseColWidth="10" defaultRowHeight="12.75"/>
  <cols>
    <col min="1" max="1" width="21.28515625" customWidth="1"/>
    <col min="2" max="2" width="11.28515625" customWidth="1"/>
    <col min="3" max="3" width="1.7109375" customWidth="1"/>
    <col min="4" max="4" width="8.28515625" customWidth="1"/>
    <col min="5" max="5" width="9.28515625" customWidth="1"/>
    <col min="6" max="6" width="10.5703125" customWidth="1"/>
    <col min="7" max="7" width="8.42578125" customWidth="1"/>
    <col min="8" max="8" width="8.7109375" customWidth="1"/>
    <col min="9" max="10" width="9.28515625" customWidth="1"/>
    <col min="11" max="12" width="8.7109375" customWidth="1"/>
    <col min="13" max="13" width="9.28515625" style="1005" hidden="1" customWidth="1"/>
    <col min="14" max="15" width="9.28515625" hidden="1" customWidth="1"/>
    <col min="16" max="17" width="11.42578125" hidden="1" customWidth="1"/>
    <col min="18" max="18" width="20" hidden="1" customWidth="1"/>
    <col min="19" max="19" width="11.42578125" hidden="1" customWidth="1"/>
    <col min="20" max="20" width="1.7109375" hidden="1" customWidth="1"/>
    <col min="21" max="29" width="11.42578125" hidden="1" customWidth="1"/>
  </cols>
  <sheetData>
    <row r="1" spans="1:29">
      <c r="A1" s="1517" t="s">
        <v>492</v>
      </c>
      <c r="B1" s="1517"/>
      <c r="C1" s="1517"/>
      <c r="D1" s="1517"/>
      <c r="E1" s="1517"/>
      <c r="F1" s="1517"/>
      <c r="G1" s="1517"/>
      <c r="H1" s="1517"/>
      <c r="I1" s="1517"/>
      <c r="J1" s="1517"/>
      <c r="K1" s="1517"/>
      <c r="L1" s="1517"/>
      <c r="M1" s="1004"/>
      <c r="N1" s="1002"/>
      <c r="O1" s="1002"/>
    </row>
    <row r="2" spans="1:29">
      <c r="A2" s="86"/>
      <c r="B2" s="86"/>
      <c r="C2" s="86"/>
      <c r="D2" s="86"/>
      <c r="E2" s="86"/>
      <c r="F2" s="86"/>
      <c r="G2" s="86"/>
      <c r="H2" s="86"/>
      <c r="I2" s="86"/>
      <c r="J2" s="86"/>
      <c r="K2" s="86"/>
      <c r="L2" s="86"/>
    </row>
    <row r="3" spans="1:29">
      <c r="A3" s="1517">
        <v>2023</v>
      </c>
      <c r="B3" s="1517"/>
      <c r="C3" s="1517"/>
      <c r="D3" s="1517"/>
      <c r="E3" s="1517"/>
      <c r="F3" s="1517"/>
      <c r="G3" s="1517"/>
      <c r="H3" s="1517"/>
      <c r="I3" s="1517"/>
      <c r="J3" s="1517"/>
      <c r="K3" s="1517"/>
      <c r="L3" s="1517"/>
    </row>
    <row r="5" spans="1:29">
      <c r="B5" s="88"/>
      <c r="D5" s="88"/>
      <c r="E5" s="88"/>
      <c r="F5" s="88"/>
      <c r="G5" s="88"/>
      <c r="H5" s="88"/>
      <c r="I5" s="88"/>
      <c r="J5" s="88"/>
      <c r="K5" s="88"/>
      <c r="L5" s="88"/>
    </row>
    <row r="7" spans="1:29" ht="24.75" customHeight="1">
      <c r="A7" s="998" t="s">
        <v>493</v>
      </c>
      <c r="B7" s="999" t="s">
        <v>474</v>
      </c>
      <c r="C7" s="967"/>
      <c r="D7" s="1000" t="s">
        <v>494</v>
      </c>
      <c r="E7" s="967" t="s">
        <v>495</v>
      </c>
      <c r="F7" s="967" t="s">
        <v>496</v>
      </c>
      <c r="G7" s="967" t="s">
        <v>497</v>
      </c>
      <c r="H7" s="967" t="s">
        <v>498</v>
      </c>
      <c r="I7" s="967" t="s">
        <v>499</v>
      </c>
      <c r="J7" s="967" t="s">
        <v>500</v>
      </c>
      <c r="K7" s="967" t="s">
        <v>501</v>
      </c>
      <c r="L7" s="1001" t="s">
        <v>502</v>
      </c>
      <c r="R7" s="89" t="s">
        <v>493</v>
      </c>
      <c r="S7" s="90" t="s">
        <v>474</v>
      </c>
      <c r="T7" s="91"/>
      <c r="U7" s="92" t="s">
        <v>494</v>
      </c>
      <c r="V7" s="91" t="s">
        <v>495</v>
      </c>
      <c r="W7" s="91" t="s">
        <v>496</v>
      </c>
      <c r="X7" s="91" t="s">
        <v>497</v>
      </c>
      <c r="Y7" s="91" t="s">
        <v>498</v>
      </c>
      <c r="Z7" s="91" t="s">
        <v>499</v>
      </c>
      <c r="AA7" s="91" t="s">
        <v>500</v>
      </c>
      <c r="AB7" s="91" t="s">
        <v>501</v>
      </c>
      <c r="AC7" s="93" t="s">
        <v>502</v>
      </c>
    </row>
    <row r="8" spans="1:29">
      <c r="A8" s="48"/>
      <c r="B8" s="110"/>
      <c r="C8" s="94"/>
      <c r="D8" s="94"/>
      <c r="E8" s="94"/>
      <c r="F8" s="94"/>
      <c r="G8" s="94"/>
      <c r="H8" s="94"/>
      <c r="I8" s="94"/>
      <c r="J8" s="94"/>
      <c r="K8" s="94"/>
      <c r="L8" s="95"/>
      <c r="R8" s="48"/>
      <c r="S8" s="94"/>
      <c r="T8" s="94"/>
      <c r="U8" s="94"/>
      <c r="V8" s="94"/>
      <c r="W8" s="94"/>
      <c r="X8" s="94"/>
      <c r="Y8" s="94"/>
      <c r="Z8" s="94"/>
      <c r="AA8" s="94"/>
      <c r="AB8" s="94"/>
      <c r="AC8" s="95"/>
    </row>
    <row r="9" spans="1:29">
      <c r="A9" s="96" t="s">
        <v>503</v>
      </c>
      <c r="B9" s="110">
        <f>SUM(B10:B15)</f>
        <v>68788</v>
      </c>
      <c r="C9" s="97" t="s">
        <v>504</v>
      </c>
      <c r="D9" s="94">
        <f>SUM(D10:D15)</f>
        <v>833.25308300049562</v>
      </c>
      <c r="E9" s="94">
        <f t="shared" ref="E9:L9" si="0">SUM(E10:E15)</f>
        <v>830.2449491268477</v>
      </c>
      <c r="F9" s="94">
        <f t="shared" si="0"/>
        <v>3267.8360980729426</v>
      </c>
      <c r="G9" s="94">
        <f t="shared" si="0"/>
        <v>3683.9612839275824</v>
      </c>
      <c r="H9" s="94">
        <f t="shared" si="0"/>
        <v>4765.8867671496455</v>
      </c>
      <c r="I9" s="94">
        <f t="shared" si="0"/>
        <v>4259.5175650855663</v>
      </c>
      <c r="J9" s="94">
        <f t="shared" si="0"/>
        <v>24679.733010699398</v>
      </c>
      <c r="K9" s="94">
        <f t="shared" si="0"/>
        <v>16686.118597125449</v>
      </c>
      <c r="L9" s="95">
        <f t="shared" si="0"/>
        <v>9781.4486458120755</v>
      </c>
      <c r="M9" s="1005">
        <f>+'7'!F20</f>
        <v>68788</v>
      </c>
      <c r="N9" s="98"/>
      <c r="O9">
        <v>68602</v>
      </c>
      <c r="P9">
        <f>SUM(P10:P15)</f>
        <v>0.99999999999999989</v>
      </c>
      <c r="R9" s="96" t="s">
        <v>503</v>
      </c>
      <c r="S9" s="94">
        <f>SUM(S10:S15)</f>
        <v>68602</v>
      </c>
      <c r="T9" s="97" t="s">
        <v>504</v>
      </c>
      <c r="U9" s="94">
        <f>SUM(U10:U15)</f>
        <v>831</v>
      </c>
      <c r="V9" s="94">
        <f t="shared" ref="V9:AC9" si="1">SUM(V10:V15)</f>
        <v>828</v>
      </c>
      <c r="W9" s="94">
        <f t="shared" si="1"/>
        <v>3259</v>
      </c>
      <c r="X9" s="94">
        <f t="shared" si="1"/>
        <v>3674</v>
      </c>
      <c r="Y9" s="94">
        <f t="shared" si="1"/>
        <v>4753</v>
      </c>
      <c r="Z9" s="94">
        <f t="shared" si="1"/>
        <v>4248</v>
      </c>
      <c r="AA9" s="94">
        <f t="shared" si="1"/>
        <v>24613</v>
      </c>
      <c r="AB9" s="94">
        <f t="shared" si="1"/>
        <v>16641</v>
      </c>
      <c r="AC9" s="95">
        <f t="shared" si="1"/>
        <v>9755</v>
      </c>
    </row>
    <row r="10" spans="1:29">
      <c r="A10" s="31" t="s">
        <v>1404</v>
      </c>
      <c r="B10" s="110">
        <f>SUM(D10:L10)</f>
        <v>33247.900994140109</v>
      </c>
      <c r="C10" s="94"/>
      <c r="D10" s="94">
        <f>+U10/$O10*$N10</f>
        <v>403.08993906883177</v>
      </c>
      <c r="E10" s="94">
        <f t="shared" ref="E10:L10" si="2">+V10/$O10*$N10</f>
        <v>403.08993906883177</v>
      </c>
      <c r="F10" s="94">
        <f t="shared" si="2"/>
        <v>1574.2567272091189</v>
      </c>
      <c r="G10" s="94">
        <f t="shared" si="2"/>
        <v>1784.8260983644791</v>
      </c>
      <c r="H10" s="94">
        <f t="shared" si="2"/>
        <v>2304.2305472143667</v>
      </c>
      <c r="I10" s="94">
        <f t="shared" si="2"/>
        <v>2060.5717034488789</v>
      </c>
      <c r="J10" s="94">
        <f t="shared" si="2"/>
        <v>11944.296900964986</v>
      </c>
      <c r="K10" s="94">
        <f t="shared" si="2"/>
        <v>8065.8096265414997</v>
      </c>
      <c r="L10" s="95">
        <f t="shared" si="2"/>
        <v>4707.7295122591167</v>
      </c>
      <c r="N10" s="1233">
        <f>+P10*$M$9</f>
        <v>33247.900994140109</v>
      </c>
      <c r="O10">
        <v>33158</v>
      </c>
      <c r="P10">
        <f>O10/$O$9</f>
        <v>0.48333867817264803</v>
      </c>
      <c r="R10" s="31" t="s">
        <v>1404</v>
      </c>
      <c r="S10" s="94">
        <f>SUM(U10:AC10)</f>
        <v>33158</v>
      </c>
      <c r="T10" s="94"/>
      <c r="U10" s="94">
        <v>402</v>
      </c>
      <c r="V10" s="94">
        <v>402</v>
      </c>
      <c r="W10" s="94">
        <v>1570</v>
      </c>
      <c r="X10" s="94">
        <v>1780</v>
      </c>
      <c r="Y10" s="94">
        <v>2298</v>
      </c>
      <c r="Z10" s="94">
        <v>2055</v>
      </c>
      <c r="AA10" s="94">
        <v>11912</v>
      </c>
      <c r="AB10" s="94">
        <v>8044</v>
      </c>
      <c r="AC10" s="95">
        <v>4695</v>
      </c>
    </row>
    <row r="11" spans="1:29">
      <c r="A11" s="31" t="s">
        <v>1253</v>
      </c>
      <c r="B11" s="110">
        <f t="shared" ref="B11:B27" si="3">SUM(D11:L11)</f>
        <v>20015.120083962571</v>
      </c>
      <c r="C11" s="94"/>
      <c r="D11" s="94">
        <f t="shared" ref="D11:D15" si="4">+U11/$O11*$N11</f>
        <v>241.65342118305591</v>
      </c>
      <c r="E11" s="94">
        <f t="shared" ref="E11:E15" si="5">+V11/$O11*$N11</f>
        <v>241.65342118305591</v>
      </c>
      <c r="F11" s="94">
        <f t="shared" ref="F11:F15" si="6">+W11/$O11*$N11</f>
        <v>949.56759278155164</v>
      </c>
      <c r="G11" s="94">
        <f t="shared" ref="G11:G15" si="7">+X11/$O11*$N11</f>
        <v>1072.9010816011196</v>
      </c>
      <c r="H11" s="94">
        <f t="shared" ref="H11:H15" si="8">+Y11/$O11*$N11</f>
        <v>1407.8066528672634</v>
      </c>
      <c r="I11" s="94">
        <f t="shared" ref="I11:I15" si="9">+Z11/$O11*$N11</f>
        <v>1250.3809801463515</v>
      </c>
      <c r="J11" s="94">
        <f t="shared" ref="J11:J15" si="10">+AA11/$O11*$N11</f>
        <v>6939.7648465059328</v>
      </c>
      <c r="K11" s="94">
        <f t="shared" ref="K11:K15" si="11">+AB11/$O11*$N11</f>
        <v>5089.7625142124143</v>
      </c>
      <c r="L11" s="95">
        <f t="shared" ref="L11:L15" si="12">+AC11/$O11*$N11</f>
        <v>2821.6295734818227</v>
      </c>
      <c r="N11" s="1233">
        <f t="shared" ref="N11:N15" si="13">+P11*$M$9</f>
        <v>20015.120083962567</v>
      </c>
      <c r="O11">
        <v>19961</v>
      </c>
      <c r="P11">
        <f t="shared" ref="P11:P15" si="14">O11/$O$9</f>
        <v>0.29096819334713275</v>
      </c>
      <c r="R11" s="31" t="s">
        <v>1253</v>
      </c>
      <c r="S11" s="94">
        <f t="shared" ref="S11:S27" si="15">SUM(U11:AC11)</f>
        <v>19961</v>
      </c>
      <c r="T11" s="94"/>
      <c r="U11" s="94">
        <v>241</v>
      </c>
      <c r="V11" s="94">
        <v>241</v>
      </c>
      <c r="W11" s="94">
        <v>947</v>
      </c>
      <c r="X11" s="94">
        <v>1070</v>
      </c>
      <c r="Y11" s="94">
        <v>1404</v>
      </c>
      <c r="Z11" s="94">
        <v>1247</v>
      </c>
      <c r="AA11" s="94">
        <v>6921</v>
      </c>
      <c r="AB11" s="94">
        <v>5076</v>
      </c>
      <c r="AC11" s="95">
        <v>2814</v>
      </c>
    </row>
    <row r="12" spans="1:29">
      <c r="A12" s="31" t="s">
        <v>314</v>
      </c>
      <c r="B12" s="110">
        <f t="shared" si="3"/>
        <v>3677.9450161802861</v>
      </c>
      <c r="C12" s="94"/>
      <c r="D12" s="94">
        <f t="shared" si="4"/>
        <v>45.122008104719974</v>
      </c>
      <c r="E12" s="94">
        <f t="shared" si="5"/>
        <v>44.119296813503979</v>
      </c>
      <c r="F12" s="94">
        <f t="shared" si="6"/>
        <v>177.47989854523192</v>
      </c>
      <c r="G12" s="94">
        <f t="shared" si="7"/>
        <v>196.5314130783359</v>
      </c>
      <c r="H12" s="94">
        <f t="shared" si="8"/>
        <v>253.68595667764788</v>
      </c>
      <c r="I12" s="94">
        <f t="shared" si="9"/>
        <v>228.61817439724788</v>
      </c>
      <c r="J12" s="94">
        <f t="shared" si="10"/>
        <v>1318.5653479490393</v>
      </c>
      <c r="K12" s="94">
        <f t="shared" si="11"/>
        <v>893.41576047345552</v>
      </c>
      <c r="L12" s="95">
        <f t="shared" si="12"/>
        <v>520.40716014110376</v>
      </c>
      <c r="N12" s="1233">
        <f t="shared" si="13"/>
        <v>3677.9450161802861</v>
      </c>
      <c r="O12">
        <v>3668</v>
      </c>
      <c r="P12">
        <f t="shared" si="14"/>
        <v>5.3467828926270368E-2</v>
      </c>
      <c r="R12" s="31" t="s">
        <v>314</v>
      </c>
      <c r="S12" s="94">
        <f t="shared" si="15"/>
        <v>3668</v>
      </c>
      <c r="T12" s="94"/>
      <c r="U12" s="94">
        <v>45</v>
      </c>
      <c r="V12" s="94">
        <v>44</v>
      </c>
      <c r="W12" s="94">
        <v>177</v>
      </c>
      <c r="X12" s="94">
        <v>196</v>
      </c>
      <c r="Y12" s="94">
        <v>253</v>
      </c>
      <c r="Z12" s="94">
        <v>228</v>
      </c>
      <c r="AA12" s="94">
        <v>1315</v>
      </c>
      <c r="AB12" s="94">
        <v>891</v>
      </c>
      <c r="AC12" s="95">
        <v>519</v>
      </c>
    </row>
    <row r="13" spans="1:29">
      <c r="A13" s="31" t="s">
        <v>505</v>
      </c>
      <c r="B13" s="110">
        <f t="shared" si="3"/>
        <v>1888.1053613597273</v>
      </c>
      <c r="C13" s="94"/>
      <c r="D13" s="94">
        <f t="shared" si="4"/>
        <v>23.062359697967988</v>
      </c>
      <c r="E13" s="94">
        <f t="shared" si="5"/>
        <v>22.05964840675199</v>
      </c>
      <c r="F13" s="94">
        <f t="shared" si="6"/>
        <v>90.244016209439962</v>
      </c>
      <c r="G13" s="94">
        <f t="shared" si="7"/>
        <v>100.27112912159996</v>
      </c>
      <c r="H13" s="94">
        <f t="shared" si="8"/>
        <v>129.34975656686393</v>
      </c>
      <c r="I13" s="94">
        <f t="shared" si="9"/>
        <v>116.31450978105595</v>
      </c>
      <c r="J13" s="94">
        <f t="shared" si="10"/>
        <v>675.82741027958377</v>
      </c>
      <c r="K13" s="94">
        <f t="shared" si="11"/>
        <v>460.2444826681438</v>
      </c>
      <c r="L13" s="95">
        <f t="shared" si="12"/>
        <v>270.73204862831989</v>
      </c>
      <c r="M13" s="1006"/>
      <c r="N13" s="1233">
        <f t="shared" si="13"/>
        <v>1888.1053613597271</v>
      </c>
      <c r="O13">
        <v>1883</v>
      </c>
      <c r="P13">
        <f t="shared" si="14"/>
        <v>2.7448179353371623E-2</v>
      </c>
      <c r="R13" s="31" t="s">
        <v>505</v>
      </c>
      <c r="S13" s="94">
        <f t="shared" si="15"/>
        <v>1883</v>
      </c>
      <c r="T13" s="94"/>
      <c r="U13" s="94">
        <v>23</v>
      </c>
      <c r="V13" s="94">
        <v>22</v>
      </c>
      <c r="W13" s="94">
        <v>90</v>
      </c>
      <c r="X13" s="94">
        <v>100</v>
      </c>
      <c r="Y13" s="94">
        <v>129</v>
      </c>
      <c r="Z13" s="94">
        <v>116</v>
      </c>
      <c r="AA13" s="94">
        <v>674</v>
      </c>
      <c r="AB13" s="94">
        <v>459</v>
      </c>
      <c r="AC13" s="95">
        <v>270</v>
      </c>
    </row>
    <row r="14" spans="1:29">
      <c r="A14" s="31" t="s">
        <v>506</v>
      </c>
      <c r="B14" s="110">
        <f t="shared" si="3"/>
        <v>5921.0101746304781</v>
      </c>
      <c r="C14" s="94"/>
      <c r="D14" s="94">
        <f t="shared" si="4"/>
        <v>72.195212967551981</v>
      </c>
      <c r="E14" s="94">
        <f t="shared" si="5"/>
        <v>72.195212967551981</v>
      </c>
      <c r="F14" s="94">
        <f t="shared" si="6"/>
        <v>280.75916154047991</v>
      </c>
      <c r="G14" s="94">
        <f t="shared" si="7"/>
        <v>312.84592285939192</v>
      </c>
      <c r="H14" s="94">
        <f t="shared" si="8"/>
        <v>392.06011486545583</v>
      </c>
      <c r="I14" s="94">
        <f t="shared" si="9"/>
        <v>352.95437450803189</v>
      </c>
      <c r="J14" s="94">
        <f t="shared" si="10"/>
        <v>2349.3525553190871</v>
      </c>
      <c r="K14" s="94">
        <f t="shared" si="11"/>
        <v>1197.2372817119035</v>
      </c>
      <c r="L14" s="95">
        <f t="shared" si="12"/>
        <v>891.4103378910238</v>
      </c>
      <c r="N14" s="1233">
        <f t="shared" si="13"/>
        <v>5921.0101746304781</v>
      </c>
      <c r="O14">
        <v>5905</v>
      </c>
      <c r="P14">
        <f t="shared" si="14"/>
        <v>8.6076207690737885E-2</v>
      </c>
      <c r="R14" s="31" t="s">
        <v>506</v>
      </c>
      <c r="S14" s="94">
        <f t="shared" si="15"/>
        <v>5905</v>
      </c>
      <c r="T14" s="94"/>
      <c r="U14" s="94">
        <v>72</v>
      </c>
      <c r="V14" s="94">
        <v>72</v>
      </c>
      <c r="W14" s="94">
        <v>280</v>
      </c>
      <c r="X14" s="94">
        <v>312</v>
      </c>
      <c r="Y14" s="94">
        <v>391</v>
      </c>
      <c r="Z14" s="94">
        <v>352</v>
      </c>
      <c r="AA14" s="94">
        <v>2343</v>
      </c>
      <c r="AB14" s="94">
        <v>1194</v>
      </c>
      <c r="AC14" s="95">
        <v>889</v>
      </c>
    </row>
    <row r="15" spans="1:29">
      <c r="A15" s="31" t="s">
        <v>507</v>
      </c>
      <c r="B15" s="110">
        <f t="shared" si="3"/>
        <v>4037.91836972683</v>
      </c>
      <c r="C15" s="94"/>
      <c r="D15" s="94">
        <f t="shared" si="4"/>
        <v>48.130141978367988</v>
      </c>
      <c r="E15" s="94">
        <f t="shared" si="5"/>
        <v>47.127430687151985</v>
      </c>
      <c r="F15" s="94">
        <f t="shared" si="6"/>
        <v>195.52870178711993</v>
      </c>
      <c r="G15" s="94">
        <f t="shared" si="7"/>
        <v>216.58563890265592</v>
      </c>
      <c r="H15" s="94">
        <f t="shared" si="8"/>
        <v>278.7537389580479</v>
      </c>
      <c r="I15" s="94">
        <f t="shared" si="9"/>
        <v>250.6778228039999</v>
      </c>
      <c r="J15" s="94">
        <f t="shared" si="10"/>
        <v>1451.9259496807674</v>
      </c>
      <c r="K15" s="94">
        <f t="shared" si="11"/>
        <v>979.64893151803165</v>
      </c>
      <c r="L15" s="95">
        <f t="shared" si="12"/>
        <v>569.54001341068772</v>
      </c>
      <c r="N15" s="1233">
        <f t="shared" si="13"/>
        <v>4037.9183697268304</v>
      </c>
      <c r="O15">
        <v>4027</v>
      </c>
      <c r="P15">
        <f t="shared" si="14"/>
        <v>5.8700912509839366E-2</v>
      </c>
      <c r="R15" s="31" t="s">
        <v>507</v>
      </c>
      <c r="S15" s="94">
        <f t="shared" si="15"/>
        <v>4027</v>
      </c>
      <c r="T15" s="94"/>
      <c r="U15" s="94">
        <v>48</v>
      </c>
      <c r="V15" s="94">
        <v>47</v>
      </c>
      <c r="W15" s="94">
        <v>195</v>
      </c>
      <c r="X15" s="94">
        <v>216</v>
      </c>
      <c r="Y15" s="94">
        <v>278</v>
      </c>
      <c r="Z15" s="94">
        <v>250</v>
      </c>
      <c r="AA15" s="94">
        <v>1448</v>
      </c>
      <c r="AB15" s="94">
        <v>977</v>
      </c>
      <c r="AC15" s="95">
        <v>568</v>
      </c>
    </row>
    <row r="16" spans="1:29">
      <c r="A16" s="31"/>
      <c r="B16" s="110"/>
      <c r="C16" s="99"/>
      <c r="D16" s="99"/>
      <c r="E16" s="99"/>
      <c r="F16" s="99"/>
      <c r="G16" s="99"/>
      <c r="H16" s="99"/>
      <c r="I16" s="99"/>
      <c r="J16" s="99"/>
      <c r="K16" s="99"/>
      <c r="L16" s="100"/>
      <c r="R16" s="31"/>
      <c r="S16" s="94"/>
      <c r="T16" s="99"/>
      <c r="U16" s="99"/>
      <c r="V16" s="99"/>
      <c r="W16" s="99"/>
      <c r="X16" s="99"/>
      <c r="Y16" s="99"/>
      <c r="Z16" s="99"/>
      <c r="AA16" s="99"/>
      <c r="AB16" s="99"/>
      <c r="AC16" s="100"/>
    </row>
    <row r="17" spans="1:29">
      <c r="A17" s="96" t="s">
        <v>508</v>
      </c>
      <c r="B17" s="110">
        <f t="shared" si="3"/>
        <v>21493.000000000004</v>
      </c>
      <c r="C17" s="97" t="s">
        <v>504</v>
      </c>
      <c r="D17" s="94">
        <f>SUM(D18:D23)</f>
        <v>250.10699142561012</v>
      </c>
      <c r="E17" s="94">
        <f t="shared" ref="E17:L17" si="16">SUM(E18:E23)</f>
        <v>259.22020163949873</v>
      </c>
      <c r="F17" s="94">
        <f t="shared" si="16"/>
        <v>1151.3022236879299</v>
      </c>
      <c r="G17" s="94">
        <f t="shared" si="16"/>
        <v>1261.6733251672481</v>
      </c>
      <c r="H17" s="94">
        <f t="shared" si="16"/>
        <v>1502.6671063789693</v>
      </c>
      <c r="I17" s="94">
        <f t="shared" si="16"/>
        <v>1302.1764816734196</v>
      </c>
      <c r="J17" s="94">
        <f t="shared" si="16"/>
        <v>7542.7003203618215</v>
      </c>
      <c r="K17" s="94">
        <f t="shared" si="16"/>
        <v>5295.7877131819469</v>
      </c>
      <c r="L17" s="95">
        <f t="shared" si="16"/>
        <v>2927.3656364835588</v>
      </c>
      <c r="M17" s="1005">
        <f>+'7'!G20</f>
        <v>21493</v>
      </c>
      <c r="N17" s="1233">
        <f>$M$17*P17</f>
        <v>21493</v>
      </c>
      <c r="O17">
        <v>21226</v>
      </c>
      <c r="P17" s="1233">
        <f>SUM(P18:P23)</f>
        <v>1</v>
      </c>
      <c r="R17" s="96" t="s">
        <v>508</v>
      </c>
      <c r="S17" s="94">
        <f t="shared" si="15"/>
        <v>21226</v>
      </c>
      <c r="T17" s="97" t="s">
        <v>504</v>
      </c>
      <c r="U17" s="94">
        <f>SUM(U18:U23)</f>
        <v>247</v>
      </c>
      <c r="V17" s="94">
        <f t="shared" ref="V17:AC17" si="17">SUM(V18:V23)</f>
        <v>256</v>
      </c>
      <c r="W17" s="94">
        <f t="shared" si="17"/>
        <v>1137</v>
      </c>
      <c r="X17" s="94">
        <f t="shared" si="17"/>
        <v>1246</v>
      </c>
      <c r="Y17" s="94">
        <f t="shared" si="17"/>
        <v>1484</v>
      </c>
      <c r="Z17" s="94">
        <f t="shared" si="17"/>
        <v>1286</v>
      </c>
      <c r="AA17" s="94">
        <f t="shared" si="17"/>
        <v>7449</v>
      </c>
      <c r="AB17" s="94">
        <f t="shared" si="17"/>
        <v>5230</v>
      </c>
      <c r="AC17" s="95">
        <f t="shared" si="17"/>
        <v>2891</v>
      </c>
    </row>
    <row r="18" spans="1:29" ht="12" customHeight="1">
      <c r="A18" s="31" t="s">
        <v>509</v>
      </c>
      <c r="B18" s="110">
        <f t="shared" si="3"/>
        <v>12317.009893526809</v>
      </c>
      <c r="C18" s="94"/>
      <c r="D18" s="94">
        <f t="shared" ref="D18:D23" si="18">+U18/$O18*$N18</f>
        <v>139.7358899462923</v>
      </c>
      <c r="E18" s="94">
        <f t="shared" ref="E18:E23" si="19">+V18/$O18*$N18</f>
        <v>145.81136342221805</v>
      </c>
      <c r="F18" s="94">
        <f t="shared" ref="F18:F23" si="20">+W18/$O18*$N18</f>
        <v>668.30208235183284</v>
      </c>
      <c r="G18" s="94">
        <f t="shared" ref="G18:G23" si="21">+X18/$O18*$N18</f>
        <v>737.15744841232458</v>
      </c>
      <c r="H18" s="94">
        <f t="shared" ref="H18:H23" si="22">+Y18/$O18*$N18</f>
        <v>886.00654857250561</v>
      </c>
      <c r="I18" s="94">
        <f t="shared" ref="I18:I23" si="23">+Z18/$O18*$N18</f>
        <v>761.45934231602769</v>
      </c>
      <c r="J18" s="94">
        <f t="shared" ref="J18:J23" si="24">+AA18/$O18*$N18</f>
        <v>4303.4603787807409</v>
      </c>
      <c r="K18" s="94">
        <f t="shared" ref="K18:K23" si="25">+AB18/$O18*$N18</f>
        <v>3015.4600018844817</v>
      </c>
      <c r="L18" s="95">
        <f t="shared" ref="L18:L23" si="26">+AC18/$O18*$N18</f>
        <v>1659.6168378403847</v>
      </c>
      <c r="N18" s="1233">
        <f>+P18*$M$17</f>
        <v>12317.009893526809</v>
      </c>
      <c r="O18">
        <v>12164</v>
      </c>
      <c r="P18" s="1262">
        <f>O18/$O$17</f>
        <v>0.5730707622726845</v>
      </c>
      <c r="R18" s="31" t="s">
        <v>509</v>
      </c>
      <c r="S18" s="94">
        <f t="shared" si="15"/>
        <v>12164</v>
      </c>
      <c r="T18" s="94"/>
      <c r="U18" s="94">
        <v>138</v>
      </c>
      <c r="V18" s="94">
        <v>144</v>
      </c>
      <c r="W18" s="94">
        <v>660</v>
      </c>
      <c r="X18" s="94">
        <v>728</v>
      </c>
      <c r="Y18" s="94">
        <v>875</v>
      </c>
      <c r="Z18" s="94">
        <v>752</v>
      </c>
      <c r="AA18" s="94">
        <v>4250</v>
      </c>
      <c r="AB18" s="94">
        <v>2978</v>
      </c>
      <c r="AC18" s="95">
        <v>1639</v>
      </c>
    </row>
    <row r="19" spans="1:29" ht="12.75" customHeight="1">
      <c r="A19" s="31" t="s">
        <v>510</v>
      </c>
      <c r="B19" s="110">
        <f t="shared" si="3"/>
        <v>1752.7740978045792</v>
      </c>
      <c r="C19" s="94"/>
      <c r="D19" s="94">
        <f t="shared" si="18"/>
        <v>20.251578253085839</v>
      </c>
      <c r="E19" s="94">
        <f t="shared" si="19"/>
        <v>20.251578253085839</v>
      </c>
      <c r="F19" s="94">
        <f t="shared" si="20"/>
        <v>95.182417789503432</v>
      </c>
      <c r="G19" s="94">
        <f t="shared" si="21"/>
        <v>102.27047017808349</v>
      </c>
      <c r="H19" s="94">
        <f t="shared" si="22"/>
        <v>121.50946951851502</v>
      </c>
      <c r="I19" s="94">
        <f t="shared" si="23"/>
        <v>106.32078582870065</v>
      </c>
      <c r="J19" s="94">
        <f t="shared" si="24"/>
        <v>613.62282106850091</v>
      </c>
      <c r="K19" s="94">
        <f t="shared" si="25"/>
        <v>431.35861679072838</v>
      </c>
      <c r="L19" s="95">
        <f t="shared" si="26"/>
        <v>242.00636012437579</v>
      </c>
      <c r="M19" s="1006"/>
      <c r="N19" s="1233">
        <f t="shared" ref="N19:N23" si="27">+P19*$M$17</f>
        <v>1752.7740978045792</v>
      </c>
      <c r="O19">
        <v>1731</v>
      </c>
      <c r="P19" s="1262">
        <f t="shared" ref="P19:P22" si="28">O19/$O$17</f>
        <v>8.1550928107038539E-2</v>
      </c>
      <c r="R19" s="31" t="s">
        <v>510</v>
      </c>
      <c r="S19" s="94">
        <f t="shared" si="15"/>
        <v>1731</v>
      </c>
      <c r="T19" s="94"/>
      <c r="U19" s="94">
        <v>20</v>
      </c>
      <c r="V19" s="94">
        <v>20</v>
      </c>
      <c r="W19" s="94">
        <v>94</v>
      </c>
      <c r="X19" s="94">
        <v>101</v>
      </c>
      <c r="Y19" s="94">
        <v>120</v>
      </c>
      <c r="Z19" s="94">
        <v>105</v>
      </c>
      <c r="AA19" s="94">
        <v>606</v>
      </c>
      <c r="AB19" s="94">
        <v>426</v>
      </c>
      <c r="AC19" s="95">
        <v>239</v>
      </c>
    </row>
    <row r="20" spans="1:29" ht="12" customHeight="1">
      <c r="A20" s="31" t="s">
        <v>420</v>
      </c>
      <c r="B20" s="110">
        <f t="shared" si="3"/>
        <v>4318.6490624705548</v>
      </c>
      <c r="C20" s="94"/>
      <c r="D20" s="94">
        <f t="shared" si="18"/>
        <v>50.62894563271459</v>
      </c>
      <c r="E20" s="94">
        <f t="shared" si="19"/>
        <v>52.654103458023179</v>
      </c>
      <c r="F20" s="94">
        <f t="shared" si="20"/>
        <v>231.88057099783282</v>
      </c>
      <c r="G20" s="94">
        <f t="shared" si="21"/>
        <v>253.14472816357298</v>
      </c>
      <c r="H20" s="94">
        <f t="shared" si="22"/>
        <v>298.71077923301613</v>
      </c>
      <c r="I20" s="94">
        <f t="shared" si="23"/>
        <v>261.24535946480734</v>
      </c>
      <c r="J20" s="94">
        <f t="shared" si="24"/>
        <v>1512.792895505512</v>
      </c>
      <c r="K20" s="94">
        <f t="shared" si="25"/>
        <v>1066.2455950249694</v>
      </c>
      <c r="L20" s="95">
        <f t="shared" si="26"/>
        <v>591.34608499010653</v>
      </c>
      <c r="N20" s="1233">
        <f t="shared" si="27"/>
        <v>4318.6490624705548</v>
      </c>
      <c r="O20">
        <v>4265</v>
      </c>
      <c r="P20" s="1262">
        <f t="shared" si="28"/>
        <v>0.20093281824177894</v>
      </c>
      <c r="R20" s="31" t="s">
        <v>420</v>
      </c>
      <c r="S20" s="94">
        <f t="shared" si="15"/>
        <v>4265</v>
      </c>
      <c r="T20" s="94"/>
      <c r="U20" s="94">
        <v>50</v>
      </c>
      <c r="V20" s="94">
        <v>52</v>
      </c>
      <c r="W20" s="94">
        <v>229</v>
      </c>
      <c r="X20" s="94">
        <v>250</v>
      </c>
      <c r="Y20" s="94">
        <v>295</v>
      </c>
      <c r="Z20" s="94">
        <v>258</v>
      </c>
      <c r="AA20" s="94">
        <v>1494</v>
      </c>
      <c r="AB20" s="94">
        <v>1053</v>
      </c>
      <c r="AC20" s="95">
        <v>584</v>
      </c>
    </row>
    <row r="21" spans="1:29" ht="12.75" customHeight="1">
      <c r="A21" s="31" t="s">
        <v>511</v>
      </c>
      <c r="B21" s="110">
        <f t="shared" si="3"/>
        <v>1642.4029963252615</v>
      </c>
      <c r="C21" s="94"/>
      <c r="D21" s="94">
        <f t="shared" si="18"/>
        <v>19.238999340431548</v>
      </c>
      <c r="E21" s="94">
        <f t="shared" si="19"/>
        <v>20.251578253085839</v>
      </c>
      <c r="F21" s="94">
        <f t="shared" si="20"/>
        <v>89.106944313577685</v>
      </c>
      <c r="G21" s="94">
        <f t="shared" si="21"/>
        <v>96.194996702157738</v>
      </c>
      <c r="H21" s="94">
        <f t="shared" si="22"/>
        <v>113.40883821728069</v>
      </c>
      <c r="I21" s="94">
        <f t="shared" si="23"/>
        <v>100.2453123527749</v>
      </c>
      <c r="J21" s="94">
        <f t="shared" si="24"/>
        <v>575.14482238763787</v>
      </c>
      <c r="K21" s="94">
        <f t="shared" si="25"/>
        <v>404.01898614906247</v>
      </c>
      <c r="L21" s="95">
        <f t="shared" si="26"/>
        <v>224.7925186092528</v>
      </c>
      <c r="M21" s="1006"/>
      <c r="N21" s="1233">
        <f t="shared" si="27"/>
        <v>1642.4029963252615</v>
      </c>
      <c r="O21">
        <v>1622</v>
      </c>
      <c r="P21" s="1262">
        <f t="shared" si="28"/>
        <v>7.6415716574012998E-2</v>
      </c>
      <c r="R21" s="31" t="s">
        <v>511</v>
      </c>
      <c r="S21" s="94">
        <f t="shared" si="15"/>
        <v>1622</v>
      </c>
      <c r="T21" s="94"/>
      <c r="U21" s="94">
        <v>19</v>
      </c>
      <c r="V21" s="94">
        <v>20</v>
      </c>
      <c r="W21" s="94">
        <v>88</v>
      </c>
      <c r="X21" s="94">
        <v>95</v>
      </c>
      <c r="Y21" s="94">
        <v>112</v>
      </c>
      <c r="Z21" s="94">
        <v>99</v>
      </c>
      <c r="AA21" s="94">
        <v>568</v>
      </c>
      <c r="AB21" s="94">
        <v>399</v>
      </c>
      <c r="AC21" s="95">
        <v>222</v>
      </c>
    </row>
    <row r="22" spans="1:29" ht="14.25" customHeight="1">
      <c r="A22" s="31" t="s">
        <v>512</v>
      </c>
      <c r="B22" s="110">
        <f t="shared" si="3"/>
        <v>895.11975878639407</v>
      </c>
      <c r="C22" s="94"/>
      <c r="D22" s="94">
        <f t="shared" si="18"/>
        <v>10.125789126542919</v>
      </c>
      <c r="E22" s="94">
        <f t="shared" si="19"/>
        <v>10.125789126542919</v>
      </c>
      <c r="F22" s="94">
        <f t="shared" si="20"/>
        <v>47.591208894751716</v>
      </c>
      <c r="G22" s="94">
        <f t="shared" si="21"/>
        <v>52.654103458023179</v>
      </c>
      <c r="H22" s="94">
        <f t="shared" si="22"/>
        <v>61.767313671911815</v>
      </c>
      <c r="I22" s="94">
        <f t="shared" si="23"/>
        <v>53.666682370677478</v>
      </c>
      <c r="J22" s="94">
        <f t="shared" si="24"/>
        <v>310.86172618486762</v>
      </c>
      <c r="K22" s="94">
        <f t="shared" si="25"/>
        <v>219.72962404598135</v>
      </c>
      <c r="L22" s="95">
        <f t="shared" si="26"/>
        <v>128.59752190709506</v>
      </c>
      <c r="M22" s="1006"/>
      <c r="N22" s="1233">
        <f t="shared" si="27"/>
        <v>895.11975878639407</v>
      </c>
      <c r="O22">
        <v>884</v>
      </c>
      <c r="P22" s="1262">
        <f t="shared" si="28"/>
        <v>4.1647036653161218E-2</v>
      </c>
      <c r="R22" s="31" t="s">
        <v>512</v>
      </c>
      <c r="S22" s="94">
        <f t="shared" si="15"/>
        <v>884</v>
      </c>
      <c r="T22" s="94"/>
      <c r="U22" s="94">
        <v>10</v>
      </c>
      <c r="V22" s="94">
        <v>10</v>
      </c>
      <c r="W22" s="94">
        <v>47</v>
      </c>
      <c r="X22" s="94">
        <v>52</v>
      </c>
      <c r="Y22" s="94">
        <v>61</v>
      </c>
      <c r="Z22" s="94">
        <v>53</v>
      </c>
      <c r="AA22" s="94">
        <v>307</v>
      </c>
      <c r="AB22" s="94">
        <v>217</v>
      </c>
      <c r="AC22" s="95">
        <v>127</v>
      </c>
    </row>
    <row r="23" spans="1:29">
      <c r="A23" s="31" t="s">
        <v>513</v>
      </c>
      <c r="B23" s="110">
        <f t="shared" si="3"/>
        <v>567.04419108640343</v>
      </c>
      <c r="C23" s="94"/>
      <c r="D23" s="94">
        <f t="shared" si="18"/>
        <v>10.125789126542918</v>
      </c>
      <c r="E23" s="94">
        <f t="shared" si="19"/>
        <v>10.125789126542918</v>
      </c>
      <c r="F23" s="94">
        <f t="shared" si="20"/>
        <v>19.238999340431544</v>
      </c>
      <c r="G23" s="94">
        <f t="shared" si="21"/>
        <v>20.251578253085835</v>
      </c>
      <c r="H23" s="94">
        <f t="shared" si="22"/>
        <v>21.264157165740126</v>
      </c>
      <c r="I23" s="94">
        <f t="shared" si="23"/>
        <v>19.238999340431544</v>
      </c>
      <c r="J23" s="94">
        <f t="shared" si="24"/>
        <v>226.81767643456138</v>
      </c>
      <c r="K23" s="94">
        <f t="shared" si="25"/>
        <v>158.97488928672382</v>
      </c>
      <c r="L23" s="95">
        <f t="shared" si="26"/>
        <v>81.006313012343341</v>
      </c>
      <c r="M23" s="1006"/>
      <c r="N23" s="1233">
        <f t="shared" si="27"/>
        <v>567.04419108640343</v>
      </c>
      <c r="O23">
        <v>560</v>
      </c>
      <c r="P23" s="1262">
        <f>O23/$O$17</f>
        <v>2.6382738151323849E-2</v>
      </c>
      <c r="R23" s="31" t="s">
        <v>513</v>
      </c>
      <c r="S23" s="94">
        <f t="shared" si="15"/>
        <v>560</v>
      </c>
      <c r="T23" s="94"/>
      <c r="U23" s="94">
        <v>10</v>
      </c>
      <c r="V23" s="94">
        <v>10</v>
      </c>
      <c r="W23" s="94">
        <v>19</v>
      </c>
      <c r="X23" s="94">
        <v>20</v>
      </c>
      <c r="Y23" s="94">
        <v>21</v>
      </c>
      <c r="Z23" s="94">
        <v>19</v>
      </c>
      <c r="AA23" s="94">
        <v>224</v>
      </c>
      <c r="AB23" s="94">
        <v>157</v>
      </c>
      <c r="AC23" s="95">
        <v>80</v>
      </c>
    </row>
    <row r="24" spans="1:29">
      <c r="A24" s="31"/>
      <c r="B24" s="878"/>
      <c r="C24" s="646"/>
      <c r="D24" s="646"/>
      <c r="E24" s="646"/>
      <c r="F24" s="646"/>
      <c r="G24" s="646"/>
      <c r="H24" s="646"/>
      <c r="I24" s="646"/>
      <c r="J24" s="646"/>
      <c r="K24" s="646"/>
      <c r="L24" s="647"/>
      <c r="R24" s="31"/>
      <c r="S24" s="878"/>
      <c r="T24" s="646"/>
      <c r="U24" s="646"/>
      <c r="V24" s="646"/>
      <c r="W24" s="646"/>
      <c r="X24" s="646"/>
      <c r="Y24" s="646"/>
      <c r="Z24" s="646"/>
      <c r="AA24" s="646"/>
      <c r="AB24" s="646"/>
      <c r="AC24" s="647"/>
    </row>
    <row r="25" spans="1:29">
      <c r="A25" s="96" t="s">
        <v>514</v>
      </c>
      <c r="B25" s="110">
        <f t="shared" si="3"/>
        <v>17388</v>
      </c>
      <c r="C25" s="97" t="s">
        <v>504</v>
      </c>
      <c r="D25" s="94">
        <f>SUM(D26:D27)</f>
        <v>247.13598876995962</v>
      </c>
      <c r="E25" s="94">
        <f t="shared" ref="E25:L25" si="29">SUM(E26:E27)</f>
        <v>243.0679066502895</v>
      </c>
      <c r="F25" s="94">
        <f t="shared" si="29"/>
        <v>949.89717494297236</v>
      </c>
      <c r="G25" s="94">
        <f t="shared" si="29"/>
        <v>1056.6843305843129</v>
      </c>
      <c r="H25" s="94">
        <f t="shared" si="29"/>
        <v>1218.3905948412003</v>
      </c>
      <c r="I25" s="94">
        <f t="shared" si="29"/>
        <v>1049.5651868748903</v>
      </c>
      <c r="J25" s="94">
        <f t="shared" si="29"/>
        <v>6260.7783821723106</v>
      </c>
      <c r="K25" s="94">
        <f t="shared" si="29"/>
        <v>4116.8991051061585</v>
      </c>
      <c r="L25" s="95">
        <f t="shared" si="29"/>
        <v>2245.5813300579048</v>
      </c>
      <c r="M25" s="1006">
        <f>+'7'!H20</f>
        <v>17388</v>
      </c>
      <c r="N25" s="1233">
        <f>+P25*$M$25</f>
        <v>17388</v>
      </c>
      <c r="O25">
        <v>17097</v>
      </c>
      <c r="P25" s="1262">
        <f>O25/$O$25</f>
        <v>1</v>
      </c>
      <c r="R25" s="96" t="s">
        <v>514</v>
      </c>
      <c r="S25" s="94">
        <f t="shared" si="15"/>
        <v>17097</v>
      </c>
      <c r="T25" s="97" t="s">
        <v>504</v>
      </c>
      <c r="U25" s="94">
        <f>SUM(U26:U27)</f>
        <v>243</v>
      </c>
      <c r="V25" s="94">
        <f t="shared" ref="V25:AC25" si="30">SUM(V26:V27)</f>
        <v>239</v>
      </c>
      <c r="W25" s="94">
        <f t="shared" si="30"/>
        <v>934</v>
      </c>
      <c r="X25" s="94">
        <f t="shared" si="30"/>
        <v>1039</v>
      </c>
      <c r="Y25" s="94">
        <f t="shared" si="30"/>
        <v>1198</v>
      </c>
      <c r="Z25" s="94">
        <f t="shared" si="30"/>
        <v>1032</v>
      </c>
      <c r="AA25" s="94">
        <f t="shared" si="30"/>
        <v>6156</v>
      </c>
      <c r="AB25" s="94">
        <f t="shared" si="30"/>
        <v>4048</v>
      </c>
      <c r="AC25" s="95">
        <f t="shared" si="30"/>
        <v>2208</v>
      </c>
    </row>
    <row r="26" spans="1:29">
      <c r="A26" s="31" t="s">
        <v>515</v>
      </c>
      <c r="B26" s="110">
        <f t="shared" si="3"/>
        <v>14618.653097034567</v>
      </c>
      <c r="C26" s="94"/>
      <c r="D26" s="94">
        <f t="shared" ref="D26:D27" si="31">+U26/$O26*$N26</f>
        <v>207.47218810317599</v>
      </c>
      <c r="E26" s="94">
        <f t="shared" ref="E26:E27" si="32">+V26/$O26*$N26</f>
        <v>206.45516757325845</v>
      </c>
      <c r="F26" s="94">
        <f t="shared" ref="F26:F27" si="33">+W26/$O26*$N26</f>
        <v>803.44621863484815</v>
      </c>
      <c r="G26" s="94">
        <f t="shared" ref="G26:G27" si="34">+X26/$O26*$N26</f>
        <v>888.87594314792057</v>
      </c>
      <c r="H26" s="94">
        <f t="shared" ref="H26:H27" si="35">+Y26/$O26*$N26</f>
        <v>1025.1566941568697</v>
      </c>
      <c r="I26" s="94">
        <f t="shared" ref="I26:I27" si="36">+Z26/$O26*$N26</f>
        <v>885.82488155816804</v>
      </c>
      <c r="J26" s="94">
        <f t="shared" ref="J26:J27" si="37">+AA26/$O26*$N26</f>
        <v>5262.0642217932964</v>
      </c>
      <c r="K26" s="94">
        <f t="shared" ref="K26:K27" si="38">+AB26/$O26*$N26</f>
        <v>3459.9038427794349</v>
      </c>
      <c r="L26" s="95">
        <f t="shared" ref="L26:L27" si="39">+AC26/$O26*$N26</f>
        <v>1879.453939287594</v>
      </c>
      <c r="N26" s="1233">
        <f t="shared" ref="N26:N27" si="40">+P26*$M$25</f>
        <v>14618.653097034567</v>
      </c>
      <c r="O26">
        <v>14374</v>
      </c>
      <c r="P26" s="1262">
        <f t="shared" ref="P26:P27" si="41">O26/$O$25</f>
        <v>0.84073229221500845</v>
      </c>
      <c r="R26" s="31" t="s">
        <v>515</v>
      </c>
      <c r="S26" s="94">
        <f t="shared" si="15"/>
        <v>14374</v>
      </c>
      <c r="T26" s="94"/>
      <c r="U26" s="94">
        <v>204</v>
      </c>
      <c r="V26" s="94">
        <v>203</v>
      </c>
      <c r="W26" s="94">
        <v>790</v>
      </c>
      <c r="X26" s="94">
        <v>874</v>
      </c>
      <c r="Y26" s="94">
        <v>1008</v>
      </c>
      <c r="Z26" s="94">
        <v>871</v>
      </c>
      <c r="AA26" s="94">
        <v>5174</v>
      </c>
      <c r="AB26" s="94">
        <v>3402</v>
      </c>
      <c r="AC26" s="95">
        <v>1848</v>
      </c>
    </row>
    <row r="27" spans="1:29">
      <c r="A27" s="31" t="s">
        <v>516</v>
      </c>
      <c r="B27" s="110">
        <f t="shared" si="3"/>
        <v>2769.3469029654325</v>
      </c>
      <c r="C27" s="94"/>
      <c r="D27" s="94">
        <f t="shared" si="31"/>
        <v>39.663800666783644</v>
      </c>
      <c r="E27" s="94">
        <f t="shared" si="32"/>
        <v>36.612739077031058</v>
      </c>
      <c r="F27" s="94">
        <f t="shared" si="33"/>
        <v>146.45095630812423</v>
      </c>
      <c r="G27" s="94">
        <f t="shared" si="34"/>
        <v>167.80838743639234</v>
      </c>
      <c r="H27" s="94">
        <f t="shared" si="35"/>
        <v>193.23390068433059</v>
      </c>
      <c r="I27" s="94">
        <f t="shared" si="36"/>
        <v>163.74030531672224</v>
      </c>
      <c r="J27" s="94">
        <f t="shared" si="37"/>
        <v>998.71416037901383</v>
      </c>
      <c r="K27" s="94">
        <f t="shared" si="38"/>
        <v>656.99526232672395</v>
      </c>
      <c r="L27" s="95">
        <f t="shared" si="39"/>
        <v>366.12739077031057</v>
      </c>
      <c r="M27" s="1006"/>
      <c r="N27" s="1233">
        <f t="shared" si="40"/>
        <v>2769.3469029654325</v>
      </c>
      <c r="O27">
        <v>2723</v>
      </c>
      <c r="P27" s="1262">
        <f t="shared" si="41"/>
        <v>0.15926770778499152</v>
      </c>
      <c r="R27" s="31" t="s">
        <v>516</v>
      </c>
      <c r="S27" s="94">
        <f t="shared" si="15"/>
        <v>2723</v>
      </c>
      <c r="T27" s="94"/>
      <c r="U27" s="94">
        <v>39</v>
      </c>
      <c r="V27" s="94">
        <v>36</v>
      </c>
      <c r="W27" s="94">
        <v>144</v>
      </c>
      <c r="X27" s="94">
        <v>165</v>
      </c>
      <c r="Y27" s="94">
        <v>190</v>
      </c>
      <c r="Z27" s="94">
        <v>161</v>
      </c>
      <c r="AA27" s="94">
        <v>982</v>
      </c>
      <c r="AB27" s="94">
        <v>646</v>
      </c>
      <c r="AC27" s="95">
        <v>360</v>
      </c>
    </row>
    <row r="28" spans="1:29">
      <c r="A28" s="31"/>
      <c r="B28" s="878"/>
      <c r="C28" s="94"/>
      <c r="D28" s="94"/>
      <c r="E28" s="94"/>
      <c r="F28" s="94"/>
      <c r="G28" s="94"/>
      <c r="H28" s="94"/>
      <c r="I28" s="94"/>
      <c r="J28" s="94"/>
      <c r="K28" s="94"/>
      <c r="L28" s="95"/>
      <c r="R28" s="31"/>
      <c r="S28" s="646"/>
      <c r="T28" s="94"/>
      <c r="U28" s="94"/>
      <c r="V28" s="94"/>
      <c r="W28" s="94"/>
      <c r="X28" s="94"/>
      <c r="Y28" s="94"/>
      <c r="Z28" s="94"/>
      <c r="AA28" s="94"/>
      <c r="AB28" s="94"/>
      <c r="AC28" s="95"/>
    </row>
    <row r="29" spans="1:29">
      <c r="A29" s="96" t="s">
        <v>517</v>
      </c>
      <c r="B29" s="110">
        <f t="shared" ref="B29:B44" si="42">SUM(D29:L29)</f>
        <v>11847</v>
      </c>
      <c r="C29" s="97" t="s">
        <v>504</v>
      </c>
      <c r="D29" s="94">
        <f t="shared" ref="D29:L29" si="43">SUM(D30:D32)</f>
        <v>150.33490525593757</v>
      </c>
      <c r="E29" s="94">
        <f t="shared" si="43"/>
        <v>150.33490525593757</v>
      </c>
      <c r="F29" s="94">
        <f t="shared" si="43"/>
        <v>671.42819171739688</v>
      </c>
      <c r="G29" s="94">
        <f t="shared" si="43"/>
        <v>759.8007373746035</v>
      </c>
      <c r="H29" s="94">
        <f t="shared" si="43"/>
        <v>862.39415244791212</v>
      </c>
      <c r="I29" s="94">
        <f t="shared" si="43"/>
        <v>699.86993054960124</v>
      </c>
      <c r="J29" s="94">
        <f t="shared" si="43"/>
        <v>4274.3870359255761</v>
      </c>
      <c r="K29" s="94">
        <f t="shared" si="43"/>
        <v>2804.5586041327269</v>
      </c>
      <c r="L29" s="95">
        <f t="shared" si="43"/>
        <v>1473.891537340307</v>
      </c>
      <c r="M29" s="1005">
        <f>+'7'!I20</f>
        <v>11847</v>
      </c>
      <c r="N29" s="1233">
        <f>+P29*$M$29</f>
        <v>11847</v>
      </c>
      <c r="O29">
        <v>11663</v>
      </c>
      <c r="P29" s="1262">
        <f>O29/$O$29</f>
        <v>1</v>
      </c>
      <c r="R29" s="96" t="s">
        <v>517</v>
      </c>
      <c r="S29" s="94">
        <f t="shared" ref="S29:S44" si="44">SUM(U29:AC29)</f>
        <v>11663</v>
      </c>
      <c r="T29" s="97" t="s">
        <v>504</v>
      </c>
      <c r="U29" s="94">
        <f t="shared" ref="U29:AC29" si="45">SUM(U30:U32)</f>
        <v>148</v>
      </c>
      <c r="V29" s="94">
        <f t="shared" si="45"/>
        <v>148</v>
      </c>
      <c r="W29" s="94">
        <f t="shared" si="45"/>
        <v>661</v>
      </c>
      <c r="X29" s="94">
        <f t="shared" si="45"/>
        <v>748</v>
      </c>
      <c r="Y29" s="94">
        <f t="shared" si="45"/>
        <v>849</v>
      </c>
      <c r="Z29" s="94">
        <f t="shared" si="45"/>
        <v>689</v>
      </c>
      <c r="AA29" s="94">
        <f t="shared" si="45"/>
        <v>4208</v>
      </c>
      <c r="AB29" s="94">
        <f t="shared" si="45"/>
        <v>2761</v>
      </c>
      <c r="AC29" s="95">
        <f t="shared" si="45"/>
        <v>1451</v>
      </c>
    </row>
    <row r="30" spans="1:29">
      <c r="A30" s="31" t="s">
        <v>518</v>
      </c>
      <c r="B30" s="110">
        <f t="shared" si="42"/>
        <v>9405.0735659778784</v>
      </c>
      <c r="C30" s="94"/>
      <c r="D30" s="94">
        <f t="shared" ref="D30:D32" si="46">+U30/$O30*$N30</f>
        <v>114.78273171568206</v>
      </c>
      <c r="E30" s="94">
        <f t="shared" ref="E30:E32" si="47">+V30/$O30*$N30</f>
        <v>114.78273171568206</v>
      </c>
      <c r="F30" s="94">
        <f t="shared" ref="F30:F32" si="48">+W30/$O30*$N30</f>
        <v>537.34570865129035</v>
      </c>
      <c r="G30" s="94">
        <f t="shared" ref="G30:G32" si="49">+X30/$O30*$N30</f>
        <v>611.49738489239473</v>
      </c>
      <c r="H30" s="94">
        <f t="shared" ref="H30:H32" si="50">+Y30/$O30*$N30</f>
        <v>699.86993054960124</v>
      </c>
      <c r="I30" s="94">
        <f t="shared" ref="I30:I32" si="51">+Z30/$O30*$N30</f>
        <v>555.62968361485036</v>
      </c>
      <c r="J30" s="94">
        <f t="shared" ref="J30:J32" si="52">+AA30/$O30*$N30</f>
        <v>3345.9674183314755</v>
      </c>
      <c r="K30" s="94">
        <f t="shared" ref="K30:K32" si="53">+AB30/$O30*$N30</f>
        <v>2264.1655663208435</v>
      </c>
      <c r="L30" s="95">
        <f t="shared" ref="L30:L32" si="54">+AC30/$O30*$N30</f>
        <v>1161.0324101860585</v>
      </c>
      <c r="N30" s="1233">
        <f t="shared" ref="N30:N32" si="55">+P30*$M$29</f>
        <v>9405.0735659778784</v>
      </c>
      <c r="O30">
        <v>9259</v>
      </c>
      <c r="P30" s="1262">
        <f>O30/$O$29</f>
        <v>0.79387807596673243</v>
      </c>
      <c r="R30" s="31" t="s">
        <v>518</v>
      </c>
      <c r="S30" s="94">
        <f t="shared" si="44"/>
        <v>9259</v>
      </c>
      <c r="T30" s="94"/>
      <c r="U30" s="94">
        <v>113</v>
      </c>
      <c r="V30" s="94">
        <v>113</v>
      </c>
      <c r="W30" s="94">
        <v>529</v>
      </c>
      <c r="X30" s="94">
        <v>602</v>
      </c>
      <c r="Y30" s="94">
        <v>689</v>
      </c>
      <c r="Z30" s="94">
        <v>547</v>
      </c>
      <c r="AA30" s="94">
        <v>3294</v>
      </c>
      <c r="AB30" s="94">
        <v>2229</v>
      </c>
      <c r="AC30" s="95">
        <v>1143</v>
      </c>
    </row>
    <row r="31" spans="1:29">
      <c r="A31" s="31" t="s">
        <v>519</v>
      </c>
      <c r="B31" s="110">
        <f t="shared" si="42"/>
        <v>1392.6294263911516</v>
      </c>
      <c r="C31" s="94"/>
      <c r="D31" s="94">
        <f t="shared" si="46"/>
        <v>19.299751350424419</v>
      </c>
      <c r="E31" s="94">
        <f t="shared" si="47"/>
        <v>19.299751350424419</v>
      </c>
      <c r="F31" s="94">
        <f t="shared" si="48"/>
        <v>78.214781788562121</v>
      </c>
      <c r="G31" s="94">
        <f t="shared" si="49"/>
        <v>87.356769270342127</v>
      </c>
      <c r="H31" s="94">
        <f t="shared" si="50"/>
        <v>94.467203978393215</v>
      </c>
      <c r="I31" s="94">
        <f t="shared" si="51"/>
        <v>85.325216496613223</v>
      </c>
      <c r="J31" s="94">
        <f t="shared" si="52"/>
        <v>510.93552259281489</v>
      </c>
      <c r="K31" s="94">
        <f t="shared" si="53"/>
        <v>309.8117979936552</v>
      </c>
      <c r="L31" s="95">
        <f t="shared" si="54"/>
        <v>187.91863156992198</v>
      </c>
      <c r="M31" s="1006"/>
      <c r="N31" s="1233">
        <f t="shared" si="55"/>
        <v>1392.6294263911516</v>
      </c>
      <c r="O31">
        <v>1371</v>
      </c>
      <c r="P31" s="1262">
        <f t="shared" ref="P31:P32" si="56">O31/$O$29</f>
        <v>0.11755123038669296</v>
      </c>
      <c r="R31" s="31" t="s">
        <v>519</v>
      </c>
      <c r="S31" s="94">
        <f t="shared" si="44"/>
        <v>1371</v>
      </c>
      <c r="T31" s="94"/>
      <c r="U31" s="94">
        <v>19</v>
      </c>
      <c r="V31" s="94">
        <v>19</v>
      </c>
      <c r="W31" s="94">
        <v>77</v>
      </c>
      <c r="X31" s="94">
        <v>86</v>
      </c>
      <c r="Y31" s="94">
        <v>93</v>
      </c>
      <c r="Z31" s="94">
        <v>84</v>
      </c>
      <c r="AA31" s="94">
        <v>503</v>
      </c>
      <c r="AB31" s="94">
        <v>305</v>
      </c>
      <c r="AC31" s="95">
        <v>185</v>
      </c>
    </row>
    <row r="32" spans="1:29">
      <c r="A32" s="31" t="s">
        <v>520</v>
      </c>
      <c r="B32" s="110">
        <f t="shared" si="42"/>
        <v>1049.2970076309696</v>
      </c>
      <c r="C32" s="94"/>
      <c r="D32" s="94">
        <f t="shared" si="46"/>
        <v>16.252422189831087</v>
      </c>
      <c r="E32" s="94">
        <f t="shared" si="47"/>
        <v>16.252422189831087</v>
      </c>
      <c r="F32" s="94">
        <f t="shared" si="48"/>
        <v>55.867701277544363</v>
      </c>
      <c r="G32" s="94">
        <f t="shared" si="49"/>
        <v>60.946583211866574</v>
      </c>
      <c r="H32" s="94">
        <f t="shared" si="50"/>
        <v>68.057017919917683</v>
      </c>
      <c r="I32" s="94">
        <f t="shared" si="51"/>
        <v>58.915030438137691</v>
      </c>
      <c r="J32" s="94">
        <f t="shared" si="52"/>
        <v>417.48409500128611</v>
      </c>
      <c r="K32" s="94">
        <f t="shared" si="53"/>
        <v>230.58123981822857</v>
      </c>
      <c r="L32" s="95">
        <f t="shared" si="54"/>
        <v>124.94049558432648</v>
      </c>
      <c r="N32" s="1233">
        <f t="shared" si="55"/>
        <v>1049.2970076309696</v>
      </c>
      <c r="O32">
        <v>1033</v>
      </c>
      <c r="P32" s="1262">
        <f t="shared" si="56"/>
        <v>8.8570693646574633E-2</v>
      </c>
      <c r="R32" s="31" t="s">
        <v>520</v>
      </c>
      <c r="S32" s="94">
        <f t="shared" si="44"/>
        <v>1033</v>
      </c>
      <c r="T32" s="94"/>
      <c r="U32" s="94">
        <v>16</v>
      </c>
      <c r="V32" s="94">
        <v>16</v>
      </c>
      <c r="W32" s="94">
        <v>55</v>
      </c>
      <c r="X32" s="94">
        <v>60</v>
      </c>
      <c r="Y32" s="94">
        <v>67</v>
      </c>
      <c r="Z32" s="94">
        <v>58</v>
      </c>
      <c r="AA32" s="94">
        <v>411</v>
      </c>
      <c r="AB32" s="94">
        <v>227</v>
      </c>
      <c r="AC32" s="95">
        <v>123</v>
      </c>
    </row>
    <row r="33" spans="1:29">
      <c r="A33" s="31"/>
      <c r="B33" s="110"/>
      <c r="C33" s="94"/>
      <c r="D33" s="94"/>
      <c r="E33" s="94"/>
      <c r="F33" s="94"/>
      <c r="G33" s="94"/>
      <c r="H33" s="94"/>
      <c r="I33" s="94"/>
      <c r="J33" s="94"/>
      <c r="K33" s="94"/>
      <c r="L33" s="95"/>
      <c r="R33" s="31"/>
      <c r="S33" s="94"/>
      <c r="T33" s="94"/>
      <c r="U33" s="94"/>
      <c r="V33" s="94"/>
      <c r="W33" s="94"/>
      <c r="X33" s="94"/>
      <c r="Y33" s="94"/>
      <c r="Z33" s="94"/>
      <c r="AA33" s="94"/>
      <c r="AB33" s="94"/>
      <c r="AC33" s="95"/>
    </row>
    <row r="34" spans="1:29">
      <c r="A34" s="96" t="s">
        <v>521</v>
      </c>
      <c r="B34" s="110">
        <f t="shared" si="42"/>
        <v>119516</v>
      </c>
      <c r="C34" s="97" t="s">
        <v>504</v>
      </c>
      <c r="D34" s="94">
        <f>+D29+D25+D17+D9</f>
        <v>1480.8309684520029</v>
      </c>
      <c r="E34" s="94">
        <f t="shared" ref="E34:L34" si="57">+E29+E25+E17+E9</f>
        <v>1482.8679626725734</v>
      </c>
      <c r="F34" s="94">
        <f t="shared" si="57"/>
        <v>6040.4636884212414</v>
      </c>
      <c r="G34" s="94">
        <f t="shared" si="57"/>
        <v>6762.1196770537463</v>
      </c>
      <c r="H34" s="94">
        <f t="shared" si="57"/>
        <v>8349.3386208177271</v>
      </c>
      <c r="I34" s="94">
        <f t="shared" si="57"/>
        <v>7311.1291641834778</v>
      </c>
      <c r="J34" s="94">
        <f t="shared" si="57"/>
        <v>42757.598749159108</v>
      </c>
      <c r="K34" s="94">
        <f t="shared" si="57"/>
        <v>28903.364019546279</v>
      </c>
      <c r="L34" s="95">
        <f t="shared" si="57"/>
        <v>16428.287149693846</v>
      </c>
      <c r="M34" s="1005">
        <f>SUM(M9:M32)</f>
        <v>119516</v>
      </c>
      <c r="N34" s="1233">
        <f>+P34*$M$34</f>
        <v>0</v>
      </c>
      <c r="O34">
        <v>118588</v>
      </c>
      <c r="R34" s="96" t="s">
        <v>521</v>
      </c>
      <c r="S34" s="94">
        <f t="shared" si="44"/>
        <v>118588</v>
      </c>
      <c r="T34" s="97" t="s">
        <v>504</v>
      </c>
      <c r="U34" s="94">
        <f>+U29+U25+U17+U9</f>
        <v>1469</v>
      </c>
      <c r="V34" s="94">
        <f t="shared" ref="V34:AC34" si="58">+V29+V25+V17+V9</f>
        <v>1471</v>
      </c>
      <c r="W34" s="94">
        <f t="shared" si="58"/>
        <v>5991</v>
      </c>
      <c r="X34" s="94">
        <f t="shared" si="58"/>
        <v>6707</v>
      </c>
      <c r="Y34" s="94">
        <f t="shared" si="58"/>
        <v>8284</v>
      </c>
      <c r="Z34" s="94">
        <f t="shared" si="58"/>
        <v>7255</v>
      </c>
      <c r="AA34" s="94">
        <f t="shared" si="58"/>
        <v>42426</v>
      </c>
      <c r="AB34" s="94">
        <f t="shared" si="58"/>
        <v>28680</v>
      </c>
      <c r="AC34" s="95">
        <f t="shared" si="58"/>
        <v>16305</v>
      </c>
    </row>
    <row r="35" spans="1:29">
      <c r="A35" s="31"/>
      <c r="B35" s="110"/>
      <c r="C35" s="94"/>
      <c r="D35" s="94"/>
      <c r="E35" s="94"/>
      <c r="F35" s="94"/>
      <c r="G35" s="94"/>
      <c r="H35" s="94"/>
      <c r="I35" s="94"/>
      <c r="J35" s="94"/>
      <c r="K35" s="94"/>
      <c r="L35" s="95"/>
      <c r="R35" s="31"/>
      <c r="S35" s="94"/>
      <c r="T35" s="94"/>
      <c r="U35" s="94"/>
      <c r="V35" s="94"/>
      <c r="W35" s="94"/>
      <c r="X35" s="94"/>
      <c r="Y35" s="94"/>
      <c r="Z35" s="94"/>
      <c r="AA35" s="94"/>
      <c r="AB35" s="94"/>
      <c r="AC35" s="95"/>
    </row>
    <row r="36" spans="1:29">
      <c r="A36" s="31"/>
      <c r="B36" s="1263"/>
      <c r="C36" s="99"/>
      <c r="D36" s="99"/>
      <c r="E36" s="99"/>
      <c r="F36" s="99"/>
      <c r="G36" s="99"/>
      <c r="H36" s="99"/>
      <c r="I36" s="99"/>
      <c r="J36" s="99"/>
      <c r="K36" s="99"/>
      <c r="L36" s="100"/>
      <c r="R36" s="31"/>
      <c r="S36" s="99"/>
      <c r="T36" s="99"/>
      <c r="U36" s="99"/>
      <c r="V36" s="99"/>
      <c r="W36" s="99"/>
      <c r="X36" s="99"/>
      <c r="Y36" s="99"/>
      <c r="Z36" s="99"/>
      <c r="AA36" s="99"/>
      <c r="AB36" s="99"/>
      <c r="AC36" s="100"/>
    </row>
    <row r="37" spans="1:29">
      <c r="A37" s="96" t="s">
        <v>391</v>
      </c>
      <c r="B37" s="110">
        <f t="shared" si="42"/>
        <v>86062</v>
      </c>
      <c r="C37" s="97" t="s">
        <v>504</v>
      </c>
      <c r="D37" s="94">
        <f t="shared" ref="D37:L37" si="59">SUM(D38:D41)</f>
        <v>1063.7897032954147</v>
      </c>
      <c r="E37" s="94">
        <f t="shared" si="59"/>
        <v>1055.7153981470624</v>
      </c>
      <c r="F37" s="94">
        <f t="shared" si="59"/>
        <v>4255.1588131816588</v>
      </c>
      <c r="G37" s="94">
        <f t="shared" si="59"/>
        <v>4897.0660724756654</v>
      </c>
      <c r="H37" s="94">
        <f t="shared" si="59"/>
        <v>6094.0818107188943</v>
      </c>
      <c r="I37" s="94">
        <f t="shared" si="59"/>
        <v>5305.8277706110002</v>
      </c>
      <c r="J37" s="94">
        <f t="shared" si="59"/>
        <v>31776.427911340448</v>
      </c>
      <c r="K37" s="94">
        <f t="shared" si="59"/>
        <v>20141.354192564795</v>
      </c>
      <c r="L37" s="95">
        <f t="shared" si="59"/>
        <v>11472.578327665065</v>
      </c>
      <c r="M37" s="1005">
        <f>'7'!K20</f>
        <v>86062</v>
      </c>
      <c r="N37" s="1233">
        <f>+P37*$M$37</f>
        <v>86062</v>
      </c>
      <c r="O37">
        <v>85270</v>
      </c>
      <c r="P37" s="1262">
        <f>O37/$O$37</f>
        <v>1</v>
      </c>
      <c r="R37" s="96" t="s">
        <v>391</v>
      </c>
      <c r="S37" s="94">
        <f t="shared" si="44"/>
        <v>85270</v>
      </c>
      <c r="T37" s="97" t="s">
        <v>504</v>
      </c>
      <c r="U37" s="94">
        <f t="shared" ref="U37:AC37" si="60">SUM(U38:U41)</f>
        <v>1054</v>
      </c>
      <c r="V37" s="94">
        <f t="shared" si="60"/>
        <v>1046</v>
      </c>
      <c r="W37" s="94">
        <f t="shared" si="60"/>
        <v>4216</v>
      </c>
      <c r="X37" s="94">
        <f t="shared" si="60"/>
        <v>4852</v>
      </c>
      <c r="Y37" s="94">
        <f t="shared" si="60"/>
        <v>6038</v>
      </c>
      <c r="Z37" s="94">
        <f t="shared" si="60"/>
        <v>5257</v>
      </c>
      <c r="AA37" s="94">
        <f t="shared" si="60"/>
        <v>31484</v>
      </c>
      <c r="AB37" s="94">
        <f t="shared" si="60"/>
        <v>19956</v>
      </c>
      <c r="AC37" s="95">
        <f t="shared" si="60"/>
        <v>11367</v>
      </c>
    </row>
    <row r="38" spans="1:29">
      <c r="A38" s="31" t="s">
        <v>522</v>
      </c>
      <c r="B38" s="110">
        <f t="shared" si="42"/>
        <v>35958.917978186939</v>
      </c>
      <c r="C38" s="94"/>
      <c r="D38" s="94">
        <f t="shared" ref="D38:D41" si="61">+U38/$O38*$N38</f>
        <v>444.08678315937613</v>
      </c>
      <c r="E38" s="94">
        <f t="shared" ref="E38:E41" si="62">+V38/$O38*$N38</f>
        <v>443.07749501583214</v>
      </c>
      <c r="F38" s="94">
        <f t="shared" ref="F38:F41" si="63">+W38/$O38*$N38</f>
        <v>1773.3192682068725</v>
      </c>
      <c r="G38" s="94">
        <f t="shared" ref="G38:G41" si="64">+X38/$O38*$N38</f>
        <v>2046.8363551073064</v>
      </c>
      <c r="H38" s="94">
        <f t="shared" ref="H38:H41" si="65">+Y38/$O38*$N38</f>
        <v>2546.4339861616045</v>
      </c>
      <c r="I38" s="94">
        <f t="shared" ref="I38:I41" si="66">+Z38/$O38*$N38</f>
        <v>2221.4432039404246</v>
      </c>
      <c r="J38" s="94">
        <f t="shared" ref="J38:J41" si="67">+AA38/$O38*$N38</f>
        <v>13275.166952034715</v>
      </c>
      <c r="K38" s="94">
        <f t="shared" ref="K38:K41" si="68">+AB38/$O38*$N38</f>
        <v>8417.4631171572655</v>
      </c>
      <c r="L38" s="95">
        <f t="shared" ref="L38:L41" si="69">+AC38/$O38*$N38</f>
        <v>4791.0908174035421</v>
      </c>
      <c r="N38" s="1233">
        <f t="shared" ref="N38:N41" si="70">+P38*$M$37</f>
        <v>35958.917978186939</v>
      </c>
      <c r="O38">
        <v>35628</v>
      </c>
      <c r="P38" s="1262">
        <f>O38/$O$37</f>
        <v>0.41782573003400963</v>
      </c>
      <c r="R38" s="31" t="s">
        <v>522</v>
      </c>
      <c r="S38" s="94">
        <f t="shared" si="44"/>
        <v>35628</v>
      </c>
      <c r="T38" s="94"/>
      <c r="U38" s="94">
        <v>440</v>
      </c>
      <c r="V38" s="94">
        <v>439</v>
      </c>
      <c r="W38" s="94">
        <v>1757</v>
      </c>
      <c r="X38" s="94">
        <v>2028</v>
      </c>
      <c r="Y38" s="94">
        <v>2523</v>
      </c>
      <c r="Z38" s="94">
        <v>2201</v>
      </c>
      <c r="AA38" s="94">
        <v>13153</v>
      </c>
      <c r="AB38" s="94">
        <v>8340</v>
      </c>
      <c r="AC38" s="95">
        <v>4747</v>
      </c>
    </row>
    <row r="39" spans="1:29">
      <c r="A39" s="31" t="s">
        <v>612</v>
      </c>
      <c r="B39" s="110">
        <f t="shared" si="42"/>
        <v>38260.094945467339</v>
      </c>
      <c r="C39" s="94"/>
      <c r="D39" s="94">
        <f t="shared" si="61"/>
        <v>473.35613932215318</v>
      </c>
      <c r="E39" s="94">
        <f t="shared" si="62"/>
        <v>469.31898674797696</v>
      </c>
      <c r="F39" s="94">
        <f t="shared" si="63"/>
        <v>1892.4152691450686</v>
      </c>
      <c r="G39" s="94">
        <f t="shared" si="64"/>
        <v>2181.071678198663</v>
      </c>
      <c r="H39" s="94">
        <f t="shared" si="65"/>
        <v>2709.9386654157383</v>
      </c>
      <c r="I39" s="94">
        <f t="shared" si="66"/>
        <v>2351.6413744576053</v>
      </c>
      <c r="J39" s="94">
        <f t="shared" si="67"/>
        <v>14135.080450334232</v>
      </c>
      <c r="K39" s="94">
        <f t="shared" si="68"/>
        <v>8958.4415620968684</v>
      </c>
      <c r="L39" s="95">
        <f t="shared" si="69"/>
        <v>5088.8308197490323</v>
      </c>
      <c r="N39" s="1233">
        <f t="shared" si="70"/>
        <v>38260.094945467339</v>
      </c>
      <c r="O39">
        <v>37908</v>
      </c>
      <c r="P39" s="1262">
        <f t="shared" ref="P39:P41" si="71">O39/$O$37</f>
        <v>0.44456432508502403</v>
      </c>
      <c r="R39" s="31" t="s">
        <v>612</v>
      </c>
      <c r="S39" s="94">
        <f t="shared" si="44"/>
        <v>37908</v>
      </c>
      <c r="T39" s="94"/>
      <c r="U39" s="94">
        <v>469</v>
      </c>
      <c r="V39" s="94">
        <v>465</v>
      </c>
      <c r="W39" s="94">
        <v>1875</v>
      </c>
      <c r="X39" s="94">
        <v>2161</v>
      </c>
      <c r="Y39" s="94">
        <v>2685</v>
      </c>
      <c r="Z39" s="94">
        <v>2330</v>
      </c>
      <c r="AA39" s="94">
        <v>14005</v>
      </c>
      <c r="AB39" s="94">
        <v>8876</v>
      </c>
      <c r="AC39" s="95">
        <v>5042</v>
      </c>
    </row>
    <row r="40" spans="1:29">
      <c r="A40" s="31" t="s">
        <v>523</v>
      </c>
      <c r="B40" s="110">
        <f t="shared" si="42"/>
        <v>7846.2060279113393</v>
      </c>
      <c r="C40" s="94"/>
      <c r="D40" s="94">
        <f t="shared" si="61"/>
        <v>96.891661780227508</v>
      </c>
      <c r="E40" s="94">
        <f t="shared" si="62"/>
        <v>95.882373636683468</v>
      </c>
      <c r="F40" s="94">
        <f t="shared" si="63"/>
        <v>391.60379969508614</v>
      </c>
      <c r="G40" s="94">
        <f t="shared" si="64"/>
        <v>444.08678315937607</v>
      </c>
      <c r="H40" s="94">
        <f t="shared" si="65"/>
        <v>556.11776709276421</v>
      </c>
      <c r="I40" s="94">
        <f t="shared" si="66"/>
        <v>485.46759704468161</v>
      </c>
      <c r="J40" s="94">
        <f t="shared" si="67"/>
        <v>2895.6476838278409</v>
      </c>
      <c r="K40" s="94">
        <f t="shared" si="68"/>
        <v>1832.8672686759703</v>
      </c>
      <c r="L40" s="95">
        <f t="shared" si="69"/>
        <v>1047.6410929987098</v>
      </c>
      <c r="N40" s="1233">
        <f t="shared" si="70"/>
        <v>7846.2060279113402</v>
      </c>
      <c r="O40">
        <v>7774</v>
      </c>
      <c r="P40" s="1262">
        <f t="shared" si="71"/>
        <v>9.1169227160783392E-2</v>
      </c>
      <c r="R40" s="31" t="s">
        <v>523</v>
      </c>
      <c r="S40" s="94">
        <f t="shared" si="44"/>
        <v>7774</v>
      </c>
      <c r="T40" s="94"/>
      <c r="U40" s="94">
        <v>96</v>
      </c>
      <c r="V40" s="94">
        <v>95</v>
      </c>
      <c r="W40" s="94">
        <v>388</v>
      </c>
      <c r="X40" s="94">
        <v>440</v>
      </c>
      <c r="Y40" s="94">
        <v>551</v>
      </c>
      <c r="Z40" s="94">
        <v>481</v>
      </c>
      <c r="AA40" s="94">
        <v>2869</v>
      </c>
      <c r="AB40" s="94">
        <v>1816</v>
      </c>
      <c r="AC40" s="95">
        <v>1038</v>
      </c>
    </row>
    <row r="41" spans="1:29">
      <c r="A41" s="31" t="s">
        <v>315</v>
      </c>
      <c r="B41" s="110">
        <f t="shared" si="42"/>
        <v>3996.7810484343845</v>
      </c>
      <c r="C41" s="94"/>
      <c r="D41" s="94">
        <f t="shared" si="61"/>
        <v>49.455119033657795</v>
      </c>
      <c r="E41" s="94">
        <f t="shared" si="62"/>
        <v>47.436542746569721</v>
      </c>
      <c r="F41" s="94">
        <f t="shared" si="63"/>
        <v>197.82047613463118</v>
      </c>
      <c r="G41" s="94">
        <f t="shared" si="64"/>
        <v>225.07125601032018</v>
      </c>
      <c r="H41" s="94">
        <f t="shared" si="65"/>
        <v>281.59139204878619</v>
      </c>
      <c r="I41" s="94">
        <f t="shared" si="66"/>
        <v>247.27559516828899</v>
      </c>
      <c r="J41" s="94">
        <f t="shared" si="67"/>
        <v>1470.5328251436613</v>
      </c>
      <c r="K41" s="94">
        <f t="shared" si="68"/>
        <v>932.5822446346898</v>
      </c>
      <c r="L41" s="95">
        <f t="shared" si="69"/>
        <v>545.01559751377977</v>
      </c>
      <c r="N41" s="1233">
        <f t="shared" si="70"/>
        <v>3996.781048434385</v>
      </c>
      <c r="O41">
        <v>3960</v>
      </c>
      <c r="P41" s="1262">
        <f t="shared" si="71"/>
        <v>4.6440717720182947E-2</v>
      </c>
      <c r="R41" s="31" t="s">
        <v>315</v>
      </c>
      <c r="S41" s="94">
        <f t="shared" si="44"/>
        <v>3960</v>
      </c>
      <c r="T41" s="94"/>
      <c r="U41" s="94">
        <v>49</v>
      </c>
      <c r="V41" s="94">
        <v>47</v>
      </c>
      <c r="W41" s="94">
        <v>196</v>
      </c>
      <c r="X41" s="94">
        <v>223</v>
      </c>
      <c r="Y41" s="94">
        <v>279</v>
      </c>
      <c r="Z41" s="94">
        <v>245</v>
      </c>
      <c r="AA41" s="94">
        <v>1457</v>
      </c>
      <c r="AB41" s="94">
        <v>924</v>
      </c>
      <c r="AC41" s="95">
        <v>540</v>
      </c>
    </row>
    <row r="42" spans="1:29">
      <c r="A42" s="31"/>
      <c r="B42" s="1263"/>
      <c r="C42" s="99"/>
      <c r="D42" s="99"/>
      <c r="E42" s="99"/>
      <c r="F42" s="99"/>
      <c r="G42" s="99"/>
      <c r="H42" s="99"/>
      <c r="I42" s="99"/>
      <c r="J42" s="99"/>
      <c r="K42" s="99"/>
      <c r="L42" s="100"/>
      <c r="R42" s="31"/>
      <c r="S42" s="99"/>
      <c r="T42" s="99"/>
      <c r="U42" s="99"/>
      <c r="V42" s="99"/>
      <c r="W42" s="99"/>
      <c r="X42" s="99"/>
      <c r="Y42" s="99"/>
      <c r="Z42" s="99"/>
      <c r="AA42" s="99"/>
      <c r="AB42" s="99"/>
      <c r="AC42" s="100"/>
    </row>
    <row r="43" spans="1:29">
      <c r="A43" s="96" t="s">
        <v>524</v>
      </c>
      <c r="B43" s="110">
        <f t="shared" si="42"/>
        <v>17945.000000000004</v>
      </c>
      <c r="C43" s="97" t="s">
        <v>504</v>
      </c>
      <c r="D43" s="94">
        <f t="shared" ref="D43:L43" si="72">SUM(D44:D54)</f>
        <v>205.95258089799574</v>
      </c>
      <c r="E43" s="94">
        <f t="shared" si="72"/>
        <v>205.95258089799574</v>
      </c>
      <c r="F43" s="94">
        <f t="shared" si="72"/>
        <v>831.84749748068532</v>
      </c>
      <c r="G43" s="94">
        <f t="shared" si="72"/>
        <v>941.35399171425377</v>
      </c>
      <c r="H43" s="94">
        <f t="shared" si="72"/>
        <v>1178.4506214309708</v>
      </c>
      <c r="I43" s="94">
        <f t="shared" si="72"/>
        <v>1090.0417086552459</v>
      </c>
      <c r="J43" s="94">
        <f t="shared" si="72"/>
        <v>5922.3925092374875</v>
      </c>
      <c r="K43" s="94">
        <f t="shared" si="72"/>
        <v>4507.8499048258882</v>
      </c>
      <c r="L43" s="95">
        <f t="shared" si="72"/>
        <v>3061.1586048594786</v>
      </c>
      <c r="M43" s="1005">
        <f>+'7'!L20</f>
        <v>17945</v>
      </c>
      <c r="N43" s="1233">
        <f>+P43*$M$43</f>
        <v>17945</v>
      </c>
      <c r="O43">
        <v>17862</v>
      </c>
      <c r="P43" s="1262">
        <f>O43/$O$43</f>
        <v>1</v>
      </c>
      <c r="R43" s="96" t="s">
        <v>524</v>
      </c>
      <c r="S43" s="94">
        <f t="shared" si="44"/>
        <v>17862</v>
      </c>
      <c r="T43" s="97" t="s">
        <v>504</v>
      </c>
      <c r="U43" s="94">
        <f t="shared" ref="U43:AC43" si="73">SUM(U44:U54)</f>
        <v>205</v>
      </c>
      <c r="V43" s="94">
        <f t="shared" si="73"/>
        <v>205</v>
      </c>
      <c r="W43" s="94">
        <f t="shared" si="73"/>
        <v>828</v>
      </c>
      <c r="X43" s="94">
        <f t="shared" si="73"/>
        <v>937</v>
      </c>
      <c r="Y43" s="94">
        <f t="shared" si="73"/>
        <v>1173</v>
      </c>
      <c r="Z43" s="94">
        <f t="shared" si="73"/>
        <v>1085</v>
      </c>
      <c r="AA43" s="94">
        <f t="shared" si="73"/>
        <v>5895</v>
      </c>
      <c r="AB43" s="94">
        <f t="shared" si="73"/>
        <v>4487</v>
      </c>
      <c r="AC43" s="95">
        <f t="shared" si="73"/>
        <v>3047</v>
      </c>
    </row>
    <row r="44" spans="1:29">
      <c r="A44" s="31" t="s">
        <v>525</v>
      </c>
      <c r="B44" s="1264">
        <f t="shared" si="42"/>
        <v>5840.0114768782896</v>
      </c>
      <c r="C44" s="764"/>
      <c r="D44" s="94">
        <f t="shared" ref="D44:D54" si="74">+U44/$O44*$N44</f>
        <v>56.260217220915912</v>
      </c>
      <c r="E44" s="94">
        <f t="shared" ref="E44:E54" si="75">+V44/$O44*$N44</f>
        <v>57.264863957003705</v>
      </c>
      <c r="F44" s="94">
        <f t="shared" ref="F44:F54" si="76">+W44/$O44*$N44</f>
        <v>211.98046131452247</v>
      </c>
      <c r="G44" s="94">
        <f t="shared" ref="G44:G54" si="77">+X44/$O44*$N44</f>
        <v>264.22209159108723</v>
      </c>
      <c r="H44" s="94">
        <f t="shared" ref="H44:H54" si="78">+Y44/$O44*$N44</f>
        <v>376.7425260329191</v>
      </c>
      <c r="I44" s="94">
        <f t="shared" ref="I44:I54" si="79">+Z44/$O44*$N44</f>
        <v>331.53342290896876</v>
      </c>
      <c r="J44" s="94">
        <f t="shared" ref="J44:J54" si="80">+AA44/$O44*$N44</f>
        <v>1934.9496137050726</v>
      </c>
      <c r="K44" s="94">
        <f t="shared" ref="K44:K54" si="81">+AB44/$O44*$N44</f>
        <v>1502.9515171873254</v>
      </c>
      <c r="L44" s="95">
        <f t="shared" ref="L44:L54" si="82">+AC44/$O44*$N44</f>
        <v>1104.1067629604747</v>
      </c>
      <c r="N44" s="1233">
        <f t="shared" ref="N44:N54" si="83">+P44*$M$43</f>
        <v>5840.0114768782896</v>
      </c>
      <c r="O44">
        <v>5813</v>
      </c>
      <c r="P44" s="1262">
        <f>O44/$O$43</f>
        <v>0.32543948046131455</v>
      </c>
      <c r="R44" s="31" t="s">
        <v>525</v>
      </c>
      <c r="S44" s="764">
        <f t="shared" si="44"/>
        <v>5813</v>
      </c>
      <c r="T44" s="764"/>
      <c r="U44" s="764">
        <v>56</v>
      </c>
      <c r="V44" s="764">
        <v>57</v>
      </c>
      <c r="W44" s="764">
        <v>211</v>
      </c>
      <c r="X44" s="764">
        <v>263</v>
      </c>
      <c r="Y44" s="764">
        <v>375</v>
      </c>
      <c r="Z44" s="764">
        <v>330</v>
      </c>
      <c r="AA44" s="764">
        <v>1926</v>
      </c>
      <c r="AB44" s="764">
        <v>1496</v>
      </c>
      <c r="AC44" s="765">
        <v>1099</v>
      </c>
    </row>
    <row r="45" spans="1:29">
      <c r="A45" s="31" t="s">
        <v>526</v>
      </c>
      <c r="B45" s="1264">
        <f t="shared" ref="B45:B59" si="84">SUM(D45:L45)</f>
        <v>2549.7934161907961</v>
      </c>
      <c r="C45" s="764"/>
      <c r="D45" s="94">
        <f t="shared" si="74"/>
        <v>29.134755346545738</v>
      </c>
      <c r="E45" s="94">
        <f t="shared" si="75"/>
        <v>29.134755346545738</v>
      </c>
      <c r="F45" s="94">
        <f t="shared" si="76"/>
        <v>114.5297279140074</v>
      </c>
      <c r="G45" s="94">
        <f t="shared" si="77"/>
        <v>134.62266263576308</v>
      </c>
      <c r="H45" s="94">
        <f t="shared" si="78"/>
        <v>166.77135819057216</v>
      </c>
      <c r="I45" s="94">
        <f t="shared" si="79"/>
        <v>154.71559735751873</v>
      </c>
      <c r="J45" s="94">
        <f t="shared" si="80"/>
        <v>841.89396484156305</v>
      </c>
      <c r="K45" s="94">
        <f t="shared" si="81"/>
        <v>640.96461762400622</v>
      </c>
      <c r="L45" s="95">
        <f t="shared" si="82"/>
        <v>438.02597693427384</v>
      </c>
      <c r="N45" s="1233">
        <f t="shared" si="83"/>
        <v>2549.7934161907961</v>
      </c>
      <c r="O45">
        <v>2538</v>
      </c>
      <c r="P45" s="1262">
        <f t="shared" ref="P45:P54" si="85">O45/$O$43</f>
        <v>0.1420893516963386</v>
      </c>
      <c r="R45" s="31" t="s">
        <v>526</v>
      </c>
      <c r="S45" s="764">
        <f t="shared" ref="S45:S59" si="86">SUM(U45:AC45)</f>
        <v>2538</v>
      </c>
      <c r="T45" s="764"/>
      <c r="U45" s="764">
        <v>29</v>
      </c>
      <c r="V45" s="764">
        <v>29</v>
      </c>
      <c r="W45" s="764">
        <v>114</v>
      </c>
      <c r="X45" s="764">
        <v>134</v>
      </c>
      <c r="Y45" s="764">
        <v>166</v>
      </c>
      <c r="Z45" s="764">
        <v>154</v>
      </c>
      <c r="AA45" s="764">
        <v>838</v>
      </c>
      <c r="AB45" s="764">
        <v>638</v>
      </c>
      <c r="AC45" s="765">
        <v>436</v>
      </c>
    </row>
    <row r="46" spans="1:29">
      <c r="A46" s="31" t="s">
        <v>1283</v>
      </c>
      <c r="B46" s="1264">
        <f t="shared" si="84"/>
        <v>1402.4868435785468</v>
      </c>
      <c r="C46" s="764"/>
      <c r="D46" s="94">
        <f t="shared" si="74"/>
        <v>16.074347777404547</v>
      </c>
      <c r="E46" s="94">
        <f t="shared" si="75"/>
        <v>16.074347777404547</v>
      </c>
      <c r="F46" s="94">
        <f t="shared" si="76"/>
        <v>65.302037845705968</v>
      </c>
      <c r="G46" s="94">
        <f t="shared" si="77"/>
        <v>73.339211734408252</v>
      </c>
      <c r="H46" s="94">
        <f t="shared" si="78"/>
        <v>92.427499720076142</v>
      </c>
      <c r="I46" s="94">
        <f t="shared" si="79"/>
        <v>84.390325831373872</v>
      </c>
      <c r="J46" s="94">
        <f t="shared" si="80"/>
        <v>461.13285186429295</v>
      </c>
      <c r="K46" s="94">
        <f t="shared" si="81"/>
        <v>352.63100436681225</v>
      </c>
      <c r="L46" s="95">
        <f t="shared" si="82"/>
        <v>241.11521666106819</v>
      </c>
      <c r="N46" s="1233">
        <f t="shared" si="83"/>
        <v>1402.4868435785468</v>
      </c>
      <c r="O46">
        <v>1396</v>
      </c>
      <c r="P46" s="1262">
        <f t="shared" si="85"/>
        <v>7.8154741910200429E-2</v>
      </c>
      <c r="R46" s="31" t="s">
        <v>1283</v>
      </c>
      <c r="S46" s="764">
        <f t="shared" si="86"/>
        <v>1396</v>
      </c>
      <c r="T46" s="764"/>
      <c r="U46" s="764">
        <v>16</v>
      </c>
      <c r="V46" s="764">
        <v>16</v>
      </c>
      <c r="W46" s="764">
        <v>65</v>
      </c>
      <c r="X46" s="764">
        <v>73</v>
      </c>
      <c r="Y46" s="764">
        <v>92</v>
      </c>
      <c r="Z46" s="764">
        <v>84</v>
      </c>
      <c r="AA46" s="764">
        <v>459</v>
      </c>
      <c r="AB46" s="764">
        <v>351</v>
      </c>
      <c r="AC46" s="765">
        <v>240</v>
      </c>
    </row>
    <row r="47" spans="1:29">
      <c r="A47" s="31" t="s">
        <v>528</v>
      </c>
      <c r="B47" s="1264">
        <f t="shared" si="84"/>
        <v>1266.8595342066956</v>
      </c>
      <c r="C47" s="764"/>
      <c r="D47" s="94">
        <f t="shared" si="74"/>
        <v>15.069701041316762</v>
      </c>
      <c r="E47" s="94">
        <f t="shared" si="75"/>
        <v>15.069701041316762</v>
      </c>
      <c r="F47" s="94">
        <f t="shared" si="76"/>
        <v>78.362445414847173</v>
      </c>
      <c r="G47" s="94">
        <f t="shared" si="77"/>
        <v>79.367092150934951</v>
      </c>
      <c r="H47" s="94">
        <f t="shared" si="78"/>
        <v>84.390325831373872</v>
      </c>
      <c r="I47" s="94">
        <f t="shared" si="79"/>
        <v>83.385679095286079</v>
      </c>
      <c r="J47" s="94">
        <f t="shared" si="80"/>
        <v>416.92839547643041</v>
      </c>
      <c r="K47" s="94">
        <f t="shared" si="81"/>
        <v>308.42654797894971</v>
      </c>
      <c r="L47" s="95">
        <f t="shared" si="82"/>
        <v>185.85964617624006</v>
      </c>
      <c r="N47" s="1233">
        <f t="shared" si="83"/>
        <v>1266.8595342066958</v>
      </c>
      <c r="O47">
        <v>1261</v>
      </c>
      <c r="P47" s="1262">
        <f t="shared" si="85"/>
        <v>7.0596797671033482E-2</v>
      </c>
      <c r="R47" s="31" t="s">
        <v>528</v>
      </c>
      <c r="S47" s="764">
        <f t="shared" si="86"/>
        <v>1261</v>
      </c>
      <c r="T47" s="764"/>
      <c r="U47" s="764">
        <v>15</v>
      </c>
      <c r="V47" s="764">
        <v>15</v>
      </c>
      <c r="W47" s="764">
        <v>78</v>
      </c>
      <c r="X47" s="764">
        <v>79</v>
      </c>
      <c r="Y47" s="764">
        <v>84</v>
      </c>
      <c r="Z47" s="764">
        <v>83</v>
      </c>
      <c r="AA47" s="764">
        <v>415</v>
      </c>
      <c r="AB47" s="764">
        <v>307</v>
      </c>
      <c r="AC47" s="765">
        <v>185</v>
      </c>
    </row>
    <row r="48" spans="1:29">
      <c r="A48" s="31" t="s">
        <v>529</v>
      </c>
      <c r="B48" s="1264">
        <f t="shared" si="84"/>
        <v>1128.2182846265814</v>
      </c>
      <c r="C48" s="764"/>
      <c r="D48" s="94">
        <f t="shared" si="74"/>
        <v>13.060407569141192</v>
      </c>
      <c r="E48" s="94">
        <f t="shared" si="75"/>
        <v>12.055760833053409</v>
      </c>
      <c r="F48" s="94">
        <f t="shared" si="76"/>
        <v>52.24163027656477</v>
      </c>
      <c r="G48" s="94">
        <f t="shared" si="77"/>
        <v>59.274157429179255</v>
      </c>
      <c r="H48" s="94">
        <f t="shared" si="78"/>
        <v>74.343858470496016</v>
      </c>
      <c r="I48" s="94">
        <f t="shared" si="79"/>
        <v>67.311331317881525</v>
      </c>
      <c r="J48" s="94">
        <f t="shared" si="80"/>
        <v>370.71464561639226</v>
      </c>
      <c r="K48" s="94">
        <f t="shared" si="81"/>
        <v>283.31037957675505</v>
      </c>
      <c r="L48" s="95">
        <f t="shared" si="82"/>
        <v>195.90611353711788</v>
      </c>
      <c r="N48" s="1233">
        <f t="shared" si="83"/>
        <v>1128.2182846265814</v>
      </c>
      <c r="O48">
        <v>1123</v>
      </c>
      <c r="P48" s="1262">
        <f t="shared" si="85"/>
        <v>6.2870899115440596E-2</v>
      </c>
      <c r="R48" s="31" t="s">
        <v>529</v>
      </c>
      <c r="S48" s="764">
        <f t="shared" si="86"/>
        <v>1123</v>
      </c>
      <c r="T48" s="764"/>
      <c r="U48" s="764">
        <v>13</v>
      </c>
      <c r="V48" s="764">
        <v>12</v>
      </c>
      <c r="W48" s="764">
        <v>52</v>
      </c>
      <c r="X48" s="764">
        <v>59</v>
      </c>
      <c r="Y48" s="764">
        <v>74</v>
      </c>
      <c r="Z48" s="764">
        <v>67</v>
      </c>
      <c r="AA48" s="764">
        <v>369</v>
      </c>
      <c r="AB48" s="764">
        <v>282</v>
      </c>
      <c r="AC48" s="765">
        <v>195</v>
      </c>
    </row>
    <row r="49" spans="1:29">
      <c r="A49" s="31" t="s">
        <v>530</v>
      </c>
      <c r="B49" s="1264">
        <f t="shared" si="84"/>
        <v>1156.3483932370393</v>
      </c>
      <c r="C49" s="764"/>
      <c r="D49" s="94">
        <f t="shared" si="74"/>
        <v>15.069701041316758</v>
      </c>
      <c r="E49" s="94">
        <f t="shared" si="75"/>
        <v>15.069701041316758</v>
      </c>
      <c r="F49" s="94">
        <f t="shared" si="76"/>
        <v>72.334564998320445</v>
      </c>
      <c r="G49" s="94">
        <f t="shared" si="77"/>
        <v>73.339211734408224</v>
      </c>
      <c r="H49" s="94">
        <f t="shared" si="78"/>
        <v>82.381032359198286</v>
      </c>
      <c r="I49" s="94">
        <f t="shared" si="79"/>
        <v>82.381032359198286</v>
      </c>
      <c r="J49" s="94">
        <f t="shared" si="80"/>
        <v>395.83081401858686</v>
      </c>
      <c r="K49" s="94">
        <f t="shared" si="81"/>
        <v>264.22209159108718</v>
      </c>
      <c r="L49" s="95">
        <f t="shared" si="82"/>
        <v>155.72024409360651</v>
      </c>
      <c r="N49" s="1233">
        <f t="shared" si="83"/>
        <v>1156.3483932370393</v>
      </c>
      <c r="O49">
        <v>1151</v>
      </c>
      <c r="P49" s="1262">
        <f t="shared" si="85"/>
        <v>6.4438472735415961E-2</v>
      </c>
      <c r="R49" s="31" t="s">
        <v>530</v>
      </c>
      <c r="S49" s="764">
        <f t="shared" si="86"/>
        <v>1151</v>
      </c>
      <c r="T49" s="764"/>
      <c r="U49" s="764">
        <v>15</v>
      </c>
      <c r="V49" s="764">
        <v>15</v>
      </c>
      <c r="W49" s="764">
        <v>72</v>
      </c>
      <c r="X49" s="764">
        <v>73</v>
      </c>
      <c r="Y49" s="764">
        <v>82</v>
      </c>
      <c r="Z49" s="764">
        <v>82</v>
      </c>
      <c r="AA49" s="764">
        <v>394</v>
      </c>
      <c r="AB49" s="764">
        <v>263</v>
      </c>
      <c r="AC49" s="765">
        <v>155</v>
      </c>
    </row>
    <row r="50" spans="1:29">
      <c r="A50" s="31" t="s">
        <v>531</v>
      </c>
      <c r="B50" s="1264">
        <f t="shared" si="84"/>
        <v>1371.342794759825</v>
      </c>
      <c r="C50" s="764"/>
      <c r="D50" s="94">
        <f t="shared" si="74"/>
        <v>16.074347777404544</v>
      </c>
      <c r="E50" s="94">
        <f t="shared" si="75"/>
        <v>16.074347777404544</v>
      </c>
      <c r="F50" s="94">
        <f t="shared" si="76"/>
        <v>63.292744373530397</v>
      </c>
      <c r="G50" s="94">
        <f t="shared" si="77"/>
        <v>70.325271526144874</v>
      </c>
      <c r="H50" s="94">
        <f t="shared" si="78"/>
        <v>90.418206247900571</v>
      </c>
      <c r="I50" s="94">
        <f t="shared" si="79"/>
        <v>82.381032359198286</v>
      </c>
      <c r="J50" s="94">
        <f t="shared" si="80"/>
        <v>452.0910312395028</v>
      </c>
      <c r="K50" s="94">
        <f t="shared" si="81"/>
        <v>344.59383047810991</v>
      </c>
      <c r="L50" s="95">
        <f t="shared" si="82"/>
        <v>236.09198298062924</v>
      </c>
      <c r="N50" s="1233">
        <f t="shared" si="83"/>
        <v>1371.3427947598252</v>
      </c>
      <c r="O50">
        <v>1365</v>
      </c>
      <c r="P50" s="1262">
        <f t="shared" si="85"/>
        <v>7.6419213973799124E-2</v>
      </c>
      <c r="R50" s="31" t="s">
        <v>531</v>
      </c>
      <c r="S50" s="764">
        <f t="shared" si="86"/>
        <v>1365</v>
      </c>
      <c r="T50" s="764"/>
      <c r="U50" s="764">
        <v>16</v>
      </c>
      <c r="V50" s="764">
        <v>16</v>
      </c>
      <c r="W50" s="764">
        <v>63</v>
      </c>
      <c r="X50" s="764">
        <v>70</v>
      </c>
      <c r="Y50" s="764">
        <v>90</v>
      </c>
      <c r="Z50" s="764">
        <v>82</v>
      </c>
      <c r="AA50" s="764">
        <v>450</v>
      </c>
      <c r="AB50" s="764">
        <v>343</v>
      </c>
      <c r="AC50" s="765">
        <v>235</v>
      </c>
    </row>
    <row r="51" spans="1:29">
      <c r="A51" s="31" t="s">
        <v>532</v>
      </c>
      <c r="B51" s="1264">
        <f t="shared" si="84"/>
        <v>1214.6179039301314</v>
      </c>
      <c r="C51" s="764"/>
      <c r="D51" s="94">
        <f t="shared" si="74"/>
        <v>14.06505430522898</v>
      </c>
      <c r="E51" s="94">
        <f t="shared" si="75"/>
        <v>14.06505430522898</v>
      </c>
      <c r="F51" s="94">
        <f t="shared" si="76"/>
        <v>56.260217220915919</v>
      </c>
      <c r="G51" s="94">
        <f t="shared" si="77"/>
        <v>64.297391109618189</v>
      </c>
      <c r="H51" s="94">
        <f t="shared" si="78"/>
        <v>79.367092150934965</v>
      </c>
      <c r="I51" s="94">
        <f t="shared" si="79"/>
        <v>72.334564998320474</v>
      </c>
      <c r="J51" s="94">
        <f t="shared" si="80"/>
        <v>400.85404769902595</v>
      </c>
      <c r="K51" s="94">
        <f t="shared" si="81"/>
        <v>305.41260777068641</v>
      </c>
      <c r="L51" s="95">
        <f t="shared" si="82"/>
        <v>207.96187437017136</v>
      </c>
      <c r="N51" s="1233">
        <f t="shared" si="83"/>
        <v>1214.6179039301312</v>
      </c>
      <c r="O51">
        <v>1209</v>
      </c>
      <c r="P51" s="1262">
        <f t="shared" si="85"/>
        <v>6.768558951965066E-2</v>
      </c>
      <c r="R51" s="31" t="s">
        <v>532</v>
      </c>
      <c r="S51" s="764">
        <f t="shared" si="86"/>
        <v>1209</v>
      </c>
      <c r="T51" s="764"/>
      <c r="U51" s="764">
        <v>14</v>
      </c>
      <c r="V51" s="764">
        <v>14</v>
      </c>
      <c r="W51" s="764">
        <v>56</v>
      </c>
      <c r="X51" s="764">
        <v>64</v>
      </c>
      <c r="Y51" s="764">
        <v>79</v>
      </c>
      <c r="Z51" s="764">
        <v>72</v>
      </c>
      <c r="AA51" s="764">
        <v>399</v>
      </c>
      <c r="AB51" s="764">
        <v>304</v>
      </c>
      <c r="AC51" s="765">
        <v>207</v>
      </c>
    </row>
    <row r="52" spans="1:29">
      <c r="A52" s="31" t="s">
        <v>533</v>
      </c>
      <c r="B52" s="1264">
        <f t="shared" si="84"/>
        <v>1314.0779308028216</v>
      </c>
      <c r="C52" s="764"/>
      <c r="D52" s="94">
        <f t="shared" si="74"/>
        <v>19.088287985667897</v>
      </c>
      <c r="E52" s="94">
        <f t="shared" si="75"/>
        <v>19.088287985667897</v>
      </c>
      <c r="F52" s="94">
        <f t="shared" si="76"/>
        <v>69.32062479005711</v>
      </c>
      <c r="G52" s="94">
        <f t="shared" si="77"/>
        <v>74.343858470496016</v>
      </c>
      <c r="H52" s="94">
        <f t="shared" si="78"/>
        <v>86.399619303549429</v>
      </c>
      <c r="I52" s="94">
        <f t="shared" si="79"/>
        <v>86.399619303549429</v>
      </c>
      <c r="J52" s="94">
        <f t="shared" si="80"/>
        <v>431.99809651774717</v>
      </c>
      <c r="K52" s="94">
        <f t="shared" si="81"/>
        <v>338.56595006158324</v>
      </c>
      <c r="L52" s="95">
        <f t="shared" si="82"/>
        <v>188.8735863845034</v>
      </c>
      <c r="N52" s="1233">
        <f t="shared" si="83"/>
        <v>1314.0779308028216</v>
      </c>
      <c r="O52">
        <v>1308</v>
      </c>
      <c r="P52" s="1262">
        <f t="shared" si="85"/>
        <v>7.3228081961706409E-2</v>
      </c>
      <c r="R52" s="31" t="s">
        <v>533</v>
      </c>
      <c r="S52" s="764">
        <f t="shared" si="86"/>
        <v>1308</v>
      </c>
      <c r="T52" s="764"/>
      <c r="U52" s="764">
        <v>19</v>
      </c>
      <c r="V52" s="764">
        <v>19</v>
      </c>
      <c r="W52" s="764">
        <v>69</v>
      </c>
      <c r="X52" s="764">
        <v>74</v>
      </c>
      <c r="Y52" s="764">
        <v>86</v>
      </c>
      <c r="Z52" s="764">
        <v>86</v>
      </c>
      <c r="AA52" s="764">
        <v>430</v>
      </c>
      <c r="AB52" s="764">
        <v>337</v>
      </c>
      <c r="AC52" s="765">
        <v>188</v>
      </c>
    </row>
    <row r="53" spans="1:29">
      <c r="A53" s="31" t="s">
        <v>534</v>
      </c>
      <c r="B53" s="1264">
        <f t="shared" si="84"/>
        <v>324.50089575635423</v>
      </c>
      <c r="C53" s="764"/>
      <c r="D53" s="94">
        <f t="shared" si="74"/>
        <v>6.0278804165267035</v>
      </c>
      <c r="E53" s="94">
        <f t="shared" si="75"/>
        <v>6.0278804165267035</v>
      </c>
      <c r="F53" s="94">
        <f t="shared" si="76"/>
        <v>22.102228193931246</v>
      </c>
      <c r="G53" s="94">
        <f t="shared" si="77"/>
        <v>21.097581457843464</v>
      </c>
      <c r="H53" s="94">
        <f t="shared" si="78"/>
        <v>22.102228193931246</v>
      </c>
      <c r="I53" s="94">
        <f t="shared" si="79"/>
        <v>22.102228193931246</v>
      </c>
      <c r="J53" s="94">
        <f t="shared" si="80"/>
        <v>94.436793192251685</v>
      </c>
      <c r="K53" s="94">
        <f t="shared" si="81"/>
        <v>77.357798678759366</v>
      </c>
      <c r="L53" s="95">
        <f t="shared" si="82"/>
        <v>53.246277012652556</v>
      </c>
      <c r="N53" s="1233">
        <f t="shared" si="83"/>
        <v>324.50089575635423</v>
      </c>
      <c r="O53">
        <v>323</v>
      </c>
      <c r="P53" s="1262">
        <f t="shared" si="85"/>
        <v>1.8083081401858693E-2</v>
      </c>
      <c r="R53" s="31" t="s">
        <v>534</v>
      </c>
      <c r="S53" s="764">
        <f t="shared" si="86"/>
        <v>323</v>
      </c>
      <c r="T53" s="764"/>
      <c r="U53" s="764">
        <v>6</v>
      </c>
      <c r="V53" s="764">
        <v>6</v>
      </c>
      <c r="W53" s="764">
        <v>22</v>
      </c>
      <c r="X53" s="764">
        <v>21</v>
      </c>
      <c r="Y53" s="764">
        <v>22</v>
      </c>
      <c r="Z53" s="764">
        <v>22</v>
      </c>
      <c r="AA53" s="764">
        <v>94</v>
      </c>
      <c r="AB53" s="764">
        <v>77</v>
      </c>
      <c r="AC53" s="765">
        <v>53</v>
      </c>
    </row>
    <row r="54" spans="1:29">
      <c r="A54" s="31" t="s">
        <v>535</v>
      </c>
      <c r="B54" s="1264">
        <f t="shared" si="84"/>
        <v>376.74252603291905</v>
      </c>
      <c r="C54" s="764"/>
      <c r="D54" s="94">
        <f t="shared" si="74"/>
        <v>6.0278804165267053</v>
      </c>
      <c r="E54" s="94">
        <f t="shared" si="75"/>
        <v>6.0278804165267053</v>
      </c>
      <c r="F54" s="94">
        <f t="shared" si="76"/>
        <v>26.120815138282385</v>
      </c>
      <c r="G54" s="94">
        <f t="shared" si="77"/>
        <v>27.125461874370171</v>
      </c>
      <c r="H54" s="94">
        <f t="shared" si="78"/>
        <v>23.106874930019032</v>
      </c>
      <c r="I54" s="94">
        <f t="shared" si="79"/>
        <v>23.106874930019032</v>
      </c>
      <c r="J54" s="94">
        <f t="shared" si="80"/>
        <v>121.56225506662187</v>
      </c>
      <c r="K54" s="94">
        <f t="shared" si="81"/>
        <v>89.413559511812792</v>
      </c>
      <c r="L54" s="95">
        <f t="shared" si="82"/>
        <v>54.250923748740341</v>
      </c>
      <c r="N54" s="1233">
        <f t="shared" si="83"/>
        <v>376.74252603291905</v>
      </c>
      <c r="O54">
        <v>375</v>
      </c>
      <c r="P54" s="1262">
        <f t="shared" si="85"/>
        <v>2.0994289553241518E-2</v>
      </c>
      <c r="R54" s="31" t="s">
        <v>535</v>
      </c>
      <c r="S54" s="764">
        <f t="shared" si="86"/>
        <v>375</v>
      </c>
      <c r="T54" s="764"/>
      <c r="U54" s="764">
        <v>6</v>
      </c>
      <c r="V54" s="764">
        <v>6</v>
      </c>
      <c r="W54" s="764">
        <v>26</v>
      </c>
      <c r="X54" s="764">
        <v>27</v>
      </c>
      <c r="Y54" s="764">
        <v>23</v>
      </c>
      <c r="Z54" s="764">
        <v>23</v>
      </c>
      <c r="AA54" s="764">
        <v>121</v>
      </c>
      <c r="AB54" s="764">
        <v>89</v>
      </c>
      <c r="AC54" s="765">
        <v>54</v>
      </c>
    </row>
    <row r="55" spans="1:29">
      <c r="A55" s="31"/>
      <c r="B55" s="878"/>
      <c r="C55" s="764"/>
      <c r="D55" s="764"/>
      <c r="E55" s="764"/>
      <c r="F55" s="764"/>
      <c r="G55" s="764"/>
      <c r="H55" s="764"/>
      <c r="I55" s="764"/>
      <c r="J55" s="764"/>
      <c r="K55" s="764"/>
      <c r="L55" s="765"/>
      <c r="R55" s="31"/>
      <c r="S55" s="646"/>
      <c r="T55" s="764"/>
      <c r="U55" s="764"/>
      <c r="V55" s="764"/>
      <c r="W55" s="764"/>
      <c r="X55" s="764"/>
      <c r="Y55" s="764"/>
      <c r="Z55" s="764"/>
      <c r="AA55" s="764"/>
      <c r="AB55" s="764"/>
      <c r="AC55" s="765"/>
    </row>
    <row r="56" spans="1:29">
      <c r="A56" s="96" t="s">
        <v>536</v>
      </c>
      <c r="B56" s="110">
        <f t="shared" si="84"/>
        <v>16827</v>
      </c>
      <c r="C56" s="97" t="s">
        <v>504</v>
      </c>
      <c r="D56" s="94">
        <f>SUM(D57:D59)</f>
        <v>202.69848975188782</v>
      </c>
      <c r="E56" s="94">
        <f t="shared" ref="E56:L56" si="87">SUM(E57:E59)</f>
        <v>203.70693994965836</v>
      </c>
      <c r="F56" s="94">
        <f t="shared" si="87"/>
        <v>845.08126573175116</v>
      </c>
      <c r="G56" s="94">
        <f t="shared" si="87"/>
        <v>915.67277957569218</v>
      </c>
      <c r="H56" s="94">
        <f t="shared" si="87"/>
        <v>1116.3543689320391</v>
      </c>
      <c r="I56" s="94">
        <f t="shared" si="87"/>
        <v>1051.8135562747213</v>
      </c>
      <c r="J56" s="94">
        <f t="shared" si="87"/>
        <v>5854.0533980582532</v>
      </c>
      <c r="K56" s="94">
        <f t="shared" si="87"/>
        <v>4244.5668824163968</v>
      </c>
      <c r="L56" s="95">
        <f t="shared" si="87"/>
        <v>2393.052319309601</v>
      </c>
      <c r="M56" s="1006">
        <f>+'7'!M20</f>
        <v>16827</v>
      </c>
      <c r="N56" s="1233">
        <f>+P56*$M$56</f>
        <v>16827</v>
      </c>
      <c r="O56">
        <v>16686</v>
      </c>
      <c r="P56" s="1262">
        <f>O56/$O$56</f>
        <v>1</v>
      </c>
      <c r="R56" s="96" t="s">
        <v>536</v>
      </c>
      <c r="S56" s="94">
        <f t="shared" si="86"/>
        <v>16686</v>
      </c>
      <c r="T56" s="97" t="s">
        <v>504</v>
      </c>
      <c r="U56" s="94">
        <f>SUM(U57:U59)</f>
        <v>201</v>
      </c>
      <c r="V56" s="94">
        <f t="shared" ref="V56:AC56" si="88">SUM(V57:V59)</f>
        <v>202</v>
      </c>
      <c r="W56" s="94">
        <f t="shared" si="88"/>
        <v>838</v>
      </c>
      <c r="X56" s="94">
        <f t="shared" si="88"/>
        <v>908</v>
      </c>
      <c r="Y56" s="94">
        <f t="shared" si="88"/>
        <v>1107</v>
      </c>
      <c r="Z56" s="94">
        <f t="shared" si="88"/>
        <v>1043</v>
      </c>
      <c r="AA56" s="94">
        <f t="shared" si="88"/>
        <v>5805</v>
      </c>
      <c r="AB56" s="94">
        <f t="shared" si="88"/>
        <v>4209</v>
      </c>
      <c r="AC56" s="95">
        <f t="shared" si="88"/>
        <v>2373</v>
      </c>
    </row>
    <row r="57" spans="1:29">
      <c r="A57" s="31" t="s">
        <v>537</v>
      </c>
      <c r="B57" s="110">
        <f t="shared" si="84"/>
        <v>13117.920172599785</v>
      </c>
      <c r="C57" s="94"/>
      <c r="D57" s="94">
        <f t="shared" ref="D57:D59" si="89">+U57/$O57*$N57</f>
        <v>159.33513124775263</v>
      </c>
      <c r="E57" s="94">
        <f t="shared" ref="E57:E59" si="90">+V57/$O57*$N57</f>
        <v>161.35203164329377</v>
      </c>
      <c r="F57" s="94">
        <f t="shared" ref="F57:F59" si="91">+W57/$O57*$N57</f>
        <v>668.60248112189856</v>
      </c>
      <c r="G57" s="94">
        <f t="shared" ref="G57:G59" si="92">+X57/$O57*$N57</f>
        <v>721.04189140596907</v>
      </c>
      <c r="H57" s="94">
        <f t="shared" ref="H57:H59" si="93">+Y57/$O57*$N57</f>
        <v>867.26717008270418</v>
      </c>
      <c r="I57" s="94">
        <f t="shared" ref="I57:I59" si="94">+Z57/$O57*$N57</f>
        <v>833.98831355627476</v>
      </c>
      <c r="J57" s="94">
        <f t="shared" ref="J57:J59" si="95">+AA57/$O57*$N57</f>
        <v>4591.4737504494788</v>
      </c>
      <c r="K57" s="94">
        <f t="shared" ref="K57:K59" si="96">+AB57/$O57*$N57</f>
        <v>3308.7250988852929</v>
      </c>
      <c r="L57" s="95">
        <f t="shared" ref="L57:L59" si="97">+AC57/$O57*$N57</f>
        <v>1806.1343042071198</v>
      </c>
      <c r="N57" s="1233">
        <f t="shared" ref="N57:N59" si="98">+P57*$M$56</f>
        <v>13117.920172599785</v>
      </c>
      <c r="O57">
        <v>13008</v>
      </c>
      <c r="P57" s="1262">
        <f>O57/$O$56</f>
        <v>0.77957569219705147</v>
      </c>
      <c r="R57" s="31" t="s">
        <v>537</v>
      </c>
      <c r="S57" s="94">
        <f t="shared" si="86"/>
        <v>13008</v>
      </c>
      <c r="T57" s="94"/>
      <c r="U57" s="94">
        <v>158</v>
      </c>
      <c r="V57" s="94">
        <v>160</v>
      </c>
      <c r="W57" s="94">
        <v>663</v>
      </c>
      <c r="X57" s="94">
        <v>715</v>
      </c>
      <c r="Y57" s="94">
        <v>860</v>
      </c>
      <c r="Z57" s="94">
        <v>827</v>
      </c>
      <c r="AA57" s="94">
        <v>4553</v>
      </c>
      <c r="AB57" s="94">
        <v>3281</v>
      </c>
      <c r="AC57" s="95">
        <v>1791</v>
      </c>
    </row>
    <row r="58" spans="1:29">
      <c r="A58" s="31" t="s">
        <v>316</v>
      </c>
      <c r="B58" s="110">
        <f t="shared" si="84"/>
        <v>2274.0551959726718</v>
      </c>
      <c r="C58" s="94"/>
      <c r="D58" s="94">
        <f t="shared" si="89"/>
        <v>26.219705142035238</v>
      </c>
      <c r="E58" s="94">
        <f t="shared" si="90"/>
        <v>26.219705142035238</v>
      </c>
      <c r="F58" s="94">
        <f t="shared" si="91"/>
        <v>105.88727076591154</v>
      </c>
      <c r="G58" s="94">
        <f t="shared" si="92"/>
        <v>117.98867313915858</v>
      </c>
      <c r="H58" s="94">
        <f t="shared" si="93"/>
        <v>153.28443006112911</v>
      </c>
      <c r="I58" s="94">
        <f t="shared" si="94"/>
        <v>131.0985257101762</v>
      </c>
      <c r="J58" s="94">
        <f t="shared" si="95"/>
        <v>764.4052499101042</v>
      </c>
      <c r="K58" s="94">
        <f t="shared" si="96"/>
        <v>572.79971233369292</v>
      </c>
      <c r="L58" s="95">
        <f t="shared" si="97"/>
        <v>376.15192376842862</v>
      </c>
      <c r="N58" s="1233">
        <f t="shared" si="98"/>
        <v>2274.0551959726718</v>
      </c>
      <c r="O58">
        <v>2255</v>
      </c>
      <c r="P58" s="1262">
        <f t="shared" ref="P58:P59" si="99">O58/$O$56</f>
        <v>0.13514323384873547</v>
      </c>
      <c r="R58" s="31" t="s">
        <v>316</v>
      </c>
      <c r="S58" s="94">
        <f t="shared" si="86"/>
        <v>2255</v>
      </c>
      <c r="T58" s="94"/>
      <c r="U58" s="94">
        <v>26</v>
      </c>
      <c r="V58" s="94">
        <v>26</v>
      </c>
      <c r="W58" s="94">
        <v>105</v>
      </c>
      <c r="X58" s="94">
        <v>117</v>
      </c>
      <c r="Y58" s="94">
        <v>152</v>
      </c>
      <c r="Z58" s="94">
        <v>130</v>
      </c>
      <c r="AA58" s="94">
        <v>758</v>
      </c>
      <c r="AB58" s="94">
        <v>568</v>
      </c>
      <c r="AC58" s="95">
        <v>373</v>
      </c>
    </row>
    <row r="59" spans="1:29">
      <c r="A59" s="31" t="s">
        <v>538</v>
      </c>
      <c r="B59" s="110">
        <f t="shared" si="84"/>
        <v>1435.0246314275437</v>
      </c>
      <c r="C59" s="94"/>
      <c r="D59" s="94">
        <f t="shared" si="89"/>
        <v>17.143653362099961</v>
      </c>
      <c r="E59" s="94">
        <f t="shared" si="90"/>
        <v>16.135203164329376</v>
      </c>
      <c r="F59" s="94">
        <f t="shared" si="91"/>
        <v>70.591513843941016</v>
      </c>
      <c r="G59" s="94">
        <f t="shared" si="92"/>
        <v>76.642215030564543</v>
      </c>
      <c r="H59" s="94">
        <f t="shared" si="93"/>
        <v>95.802768788205682</v>
      </c>
      <c r="I59" s="94">
        <f t="shared" si="94"/>
        <v>86.726717008270398</v>
      </c>
      <c r="J59" s="94">
        <f t="shared" si="95"/>
        <v>498.17439769866951</v>
      </c>
      <c r="K59" s="94">
        <f t="shared" si="96"/>
        <v>363.04207119741091</v>
      </c>
      <c r="L59" s="95">
        <f t="shared" si="97"/>
        <v>210.76609133405248</v>
      </c>
      <c r="N59" s="1233">
        <f t="shared" si="98"/>
        <v>1435.0246314275439</v>
      </c>
      <c r="O59">
        <v>1423</v>
      </c>
      <c r="P59" s="1262">
        <f t="shared" si="99"/>
        <v>8.528107395421311E-2</v>
      </c>
      <c r="R59" s="31" t="s">
        <v>538</v>
      </c>
      <c r="S59" s="94">
        <f t="shared" si="86"/>
        <v>1423</v>
      </c>
      <c r="T59" s="94"/>
      <c r="U59" s="94">
        <v>17</v>
      </c>
      <c r="V59" s="94">
        <v>16</v>
      </c>
      <c r="W59" s="94">
        <v>70</v>
      </c>
      <c r="X59" s="94">
        <v>76</v>
      </c>
      <c r="Y59" s="94">
        <v>95</v>
      </c>
      <c r="Z59" s="94">
        <v>86</v>
      </c>
      <c r="AA59" s="94">
        <v>494</v>
      </c>
      <c r="AB59" s="94">
        <v>360</v>
      </c>
      <c r="AC59" s="95">
        <v>209</v>
      </c>
    </row>
    <row r="60" spans="1:29">
      <c r="A60" s="31"/>
      <c r="B60" s="878"/>
      <c r="C60" s="94"/>
      <c r="D60" s="94"/>
      <c r="E60" s="94"/>
      <c r="F60" s="94"/>
      <c r="G60" s="94"/>
      <c r="H60" s="94"/>
      <c r="I60" s="94"/>
      <c r="J60" s="94"/>
      <c r="K60" s="94"/>
      <c r="L60" s="95"/>
      <c r="R60" s="31"/>
      <c r="S60" s="646"/>
      <c r="T60" s="94"/>
      <c r="U60" s="94"/>
      <c r="V60" s="94"/>
      <c r="W60" s="94"/>
      <c r="X60" s="94"/>
      <c r="Y60" s="94"/>
      <c r="Z60" s="94"/>
      <c r="AA60" s="94"/>
      <c r="AB60" s="94"/>
      <c r="AC60" s="95"/>
    </row>
    <row r="61" spans="1:29">
      <c r="A61" s="96" t="s">
        <v>539</v>
      </c>
      <c r="B61" s="110">
        <f t="shared" ref="B61:B76" si="100">SUM(D61:L61)</f>
        <v>7794.0000000000009</v>
      </c>
      <c r="C61" s="97" t="s">
        <v>504</v>
      </c>
      <c r="D61" s="94">
        <f>SUM(D62:D65)</f>
        <v>94.594706262104594</v>
      </c>
      <c r="E61" s="94">
        <f t="shared" ref="E61:L61" si="101">SUM(E62:E65)</f>
        <v>95.601032924467404</v>
      </c>
      <c r="F61" s="94">
        <f t="shared" si="101"/>
        <v>380.39147837314397</v>
      </c>
      <c r="G61" s="94">
        <f t="shared" si="101"/>
        <v>405.54964493221428</v>
      </c>
      <c r="H61" s="94">
        <f t="shared" si="101"/>
        <v>560.52395093608789</v>
      </c>
      <c r="I61" s="94">
        <f t="shared" si="101"/>
        <v>467.94189799870884</v>
      </c>
      <c r="J61" s="94">
        <f t="shared" si="101"/>
        <v>2750.2907682375726</v>
      </c>
      <c r="K61" s="94">
        <f t="shared" si="101"/>
        <v>1990.5141381536473</v>
      </c>
      <c r="L61" s="95">
        <f t="shared" si="101"/>
        <v>1048.5923821820531</v>
      </c>
      <c r="M61" s="1005">
        <f>'7'!N20</f>
        <v>7794</v>
      </c>
      <c r="N61" s="1233">
        <f>+P61*$M$61</f>
        <v>7794</v>
      </c>
      <c r="O61">
        <v>7745</v>
      </c>
      <c r="P61" s="1262">
        <f>O61/$O$61</f>
        <v>1</v>
      </c>
      <c r="R61" s="96" t="s">
        <v>539</v>
      </c>
      <c r="S61" s="94">
        <f t="shared" ref="S61:S87" si="102">SUM(U61:AC61)</f>
        <v>7745</v>
      </c>
      <c r="T61" s="97" t="s">
        <v>504</v>
      </c>
      <c r="U61" s="94">
        <f>SUM(U62:U65)</f>
        <v>94</v>
      </c>
      <c r="V61" s="94">
        <f t="shared" ref="V61:AC61" si="103">SUM(V62:V65)</f>
        <v>95</v>
      </c>
      <c r="W61" s="94">
        <f t="shared" si="103"/>
        <v>378</v>
      </c>
      <c r="X61" s="94">
        <f t="shared" si="103"/>
        <v>403</v>
      </c>
      <c r="Y61" s="94">
        <f t="shared" si="103"/>
        <v>557</v>
      </c>
      <c r="Z61" s="94">
        <f t="shared" si="103"/>
        <v>465</v>
      </c>
      <c r="AA61" s="94">
        <f t="shared" si="103"/>
        <v>2733</v>
      </c>
      <c r="AB61" s="94">
        <f t="shared" si="103"/>
        <v>1978</v>
      </c>
      <c r="AC61" s="95">
        <f t="shared" si="103"/>
        <v>1042</v>
      </c>
    </row>
    <row r="62" spans="1:29">
      <c r="A62" s="31" t="s">
        <v>540</v>
      </c>
      <c r="B62" s="110">
        <f t="shared" si="100"/>
        <v>5268.1200774693352</v>
      </c>
      <c r="C62" s="94"/>
      <c r="D62" s="94">
        <f t="shared" ref="D62:D65" si="104">+U62/$O62*$N62</f>
        <v>57.360619754680442</v>
      </c>
      <c r="E62" s="94">
        <f t="shared" ref="E62:E65" si="105">+V62/$O62*$N62</f>
        <v>57.360619754680442</v>
      </c>
      <c r="F62" s="94">
        <f t="shared" ref="F62:F65" si="106">+W62/$O62*$N62</f>
        <v>240.51207230471272</v>
      </c>
      <c r="G62" s="94">
        <f t="shared" ref="G62:G65" si="107">+X62/$O62*$N62</f>
        <v>254.60064557779211</v>
      </c>
      <c r="H62" s="94">
        <f t="shared" ref="H62:H65" si="108">+Y62/$O62*$N62</f>
        <v>355.23331181407366</v>
      </c>
      <c r="I62" s="94">
        <f t="shared" ref="I62:I65" si="109">+Z62/$O62*$N62</f>
        <v>299.88534538411881</v>
      </c>
      <c r="J62" s="94">
        <f t="shared" ref="J62:J65" si="110">+AA62/$O62*$N62</f>
        <v>1834.5335054874113</v>
      </c>
      <c r="K62" s="94">
        <f t="shared" ref="K62:K65" si="111">+AB62/$O62*$N62</f>
        <v>1437.0344738540994</v>
      </c>
      <c r="L62" s="95">
        <f t="shared" ref="L62:L65" si="112">+AC62/$O62*$N62</f>
        <v>731.59948353776645</v>
      </c>
      <c r="N62" s="1233">
        <f t="shared" ref="N62:N64" si="113">+P62*$M$61</f>
        <v>5268.1200774693352</v>
      </c>
      <c r="O62">
        <v>5235</v>
      </c>
      <c r="P62" s="1262">
        <f>O62/$O$61</f>
        <v>0.67591994835377667</v>
      </c>
      <c r="R62" s="31" t="s">
        <v>540</v>
      </c>
      <c r="S62" s="94">
        <f t="shared" si="102"/>
        <v>5235</v>
      </c>
      <c r="T62" s="94"/>
      <c r="U62" s="94">
        <v>57</v>
      </c>
      <c r="V62" s="94">
        <v>57</v>
      </c>
      <c r="W62" s="94">
        <v>239</v>
      </c>
      <c r="X62" s="94">
        <v>253</v>
      </c>
      <c r="Y62" s="94">
        <v>353</v>
      </c>
      <c r="Z62" s="94">
        <v>298</v>
      </c>
      <c r="AA62" s="94">
        <v>1823</v>
      </c>
      <c r="AB62" s="94">
        <v>1428</v>
      </c>
      <c r="AC62" s="95">
        <v>727</v>
      </c>
    </row>
    <row r="63" spans="1:29">
      <c r="A63" s="31" t="s">
        <v>541</v>
      </c>
      <c r="B63" s="110">
        <f t="shared" si="100"/>
        <v>615.87191736604257</v>
      </c>
      <c r="C63" s="94"/>
      <c r="D63" s="94">
        <f t="shared" si="104"/>
        <v>10.063266623628147</v>
      </c>
      <c r="E63" s="94">
        <f t="shared" si="105"/>
        <v>10.063266623628147</v>
      </c>
      <c r="F63" s="94">
        <f t="shared" si="106"/>
        <v>30.189799870884439</v>
      </c>
      <c r="G63" s="94">
        <f t="shared" si="107"/>
        <v>33.208779857972885</v>
      </c>
      <c r="H63" s="94">
        <f t="shared" si="108"/>
        <v>43.272046481601031</v>
      </c>
      <c r="I63" s="94">
        <f t="shared" si="109"/>
        <v>35.221433182698512</v>
      </c>
      <c r="J63" s="94">
        <f t="shared" si="110"/>
        <v>228.43615235635895</v>
      </c>
      <c r="K63" s="94">
        <f t="shared" si="111"/>
        <v>145.91736604260811</v>
      </c>
      <c r="L63" s="95">
        <f t="shared" si="112"/>
        <v>79.499806326662366</v>
      </c>
      <c r="N63" s="1233">
        <f t="shared" si="113"/>
        <v>615.87191736604257</v>
      </c>
      <c r="O63">
        <v>612</v>
      </c>
      <c r="P63" s="1262">
        <f t="shared" ref="P63:P65" si="114">O63/$O$61</f>
        <v>7.9018721755971591E-2</v>
      </c>
      <c r="R63" s="31" t="s">
        <v>541</v>
      </c>
      <c r="S63" s="94">
        <f t="shared" si="102"/>
        <v>612</v>
      </c>
      <c r="T63" s="94"/>
      <c r="U63" s="94">
        <v>10</v>
      </c>
      <c r="V63" s="94">
        <v>10</v>
      </c>
      <c r="W63" s="94">
        <v>30</v>
      </c>
      <c r="X63" s="94">
        <v>33</v>
      </c>
      <c r="Y63" s="94">
        <v>43</v>
      </c>
      <c r="Z63" s="94">
        <v>35</v>
      </c>
      <c r="AA63" s="94">
        <v>227</v>
      </c>
      <c r="AB63" s="94">
        <v>145</v>
      </c>
      <c r="AC63" s="95">
        <v>79</v>
      </c>
    </row>
    <row r="64" spans="1:29">
      <c r="A64" s="31" t="s">
        <v>542</v>
      </c>
      <c r="B64" s="110">
        <f t="shared" si="100"/>
        <v>825.18786313750809</v>
      </c>
      <c r="C64" s="94"/>
      <c r="D64" s="94">
        <f t="shared" si="104"/>
        <v>11.069593285990962</v>
      </c>
      <c r="E64" s="94">
        <f t="shared" si="105"/>
        <v>12.075919948353778</v>
      </c>
      <c r="F64" s="94">
        <f t="shared" si="106"/>
        <v>44.278373143963847</v>
      </c>
      <c r="G64" s="94">
        <f t="shared" si="107"/>
        <v>48.303679793415114</v>
      </c>
      <c r="H64" s="94">
        <f t="shared" si="108"/>
        <v>73.461846352485466</v>
      </c>
      <c r="I64" s="94">
        <f t="shared" si="109"/>
        <v>55.347966429954816</v>
      </c>
      <c r="J64" s="94">
        <f t="shared" si="110"/>
        <v>300.89167204648157</v>
      </c>
      <c r="K64" s="94">
        <f t="shared" si="111"/>
        <v>179.12614590058104</v>
      </c>
      <c r="L64" s="95">
        <f t="shared" si="112"/>
        <v>100.63266623628147</v>
      </c>
      <c r="N64" s="1233">
        <f t="shared" si="113"/>
        <v>825.18786313750809</v>
      </c>
      <c r="O64">
        <v>820</v>
      </c>
      <c r="P64" s="1262">
        <f t="shared" si="114"/>
        <v>0.10587475790832795</v>
      </c>
      <c r="R64" s="31" t="s">
        <v>542</v>
      </c>
      <c r="S64" s="94">
        <f t="shared" si="102"/>
        <v>820</v>
      </c>
      <c r="T64" s="94"/>
      <c r="U64" s="94">
        <v>11</v>
      </c>
      <c r="V64" s="94">
        <v>12</v>
      </c>
      <c r="W64" s="94">
        <v>44</v>
      </c>
      <c r="X64" s="94">
        <v>48</v>
      </c>
      <c r="Y64" s="94">
        <v>73</v>
      </c>
      <c r="Z64" s="94">
        <v>55</v>
      </c>
      <c r="AA64" s="94">
        <v>299</v>
      </c>
      <c r="AB64" s="94">
        <v>178</v>
      </c>
      <c r="AC64" s="95">
        <v>100</v>
      </c>
    </row>
    <row r="65" spans="1:29">
      <c r="A65" s="31" t="s">
        <v>543</v>
      </c>
      <c r="B65" s="110">
        <f t="shared" si="100"/>
        <v>1084.8201420271143</v>
      </c>
      <c r="C65" s="94"/>
      <c r="D65" s="94">
        <f t="shared" si="104"/>
        <v>16.101226597805038</v>
      </c>
      <c r="E65" s="94">
        <f t="shared" si="105"/>
        <v>16.101226597805038</v>
      </c>
      <c r="F65" s="94">
        <f t="shared" si="106"/>
        <v>65.411233053582961</v>
      </c>
      <c r="G65" s="94">
        <f t="shared" si="107"/>
        <v>69.436539703034228</v>
      </c>
      <c r="H65" s="94">
        <f t="shared" si="108"/>
        <v>88.556746287927695</v>
      </c>
      <c r="I65" s="94">
        <f t="shared" si="109"/>
        <v>77.487153001936733</v>
      </c>
      <c r="J65" s="94">
        <f t="shared" si="110"/>
        <v>386.42943834732085</v>
      </c>
      <c r="K65" s="94">
        <f t="shared" si="111"/>
        <v>228.43615235635897</v>
      </c>
      <c r="L65" s="95">
        <f t="shared" si="112"/>
        <v>136.86042608134281</v>
      </c>
      <c r="N65" s="1233">
        <f>+P65*$M$61</f>
        <v>1084.8201420271143</v>
      </c>
      <c r="O65">
        <v>1078</v>
      </c>
      <c r="P65" s="1262">
        <f t="shared" si="114"/>
        <v>0.13918657198192383</v>
      </c>
      <c r="R65" s="31" t="s">
        <v>543</v>
      </c>
      <c r="S65" s="94">
        <f t="shared" si="102"/>
        <v>1078</v>
      </c>
      <c r="T65" s="94"/>
      <c r="U65" s="94">
        <v>16</v>
      </c>
      <c r="V65" s="94">
        <v>16</v>
      </c>
      <c r="W65" s="94">
        <v>65</v>
      </c>
      <c r="X65" s="94">
        <v>69</v>
      </c>
      <c r="Y65" s="94">
        <v>88</v>
      </c>
      <c r="Z65" s="94">
        <v>77</v>
      </c>
      <c r="AA65" s="94">
        <v>384</v>
      </c>
      <c r="AB65" s="94">
        <v>227</v>
      </c>
      <c r="AC65" s="95">
        <v>136</v>
      </c>
    </row>
    <row r="66" spans="1:29">
      <c r="A66" s="31"/>
      <c r="B66" s="110"/>
      <c r="C66" s="94"/>
      <c r="D66" s="94"/>
      <c r="E66" s="94"/>
      <c r="F66" s="94"/>
      <c r="G66" s="94"/>
      <c r="H66" s="94"/>
      <c r="I66" s="94"/>
      <c r="J66" s="94"/>
      <c r="K66" s="94"/>
      <c r="L66" s="95"/>
      <c r="R66" s="31"/>
      <c r="S66" s="94"/>
      <c r="T66" s="94"/>
      <c r="U66" s="94"/>
      <c r="V66" s="94"/>
      <c r="W66" s="94"/>
      <c r="X66" s="94"/>
      <c r="Y66" s="94"/>
      <c r="Z66" s="94"/>
      <c r="AA66" s="94"/>
      <c r="AB66" s="94"/>
      <c r="AC66" s="95"/>
    </row>
    <row r="67" spans="1:29">
      <c r="A67" s="96" t="s">
        <v>544</v>
      </c>
      <c r="B67" s="110">
        <f t="shared" si="100"/>
        <v>27119.000000000007</v>
      </c>
      <c r="C67" s="97" t="s">
        <v>504</v>
      </c>
      <c r="D67" s="94">
        <f>SUM(D68:D71)</f>
        <v>331.11226156015744</v>
      </c>
      <c r="E67" s="94">
        <f t="shared" ref="E67:L67" si="115">SUM(E68:E71)</f>
        <v>320.04163883322201</v>
      </c>
      <c r="F67" s="94">
        <f t="shared" si="115"/>
        <v>1469.3735619386925</v>
      </c>
      <c r="G67" s="94">
        <f t="shared" si="115"/>
        <v>1474.4056631782084</v>
      </c>
      <c r="H67" s="94">
        <f t="shared" si="115"/>
        <v>1854.8325168856234</v>
      </c>
      <c r="I67" s="94">
        <f t="shared" si="115"/>
        <v>1592.1568321828843</v>
      </c>
      <c r="J67" s="94">
        <f t="shared" si="115"/>
        <v>9536.8382691308561</v>
      </c>
      <c r="K67" s="94">
        <f t="shared" si="115"/>
        <v>6691.6882283084688</v>
      </c>
      <c r="L67" s="95">
        <f t="shared" si="115"/>
        <v>3848.55102798189</v>
      </c>
      <c r="M67" s="1005">
        <f>+'7'!O20</f>
        <v>27119</v>
      </c>
      <c r="N67" s="1233">
        <f>+P67*$M$67</f>
        <v>27119</v>
      </c>
      <c r="O67">
        <v>26946</v>
      </c>
      <c r="P67" s="1262">
        <f>O67/$O$67</f>
        <v>1</v>
      </c>
      <c r="R67" s="96" t="s">
        <v>544</v>
      </c>
      <c r="S67" s="94">
        <f t="shared" si="102"/>
        <v>26946</v>
      </c>
      <c r="T67" s="97" t="s">
        <v>504</v>
      </c>
      <c r="U67" s="94">
        <f>SUM(U68:U71)</f>
        <v>329</v>
      </c>
      <c r="V67" s="94">
        <f t="shared" ref="V67:AC67" si="116">SUM(V68:V71)</f>
        <v>318</v>
      </c>
      <c r="W67" s="94">
        <f t="shared" si="116"/>
        <v>1460</v>
      </c>
      <c r="X67" s="94">
        <f t="shared" si="116"/>
        <v>1465</v>
      </c>
      <c r="Y67" s="94">
        <f t="shared" si="116"/>
        <v>1843</v>
      </c>
      <c r="Z67" s="94">
        <f t="shared" si="116"/>
        <v>1582</v>
      </c>
      <c r="AA67" s="94">
        <f t="shared" si="116"/>
        <v>9476</v>
      </c>
      <c r="AB67" s="94">
        <f t="shared" si="116"/>
        <v>6649</v>
      </c>
      <c r="AC67" s="95">
        <f t="shared" si="116"/>
        <v>3824</v>
      </c>
    </row>
    <row r="68" spans="1:29">
      <c r="A68" s="31" t="s">
        <v>545</v>
      </c>
      <c r="B68" s="110">
        <f t="shared" si="100"/>
        <v>22141.245453870706</v>
      </c>
      <c r="C68" s="94"/>
      <c r="D68" s="94">
        <f t="shared" ref="D68:D71" si="117">+U68/$O68*$N68</f>
        <v>277.77198842128706</v>
      </c>
      <c r="E68" s="94">
        <f t="shared" ref="E68:E71" si="118">+V68/$O68*$N68</f>
        <v>271.73346693386776</v>
      </c>
      <c r="F68" s="94">
        <f t="shared" ref="F68:F71" si="119">+W68/$O68*$N68</f>
        <v>1273.1216135975656</v>
      </c>
      <c r="G68" s="94">
        <f t="shared" ref="G68:G71" si="120">+X68/$O68*$N68</f>
        <v>1273.1216135975656</v>
      </c>
      <c r="H68" s="94">
        <f t="shared" ref="H68:H71" si="121">+Y68/$O68*$N68</f>
        <v>1606.2467156535295</v>
      </c>
      <c r="I68" s="94">
        <f t="shared" ref="I68:I71" si="122">+Z68/$O68*$N68</f>
        <v>1373.7636383878869</v>
      </c>
      <c r="J68" s="94">
        <f t="shared" ref="J68:J71" si="123">+AA68/$O68*$N68</f>
        <v>7676.9736510057155</v>
      </c>
      <c r="K68" s="94">
        <f t="shared" ref="K68:K71" si="124">+AB68/$O68*$N68</f>
        <v>5346.1043568618725</v>
      </c>
      <c r="L68" s="95">
        <f t="shared" ref="L68:L71" si="125">+AC68/$O68*$N68</f>
        <v>3042.4084094114155</v>
      </c>
      <c r="N68" s="1233">
        <f t="shared" ref="N68:N71" si="126">+P68*$M$67</f>
        <v>22141.245453870706</v>
      </c>
      <c r="O68">
        <v>22000</v>
      </c>
      <c r="P68" s="1262">
        <f t="shared" ref="P68:P71" si="127">O68/$O$67</f>
        <v>0.8164477102352854</v>
      </c>
      <c r="R68" s="31" t="s">
        <v>545</v>
      </c>
      <c r="S68" s="94">
        <f t="shared" si="102"/>
        <v>22000</v>
      </c>
      <c r="T68" s="94"/>
      <c r="U68" s="94">
        <v>276</v>
      </c>
      <c r="V68" s="94">
        <v>270</v>
      </c>
      <c r="W68" s="94">
        <v>1265</v>
      </c>
      <c r="X68" s="94">
        <v>1265</v>
      </c>
      <c r="Y68" s="94">
        <v>1596</v>
      </c>
      <c r="Z68" s="94">
        <v>1365</v>
      </c>
      <c r="AA68" s="94">
        <v>7628</v>
      </c>
      <c r="AB68" s="94">
        <v>5312</v>
      </c>
      <c r="AC68" s="95">
        <v>3023</v>
      </c>
    </row>
    <row r="69" spans="1:29">
      <c r="A69" s="31" t="s">
        <v>546</v>
      </c>
      <c r="B69" s="110">
        <f t="shared" si="100"/>
        <v>596.80720700660584</v>
      </c>
      <c r="C69" s="94"/>
      <c r="D69" s="94">
        <f t="shared" si="117"/>
        <v>10.064202479032138</v>
      </c>
      <c r="E69" s="94">
        <f t="shared" si="118"/>
        <v>9.0577822311289253</v>
      </c>
      <c r="F69" s="94">
        <f t="shared" si="119"/>
        <v>17.109144214354636</v>
      </c>
      <c r="G69" s="94">
        <f t="shared" si="120"/>
        <v>18.115564462257851</v>
      </c>
      <c r="H69" s="94">
        <f t="shared" si="121"/>
        <v>28.179766941289987</v>
      </c>
      <c r="I69" s="94">
        <f t="shared" si="122"/>
        <v>20.128404958064277</v>
      </c>
      <c r="J69" s="94">
        <f t="shared" si="123"/>
        <v>168.07218139983672</v>
      </c>
      <c r="K69" s="94">
        <f t="shared" si="124"/>
        <v>170.08502189564314</v>
      </c>
      <c r="L69" s="95">
        <f t="shared" si="125"/>
        <v>155.99513842499817</v>
      </c>
      <c r="N69" s="1233">
        <f t="shared" si="126"/>
        <v>596.80720700660584</v>
      </c>
      <c r="O69">
        <v>593</v>
      </c>
      <c r="P69" s="1262">
        <f t="shared" si="127"/>
        <v>2.2006976916796556E-2</v>
      </c>
      <c r="R69" s="31" t="s">
        <v>546</v>
      </c>
      <c r="S69" s="94">
        <f t="shared" si="102"/>
        <v>593</v>
      </c>
      <c r="T69" s="94"/>
      <c r="U69" s="94">
        <v>10</v>
      </c>
      <c r="V69" s="94">
        <v>9</v>
      </c>
      <c r="W69" s="94">
        <v>17</v>
      </c>
      <c r="X69" s="94">
        <v>18</v>
      </c>
      <c r="Y69" s="94">
        <v>28</v>
      </c>
      <c r="Z69" s="94">
        <v>20</v>
      </c>
      <c r="AA69" s="94">
        <v>167</v>
      </c>
      <c r="AB69" s="94">
        <v>169</v>
      </c>
      <c r="AC69" s="95">
        <v>155</v>
      </c>
    </row>
    <row r="70" spans="1:29">
      <c r="A70" s="31" t="s">
        <v>547</v>
      </c>
      <c r="B70" s="110">
        <f t="shared" si="100"/>
        <v>2839.1115193349665</v>
      </c>
      <c r="C70" s="94"/>
      <c r="D70" s="94">
        <f t="shared" si="117"/>
        <v>27.17334669338678</v>
      </c>
      <c r="E70" s="94">
        <f t="shared" si="118"/>
        <v>24.154085949677135</v>
      </c>
      <c r="F70" s="94">
        <f t="shared" si="119"/>
        <v>115.7383285088696</v>
      </c>
      <c r="G70" s="94">
        <f t="shared" si="120"/>
        <v>118.75758925257924</v>
      </c>
      <c r="H70" s="94">
        <f t="shared" si="121"/>
        <v>143.9180954501596</v>
      </c>
      <c r="I70" s="94">
        <f t="shared" si="122"/>
        <v>131.84105247532102</v>
      </c>
      <c r="J70" s="94">
        <f t="shared" si="123"/>
        <v>1096.9980702145033</v>
      </c>
      <c r="K70" s="94">
        <f t="shared" si="124"/>
        <v>768.9050693980555</v>
      </c>
      <c r="L70" s="95">
        <f t="shared" si="125"/>
        <v>411.6258813924145</v>
      </c>
      <c r="N70" s="1233">
        <f t="shared" si="126"/>
        <v>2839.1115193349665</v>
      </c>
      <c r="O70">
        <v>2821</v>
      </c>
      <c r="P70" s="1262">
        <f t="shared" si="127"/>
        <v>0.10469086320789728</v>
      </c>
      <c r="R70" s="31" t="s">
        <v>547</v>
      </c>
      <c r="S70" s="94">
        <f t="shared" si="102"/>
        <v>2821</v>
      </c>
      <c r="T70" s="94"/>
      <c r="U70" s="94">
        <v>27</v>
      </c>
      <c r="V70" s="94">
        <v>24</v>
      </c>
      <c r="W70" s="94">
        <v>115</v>
      </c>
      <c r="X70" s="94">
        <v>118</v>
      </c>
      <c r="Y70" s="94">
        <v>143</v>
      </c>
      <c r="Z70" s="94">
        <v>131</v>
      </c>
      <c r="AA70" s="94">
        <v>1090</v>
      </c>
      <c r="AB70" s="94">
        <v>764</v>
      </c>
      <c r="AC70" s="95">
        <v>409</v>
      </c>
    </row>
    <row r="71" spans="1:29">
      <c r="A71" s="31" t="s">
        <v>548</v>
      </c>
      <c r="B71" s="110">
        <f t="shared" si="100"/>
        <v>1541.8358197877235</v>
      </c>
      <c r="C71" s="94"/>
      <c r="D71" s="94">
        <f t="shared" si="117"/>
        <v>16.102723966451421</v>
      </c>
      <c r="E71" s="94">
        <f t="shared" si="118"/>
        <v>15.096303718548207</v>
      </c>
      <c r="F71" s="94">
        <f t="shared" si="119"/>
        <v>63.404475617902463</v>
      </c>
      <c r="G71" s="94">
        <f t="shared" si="120"/>
        <v>64.410895865805685</v>
      </c>
      <c r="H71" s="94">
        <f t="shared" si="121"/>
        <v>76.487938840644247</v>
      </c>
      <c r="I71" s="94">
        <f t="shared" si="122"/>
        <v>66.423736361612114</v>
      </c>
      <c r="J71" s="94">
        <f t="shared" si="123"/>
        <v>594.79436651079936</v>
      </c>
      <c r="K71" s="94">
        <f t="shared" si="124"/>
        <v>406.59378015289832</v>
      </c>
      <c r="L71" s="95">
        <f t="shared" si="125"/>
        <v>238.52159875306165</v>
      </c>
      <c r="N71" s="1233">
        <f t="shared" si="126"/>
        <v>1541.8358197877235</v>
      </c>
      <c r="O71">
        <v>1532</v>
      </c>
      <c r="P71" s="1262">
        <f t="shared" si="127"/>
        <v>5.6854449640020781E-2</v>
      </c>
      <c r="R71" s="31" t="s">
        <v>548</v>
      </c>
      <c r="S71" s="94">
        <f t="shared" si="102"/>
        <v>1532</v>
      </c>
      <c r="T71" s="94"/>
      <c r="U71" s="94">
        <v>16</v>
      </c>
      <c r="V71" s="94">
        <v>15</v>
      </c>
      <c r="W71" s="94">
        <v>63</v>
      </c>
      <c r="X71" s="94">
        <v>64</v>
      </c>
      <c r="Y71" s="94">
        <v>76</v>
      </c>
      <c r="Z71" s="94">
        <v>66</v>
      </c>
      <c r="AA71" s="94">
        <v>591</v>
      </c>
      <c r="AB71" s="94">
        <v>404</v>
      </c>
      <c r="AC71" s="95">
        <v>237</v>
      </c>
    </row>
    <row r="72" spans="1:29">
      <c r="A72" s="31"/>
      <c r="B72" s="878"/>
      <c r="C72" s="94"/>
      <c r="D72" s="646"/>
      <c r="E72" s="646"/>
      <c r="F72" s="646"/>
      <c r="G72" s="646"/>
      <c r="H72" s="646"/>
      <c r="I72" s="646"/>
      <c r="J72" s="646"/>
      <c r="K72" s="646"/>
      <c r="L72" s="647"/>
      <c r="R72" s="31"/>
      <c r="S72" s="646"/>
      <c r="T72" s="94"/>
      <c r="U72" s="646"/>
      <c r="V72" s="646"/>
      <c r="W72" s="646"/>
      <c r="X72" s="646"/>
      <c r="Y72" s="646"/>
      <c r="Z72" s="646"/>
      <c r="AA72" s="646"/>
      <c r="AB72" s="646"/>
      <c r="AC72" s="647"/>
    </row>
    <row r="73" spans="1:29">
      <c r="A73" s="96" t="s">
        <v>549</v>
      </c>
      <c r="B73" s="110">
        <f t="shared" si="100"/>
        <v>15600.000000000002</v>
      </c>
      <c r="C73" s="97" t="s">
        <v>504</v>
      </c>
      <c r="D73" s="94">
        <f>SUM(D74:D83)</f>
        <v>175.32618524738405</v>
      </c>
      <c r="E73" s="94">
        <f t="shared" ref="E73:L73" si="128">SUM(E74:E83)</f>
        <v>179.3566722645653</v>
      </c>
      <c r="F73" s="94">
        <f t="shared" si="128"/>
        <v>760.75442449295963</v>
      </c>
      <c r="G73" s="94">
        <f t="shared" si="128"/>
        <v>864.53946518537646</v>
      </c>
      <c r="H73" s="94">
        <f t="shared" si="128"/>
        <v>1083.193385867459</v>
      </c>
      <c r="I73" s="94">
        <f t="shared" si="128"/>
        <v>932.0501227231623</v>
      </c>
      <c r="J73" s="94">
        <f t="shared" si="128"/>
        <v>5505.6452654695777</v>
      </c>
      <c r="K73" s="94">
        <f t="shared" si="128"/>
        <v>3776.5663350988243</v>
      </c>
      <c r="L73" s="95">
        <f t="shared" si="128"/>
        <v>2322.5681436506911</v>
      </c>
      <c r="M73" s="1005">
        <f>'7'!P20</f>
        <v>15600</v>
      </c>
      <c r="N73" s="1233">
        <f>+P73*$M$73</f>
        <v>15600</v>
      </c>
      <c r="O73">
        <v>15482</v>
      </c>
      <c r="P73" s="1262">
        <f>O73/$O$73</f>
        <v>1</v>
      </c>
      <c r="R73" s="96" t="s">
        <v>549</v>
      </c>
      <c r="S73" s="94">
        <f t="shared" si="102"/>
        <v>15482</v>
      </c>
      <c r="T73" s="97" t="s">
        <v>504</v>
      </c>
      <c r="U73" s="94">
        <f>SUM(U74:U83)</f>
        <v>174</v>
      </c>
      <c r="V73" s="94">
        <f t="shared" ref="V73:AC73" si="129">SUM(V74:V83)</f>
        <v>178</v>
      </c>
      <c r="W73" s="94">
        <f t="shared" si="129"/>
        <v>755</v>
      </c>
      <c r="X73" s="94">
        <f t="shared" si="129"/>
        <v>858</v>
      </c>
      <c r="Y73" s="94">
        <f t="shared" si="129"/>
        <v>1075</v>
      </c>
      <c r="Z73" s="94">
        <f t="shared" si="129"/>
        <v>925</v>
      </c>
      <c r="AA73" s="94">
        <f t="shared" si="129"/>
        <v>5464</v>
      </c>
      <c r="AB73" s="94">
        <f t="shared" si="129"/>
        <v>3748</v>
      </c>
      <c r="AC73" s="95">
        <f t="shared" si="129"/>
        <v>2305</v>
      </c>
    </row>
    <row r="74" spans="1:29">
      <c r="A74" s="31" t="s">
        <v>550</v>
      </c>
      <c r="B74" s="110">
        <f t="shared" si="100"/>
        <v>8584.9373465960471</v>
      </c>
      <c r="C74" s="94"/>
      <c r="D74" s="94">
        <f t="shared" ref="D74:D83" si="130">+U74/$O74*$N74</f>
        <v>84.640227360806108</v>
      </c>
      <c r="E74" s="94">
        <f t="shared" ref="E74:E83" si="131">+V74/$O74*$N74</f>
        <v>84.640227360806108</v>
      </c>
      <c r="F74" s="94">
        <f t="shared" ref="F74:F83" si="132">+W74/$O74*$N74</f>
        <v>421.18589329543988</v>
      </c>
      <c r="G74" s="94">
        <f t="shared" ref="G74:G83" si="133">+X74/$O74*$N74</f>
        <v>468.54411574731944</v>
      </c>
      <c r="H74" s="94">
        <f t="shared" ref="H74:H83" si="134">+Y74/$O74*$N74</f>
        <v>611.62640485725365</v>
      </c>
      <c r="I74" s="94">
        <f t="shared" ref="I74:I83" si="135">+Z74/$O74*$N74</f>
        <v>524.97093398785682</v>
      </c>
      <c r="J74" s="94">
        <f t="shared" ref="J74:J83" si="136">+AA74/$O74*$N74</f>
        <v>2935.2021702622401</v>
      </c>
      <c r="K74" s="94">
        <f t="shared" ref="K74:K83" si="137">+AB74/$O74*$N74</f>
        <v>2114.9980622658572</v>
      </c>
      <c r="L74" s="95">
        <f t="shared" ref="L74:L83" si="138">+AC74/$O74*$N74</f>
        <v>1339.1293114584678</v>
      </c>
      <c r="N74" s="1233">
        <f t="shared" ref="N74:N83" si="139">+P74*$M$73</f>
        <v>8584.9373465960471</v>
      </c>
      <c r="O74">
        <v>8520</v>
      </c>
      <c r="P74" s="1262">
        <f t="shared" ref="P74:P83" si="140">O74/$O$73</f>
        <v>0.5503164965766697</v>
      </c>
      <c r="R74" s="31" t="s">
        <v>550</v>
      </c>
      <c r="S74" s="94">
        <f t="shared" si="102"/>
        <v>8520</v>
      </c>
      <c r="T74" s="94"/>
      <c r="U74" s="94">
        <v>84</v>
      </c>
      <c r="V74" s="94">
        <v>84</v>
      </c>
      <c r="W74" s="94">
        <v>418</v>
      </c>
      <c r="X74" s="94">
        <v>465</v>
      </c>
      <c r="Y74" s="94">
        <v>607</v>
      </c>
      <c r="Z74" s="94">
        <v>521</v>
      </c>
      <c r="AA74" s="94">
        <v>2913</v>
      </c>
      <c r="AB74" s="94">
        <v>2099</v>
      </c>
      <c r="AC74" s="95">
        <v>1329</v>
      </c>
    </row>
    <row r="75" spans="1:29">
      <c r="A75" s="31" t="s">
        <v>264</v>
      </c>
      <c r="B75" s="110">
        <f t="shared" si="100"/>
        <v>1568.8670714377986</v>
      </c>
      <c r="C75" s="94"/>
      <c r="D75" s="94">
        <f t="shared" si="130"/>
        <v>17.12956982302028</v>
      </c>
      <c r="E75" s="94">
        <f t="shared" si="131"/>
        <v>18.137191577315591</v>
      </c>
      <c r="F75" s="94">
        <f t="shared" si="132"/>
        <v>71.541144554967047</v>
      </c>
      <c r="G75" s="94">
        <f t="shared" si="133"/>
        <v>84.640227360806094</v>
      </c>
      <c r="H75" s="94">
        <f t="shared" si="134"/>
        <v>110.83839297248416</v>
      </c>
      <c r="I75" s="94">
        <f t="shared" si="135"/>
        <v>89.678336132282652</v>
      </c>
      <c r="J75" s="94">
        <f t="shared" si="136"/>
        <v>548.14623433664894</v>
      </c>
      <c r="K75" s="94">
        <f t="shared" si="137"/>
        <v>381.88864487792267</v>
      </c>
      <c r="L75" s="95">
        <f t="shared" si="138"/>
        <v>246.86732980235109</v>
      </c>
      <c r="M75" s="1006"/>
      <c r="N75" s="1233">
        <f t="shared" si="139"/>
        <v>1568.8670714377986</v>
      </c>
      <c r="O75" s="94">
        <v>1557</v>
      </c>
      <c r="P75" s="1262">
        <f t="shared" si="140"/>
        <v>0.1005684020152435</v>
      </c>
      <c r="Q75" s="94"/>
      <c r="R75" s="31" t="s">
        <v>264</v>
      </c>
      <c r="S75" s="94">
        <f t="shared" si="102"/>
        <v>1557</v>
      </c>
      <c r="T75" s="94"/>
      <c r="U75" s="94">
        <v>17</v>
      </c>
      <c r="V75" s="94">
        <v>18</v>
      </c>
      <c r="W75" s="94">
        <v>71</v>
      </c>
      <c r="X75" s="94">
        <v>84</v>
      </c>
      <c r="Y75" s="94">
        <v>110</v>
      </c>
      <c r="Z75" s="94">
        <v>89</v>
      </c>
      <c r="AA75" s="94">
        <v>544</v>
      </c>
      <c r="AB75" s="94">
        <v>379</v>
      </c>
      <c r="AC75" s="95">
        <v>245</v>
      </c>
    </row>
    <row r="76" spans="1:29">
      <c r="A76" s="31" t="s">
        <v>551</v>
      </c>
      <c r="B76" s="110">
        <f t="shared" si="100"/>
        <v>1254.4890840976618</v>
      </c>
      <c r="C76" s="94"/>
      <c r="D76" s="94">
        <f t="shared" si="130"/>
        <v>16.121948068724972</v>
      </c>
      <c r="E76" s="94">
        <f t="shared" si="131"/>
        <v>18.137191577315594</v>
      </c>
      <c r="F76" s="94">
        <f t="shared" si="132"/>
        <v>63.480170520604574</v>
      </c>
      <c r="G76" s="94">
        <f t="shared" si="133"/>
        <v>67.510657537785818</v>
      </c>
      <c r="H76" s="94">
        <f t="shared" si="134"/>
        <v>78.594496835034235</v>
      </c>
      <c r="I76" s="94">
        <f t="shared" si="135"/>
        <v>72.548766309262376</v>
      </c>
      <c r="J76" s="94">
        <f t="shared" si="136"/>
        <v>458.46789820436635</v>
      </c>
      <c r="K76" s="94">
        <f t="shared" si="137"/>
        <v>305.30939155147911</v>
      </c>
      <c r="L76" s="95">
        <f t="shared" si="138"/>
        <v>174.31856349308873</v>
      </c>
      <c r="N76" s="1233">
        <f t="shared" si="139"/>
        <v>1254.4890840976618</v>
      </c>
      <c r="O76">
        <v>1245</v>
      </c>
      <c r="P76" s="1262">
        <f t="shared" si="140"/>
        <v>8.0415966929337293E-2</v>
      </c>
      <c r="R76" s="31" t="s">
        <v>551</v>
      </c>
      <c r="S76" s="94">
        <f t="shared" si="102"/>
        <v>1245</v>
      </c>
      <c r="T76" s="94"/>
      <c r="U76" s="94">
        <v>16</v>
      </c>
      <c r="V76" s="94">
        <v>18</v>
      </c>
      <c r="W76" s="94">
        <v>63</v>
      </c>
      <c r="X76" s="94">
        <v>67</v>
      </c>
      <c r="Y76" s="94">
        <v>78</v>
      </c>
      <c r="Z76" s="94">
        <v>72</v>
      </c>
      <c r="AA76" s="94">
        <v>455</v>
      </c>
      <c r="AB76" s="94">
        <v>303</v>
      </c>
      <c r="AC76" s="95">
        <v>173</v>
      </c>
    </row>
    <row r="77" spans="1:29">
      <c r="A77" s="31" t="s">
        <v>552</v>
      </c>
      <c r="B77" s="110">
        <f t="shared" ref="B77:B87" si="141">SUM(D77:L77)</f>
        <v>343.59901821470095</v>
      </c>
      <c r="C77" s="94"/>
      <c r="D77" s="94">
        <f t="shared" si="130"/>
        <v>6.045730525771865</v>
      </c>
      <c r="E77" s="94">
        <f t="shared" si="131"/>
        <v>6.045730525771865</v>
      </c>
      <c r="F77" s="94">
        <f t="shared" si="132"/>
        <v>15.114326314429661</v>
      </c>
      <c r="G77" s="94">
        <f t="shared" si="133"/>
        <v>19.144813331610901</v>
      </c>
      <c r="H77" s="94">
        <f t="shared" si="134"/>
        <v>23.175300348792145</v>
      </c>
      <c r="I77" s="94">
        <f t="shared" si="135"/>
        <v>19.144813331610901</v>
      </c>
      <c r="J77" s="94">
        <f t="shared" si="136"/>
        <v>116.88412349825603</v>
      </c>
      <c r="K77" s="94">
        <f t="shared" si="137"/>
        <v>86.655470869396723</v>
      </c>
      <c r="L77" s="95">
        <f t="shared" si="138"/>
        <v>51.388709469060849</v>
      </c>
      <c r="N77" s="1233">
        <f t="shared" si="139"/>
        <v>343.59901821470095</v>
      </c>
      <c r="O77">
        <v>341</v>
      </c>
      <c r="P77" s="1262">
        <f t="shared" si="140"/>
        <v>2.2025578090685959E-2</v>
      </c>
      <c r="R77" s="31" t="s">
        <v>552</v>
      </c>
      <c r="S77" s="94">
        <f t="shared" si="102"/>
        <v>341</v>
      </c>
      <c r="T77" s="94"/>
      <c r="U77" s="94">
        <v>6</v>
      </c>
      <c r="V77" s="94">
        <v>6</v>
      </c>
      <c r="W77" s="94">
        <v>15</v>
      </c>
      <c r="X77" s="94">
        <v>19</v>
      </c>
      <c r="Y77" s="94">
        <v>23</v>
      </c>
      <c r="Z77" s="94">
        <v>19</v>
      </c>
      <c r="AA77" s="94">
        <v>116</v>
      </c>
      <c r="AB77" s="94">
        <v>86</v>
      </c>
      <c r="AC77" s="95">
        <v>51</v>
      </c>
    </row>
    <row r="78" spans="1:29">
      <c r="A78" s="31" t="s">
        <v>553</v>
      </c>
      <c r="B78" s="110">
        <f t="shared" si="141"/>
        <v>733.54863712698614</v>
      </c>
      <c r="C78" s="94"/>
      <c r="D78" s="94">
        <f t="shared" si="130"/>
        <v>10.076217542953106</v>
      </c>
      <c r="E78" s="94">
        <f t="shared" si="131"/>
        <v>10.076217542953106</v>
      </c>
      <c r="F78" s="94">
        <f t="shared" si="132"/>
        <v>35.266761400335874</v>
      </c>
      <c r="G78" s="94">
        <f t="shared" si="133"/>
        <v>41.312491926107739</v>
      </c>
      <c r="H78" s="94">
        <f t="shared" si="134"/>
        <v>47.358222451879605</v>
      </c>
      <c r="I78" s="94">
        <f t="shared" si="135"/>
        <v>43.327735434698354</v>
      </c>
      <c r="J78" s="94">
        <f t="shared" si="136"/>
        <v>282.13409120268699</v>
      </c>
      <c r="K78" s="94">
        <f t="shared" si="137"/>
        <v>168.27283296731687</v>
      </c>
      <c r="L78" s="95">
        <f t="shared" si="138"/>
        <v>95.724066658054511</v>
      </c>
      <c r="N78" s="1233">
        <f t="shared" si="139"/>
        <v>733.54863712698614</v>
      </c>
      <c r="O78">
        <v>728</v>
      </c>
      <c r="P78" s="1262">
        <f t="shared" si="140"/>
        <v>4.7022348533781164E-2</v>
      </c>
      <c r="R78" s="31" t="s">
        <v>553</v>
      </c>
      <c r="S78" s="94">
        <f t="shared" si="102"/>
        <v>728</v>
      </c>
      <c r="T78" s="94"/>
      <c r="U78" s="94">
        <v>10</v>
      </c>
      <c r="V78" s="94">
        <v>10</v>
      </c>
      <c r="W78" s="94">
        <v>35</v>
      </c>
      <c r="X78" s="94">
        <v>41</v>
      </c>
      <c r="Y78" s="94">
        <v>47</v>
      </c>
      <c r="Z78" s="94">
        <v>43</v>
      </c>
      <c r="AA78" s="94">
        <v>280</v>
      </c>
      <c r="AB78" s="94">
        <v>167</v>
      </c>
      <c r="AC78" s="95">
        <v>95</v>
      </c>
    </row>
    <row r="79" spans="1:29">
      <c r="A79" s="31" t="s">
        <v>554</v>
      </c>
      <c r="B79" s="110">
        <f t="shared" si="141"/>
        <v>635.80932696034108</v>
      </c>
      <c r="C79" s="94"/>
      <c r="D79" s="94">
        <f t="shared" si="130"/>
        <v>9.068595788657797</v>
      </c>
      <c r="E79" s="94">
        <f t="shared" si="131"/>
        <v>10.076217542953108</v>
      </c>
      <c r="F79" s="94">
        <f t="shared" si="132"/>
        <v>31.236274383154633</v>
      </c>
      <c r="G79" s="94">
        <f t="shared" si="133"/>
        <v>36.274383154631188</v>
      </c>
      <c r="H79" s="94">
        <f t="shared" si="134"/>
        <v>41.312491926107739</v>
      </c>
      <c r="I79" s="94">
        <f t="shared" si="135"/>
        <v>37.282004908926496</v>
      </c>
      <c r="J79" s="94">
        <f t="shared" si="136"/>
        <v>241.82922103087458</v>
      </c>
      <c r="K79" s="94">
        <f t="shared" si="137"/>
        <v>144.08991086422944</v>
      </c>
      <c r="L79" s="95">
        <f t="shared" si="138"/>
        <v>84.640227360806094</v>
      </c>
      <c r="N79" s="1233">
        <f t="shared" si="139"/>
        <v>635.80932696034108</v>
      </c>
      <c r="O79">
        <v>631</v>
      </c>
      <c r="P79" s="1262">
        <f t="shared" si="140"/>
        <v>4.0757008138483403E-2</v>
      </c>
      <c r="R79" s="31" t="s">
        <v>554</v>
      </c>
      <c r="S79" s="94">
        <f t="shared" si="102"/>
        <v>631</v>
      </c>
      <c r="T79" s="94"/>
      <c r="U79" s="94">
        <v>9</v>
      </c>
      <c r="V79" s="94">
        <v>10</v>
      </c>
      <c r="W79" s="94">
        <v>31</v>
      </c>
      <c r="X79" s="94">
        <v>36</v>
      </c>
      <c r="Y79" s="94">
        <v>41</v>
      </c>
      <c r="Z79" s="94">
        <v>37</v>
      </c>
      <c r="AA79" s="94">
        <v>240</v>
      </c>
      <c r="AB79" s="94">
        <v>143</v>
      </c>
      <c r="AC79" s="95">
        <v>84</v>
      </c>
    </row>
    <row r="80" spans="1:29">
      <c r="A80" s="31" t="s">
        <v>555</v>
      </c>
      <c r="B80" s="110">
        <f t="shared" si="141"/>
        <v>324.45420488309003</v>
      </c>
      <c r="C80" s="94"/>
      <c r="D80" s="94">
        <f t="shared" si="130"/>
        <v>6.0457305257718641</v>
      </c>
      <c r="E80" s="94">
        <f t="shared" si="131"/>
        <v>6.0457305257718641</v>
      </c>
      <c r="F80" s="94">
        <f t="shared" si="132"/>
        <v>13.099082805839039</v>
      </c>
      <c r="G80" s="94">
        <f t="shared" si="133"/>
        <v>18.137191577315591</v>
      </c>
      <c r="H80" s="94">
        <f t="shared" si="134"/>
        <v>20.152435085906212</v>
      </c>
      <c r="I80" s="94">
        <f t="shared" si="135"/>
        <v>17.129569823020283</v>
      </c>
      <c r="J80" s="94">
        <f t="shared" si="136"/>
        <v>121.92223226973259</v>
      </c>
      <c r="K80" s="94">
        <f t="shared" si="137"/>
        <v>74.564009817852991</v>
      </c>
      <c r="L80" s="95">
        <f t="shared" si="138"/>
        <v>47.358222451879598</v>
      </c>
      <c r="N80" s="1233">
        <f t="shared" si="139"/>
        <v>324.45420488309003</v>
      </c>
      <c r="O80">
        <v>322</v>
      </c>
      <c r="P80" s="1262">
        <f t="shared" si="140"/>
        <v>2.0798346466864747E-2</v>
      </c>
      <c r="R80" s="31" t="s">
        <v>555</v>
      </c>
      <c r="S80" s="94">
        <f t="shared" si="102"/>
        <v>322</v>
      </c>
      <c r="T80" s="94"/>
      <c r="U80" s="94">
        <v>6</v>
      </c>
      <c r="V80" s="94">
        <v>6</v>
      </c>
      <c r="W80" s="94">
        <v>13</v>
      </c>
      <c r="X80" s="94">
        <v>18</v>
      </c>
      <c r="Y80" s="94">
        <v>20</v>
      </c>
      <c r="Z80" s="94">
        <v>17</v>
      </c>
      <c r="AA80" s="94">
        <v>121</v>
      </c>
      <c r="AB80" s="94">
        <v>74</v>
      </c>
      <c r="AC80" s="95">
        <v>47</v>
      </c>
    </row>
    <row r="81" spans="1:29">
      <c r="A81" s="31" t="s">
        <v>556</v>
      </c>
      <c r="B81" s="110">
        <f t="shared" si="141"/>
        <v>267.01976488825733</v>
      </c>
      <c r="C81" s="94"/>
      <c r="D81" s="94">
        <f t="shared" si="130"/>
        <v>5.0381087714765531</v>
      </c>
      <c r="E81" s="94">
        <f t="shared" si="131"/>
        <v>5.0381087714765531</v>
      </c>
      <c r="F81" s="94">
        <f t="shared" si="132"/>
        <v>12.091461051543726</v>
      </c>
      <c r="G81" s="94">
        <f t="shared" si="133"/>
        <v>16.121948068724972</v>
      </c>
      <c r="H81" s="94">
        <f t="shared" si="134"/>
        <v>18.137191577315591</v>
      </c>
      <c r="I81" s="94">
        <f t="shared" si="135"/>
        <v>15.114326314429661</v>
      </c>
      <c r="J81" s="94">
        <f t="shared" si="136"/>
        <v>94.716444903759196</v>
      </c>
      <c r="K81" s="94">
        <f t="shared" si="137"/>
        <v>63.480170520604574</v>
      </c>
      <c r="L81" s="95">
        <f t="shared" si="138"/>
        <v>37.282004908926496</v>
      </c>
      <c r="N81" s="1233">
        <f t="shared" si="139"/>
        <v>267.01976488825733</v>
      </c>
      <c r="O81">
        <v>265</v>
      </c>
      <c r="P81" s="1262">
        <f t="shared" si="140"/>
        <v>1.711665159540111E-2</v>
      </c>
      <c r="R81" s="31" t="s">
        <v>556</v>
      </c>
      <c r="S81" s="94">
        <f t="shared" si="102"/>
        <v>265</v>
      </c>
      <c r="T81" s="94"/>
      <c r="U81" s="94">
        <v>5</v>
      </c>
      <c r="V81" s="94">
        <v>5</v>
      </c>
      <c r="W81" s="94">
        <v>12</v>
      </c>
      <c r="X81" s="94">
        <v>16</v>
      </c>
      <c r="Y81" s="94">
        <v>18</v>
      </c>
      <c r="Z81" s="94">
        <v>15</v>
      </c>
      <c r="AA81" s="94">
        <v>94</v>
      </c>
      <c r="AB81" s="94">
        <v>63</v>
      </c>
      <c r="AC81" s="95">
        <v>37</v>
      </c>
    </row>
    <row r="82" spans="1:29">
      <c r="A82" s="31" t="s">
        <v>557</v>
      </c>
      <c r="B82" s="110">
        <f t="shared" si="141"/>
        <v>1634.3624854669936</v>
      </c>
      <c r="C82" s="94"/>
      <c r="D82" s="94">
        <f t="shared" si="130"/>
        <v>16.121948068724969</v>
      </c>
      <c r="E82" s="94">
        <f t="shared" si="131"/>
        <v>16.121948068724969</v>
      </c>
      <c r="F82" s="94">
        <f t="shared" si="132"/>
        <v>85.647849115101408</v>
      </c>
      <c r="G82" s="94">
        <f t="shared" si="133"/>
        <v>96.731688412349826</v>
      </c>
      <c r="H82" s="94">
        <f t="shared" si="134"/>
        <v>113.8612582353701</v>
      </c>
      <c r="I82" s="94">
        <f t="shared" si="135"/>
        <v>97.739310166645126</v>
      </c>
      <c r="J82" s="94">
        <f t="shared" si="136"/>
        <v>618.67975713732073</v>
      </c>
      <c r="K82" s="94">
        <f t="shared" si="137"/>
        <v>378.86577961503679</v>
      </c>
      <c r="L82" s="95">
        <f t="shared" si="138"/>
        <v>210.59294664771991</v>
      </c>
      <c r="N82" s="1233">
        <f t="shared" si="139"/>
        <v>1634.3624854669938</v>
      </c>
      <c r="O82">
        <v>1622</v>
      </c>
      <c r="P82" s="1262">
        <f t="shared" si="140"/>
        <v>0.10476682599147397</v>
      </c>
      <c r="R82" s="31" t="s">
        <v>557</v>
      </c>
      <c r="S82" s="94">
        <f t="shared" si="102"/>
        <v>1622</v>
      </c>
      <c r="T82" s="94"/>
      <c r="U82" s="94">
        <v>16</v>
      </c>
      <c r="V82" s="94">
        <v>16</v>
      </c>
      <c r="W82" s="94">
        <v>85</v>
      </c>
      <c r="X82" s="94">
        <v>96</v>
      </c>
      <c r="Y82" s="94">
        <v>113</v>
      </c>
      <c r="Z82" s="94">
        <v>97</v>
      </c>
      <c r="AA82" s="94">
        <v>614</v>
      </c>
      <c r="AB82" s="94">
        <v>376</v>
      </c>
      <c r="AC82" s="95">
        <v>209</v>
      </c>
    </row>
    <row r="83" spans="1:29">
      <c r="A83" s="31" t="s">
        <v>558</v>
      </c>
      <c r="B83" s="110">
        <f t="shared" si="141"/>
        <v>252.91306032812298</v>
      </c>
      <c r="C83" s="94"/>
      <c r="D83" s="94">
        <f t="shared" si="130"/>
        <v>5.0381087714765531</v>
      </c>
      <c r="E83" s="94">
        <f t="shared" si="131"/>
        <v>5.0381087714765531</v>
      </c>
      <c r="F83" s="94">
        <f t="shared" si="132"/>
        <v>12.091461051543728</v>
      </c>
      <c r="G83" s="94">
        <f t="shared" si="133"/>
        <v>16.121948068724972</v>
      </c>
      <c r="H83" s="94">
        <f t="shared" si="134"/>
        <v>18.137191577315594</v>
      </c>
      <c r="I83" s="94">
        <f t="shared" si="135"/>
        <v>15.114326314429661</v>
      </c>
      <c r="J83" s="94">
        <f t="shared" si="136"/>
        <v>87.663092623692037</v>
      </c>
      <c r="K83" s="94">
        <f t="shared" si="137"/>
        <v>58.442061749128015</v>
      </c>
      <c r="L83" s="95">
        <f t="shared" si="138"/>
        <v>35.266761400335874</v>
      </c>
      <c r="N83" s="1233">
        <f t="shared" si="139"/>
        <v>252.91306032812298</v>
      </c>
      <c r="O83">
        <v>251</v>
      </c>
      <c r="P83" s="1262">
        <f t="shared" si="140"/>
        <v>1.6212375662059166E-2</v>
      </c>
      <c r="R83" s="31" t="s">
        <v>558</v>
      </c>
      <c r="S83" s="94">
        <f t="shared" si="102"/>
        <v>251</v>
      </c>
      <c r="T83" s="94"/>
      <c r="U83" s="94">
        <v>5</v>
      </c>
      <c r="V83" s="94">
        <v>5</v>
      </c>
      <c r="W83" s="94">
        <v>12</v>
      </c>
      <c r="X83" s="94">
        <v>16</v>
      </c>
      <c r="Y83" s="94">
        <v>18</v>
      </c>
      <c r="Z83" s="94">
        <v>15</v>
      </c>
      <c r="AA83" s="94">
        <v>87</v>
      </c>
      <c r="AB83" s="94">
        <v>58</v>
      </c>
      <c r="AC83" s="95">
        <v>35</v>
      </c>
    </row>
    <row r="84" spans="1:29">
      <c r="A84" s="31"/>
      <c r="B84" s="110"/>
      <c r="C84" s="94"/>
      <c r="D84" s="94"/>
      <c r="E84" s="94"/>
      <c r="F84" s="94"/>
      <c r="G84" s="94"/>
      <c r="H84" s="94"/>
      <c r="I84" s="94"/>
      <c r="J84" s="94"/>
      <c r="K84" s="94"/>
      <c r="L84" s="95"/>
      <c r="R84" s="31"/>
      <c r="S84" s="94"/>
      <c r="T84" s="94"/>
      <c r="U84" s="94"/>
      <c r="V84" s="94"/>
      <c r="W84" s="94"/>
      <c r="X84" s="94"/>
      <c r="Y84" s="94"/>
      <c r="Z84" s="94"/>
      <c r="AA84" s="94"/>
      <c r="AB84" s="94"/>
      <c r="AC84" s="95"/>
    </row>
    <row r="85" spans="1:29">
      <c r="A85" s="96" t="s">
        <v>559</v>
      </c>
      <c r="B85" s="110">
        <f t="shared" si="141"/>
        <v>171347</v>
      </c>
      <c r="C85" s="97" t="s">
        <v>504</v>
      </c>
      <c r="D85" s="94">
        <f>+D73+D67+D61+D56+D43+D37</f>
        <v>2073.4739270149444</v>
      </c>
      <c r="E85" s="94">
        <f t="shared" ref="E85:L85" si="142">+E73+E67+E61+E56+E43+E37</f>
        <v>2060.3742630169713</v>
      </c>
      <c r="F85" s="94">
        <f t="shared" si="142"/>
        <v>8542.6070411988912</v>
      </c>
      <c r="G85" s="94">
        <f t="shared" si="142"/>
        <v>9498.5876170614101</v>
      </c>
      <c r="H85" s="94">
        <f t="shared" si="142"/>
        <v>11887.436654771074</v>
      </c>
      <c r="I85" s="94">
        <f t="shared" si="142"/>
        <v>10439.831888445722</v>
      </c>
      <c r="J85" s="94">
        <f t="shared" si="142"/>
        <v>61345.648121474194</v>
      </c>
      <c r="K85" s="94">
        <f t="shared" si="142"/>
        <v>41352.53968136802</v>
      </c>
      <c r="L85" s="95">
        <f t="shared" si="142"/>
        <v>24146.500805648779</v>
      </c>
      <c r="M85" s="1005">
        <f>SUM(M37:M81)</f>
        <v>171347</v>
      </c>
      <c r="N85" s="98"/>
      <c r="O85">
        <v>169991</v>
      </c>
      <c r="P85" s="1262"/>
      <c r="R85" s="96" t="s">
        <v>559</v>
      </c>
      <c r="S85" s="94">
        <f t="shared" si="102"/>
        <v>169991</v>
      </c>
      <c r="T85" s="97" t="s">
        <v>504</v>
      </c>
      <c r="U85" s="94">
        <f>+U73+U67+U61+U56+U43+U37</f>
        <v>2057</v>
      </c>
      <c r="V85" s="94">
        <f t="shared" ref="V85:AC85" si="143">+V73+V67+V61+V56+V43+V37</f>
        <v>2044</v>
      </c>
      <c r="W85" s="94">
        <f t="shared" si="143"/>
        <v>8475</v>
      </c>
      <c r="X85" s="94">
        <f t="shared" si="143"/>
        <v>9423</v>
      </c>
      <c r="Y85" s="94">
        <f t="shared" si="143"/>
        <v>11793</v>
      </c>
      <c r="Z85" s="94">
        <f t="shared" si="143"/>
        <v>10357</v>
      </c>
      <c r="AA85" s="94">
        <f t="shared" si="143"/>
        <v>60857</v>
      </c>
      <c r="AB85" s="94">
        <f t="shared" si="143"/>
        <v>41027</v>
      </c>
      <c r="AC85" s="95">
        <f t="shared" si="143"/>
        <v>23958</v>
      </c>
    </row>
    <row r="86" spans="1:29">
      <c r="A86" s="31"/>
      <c r="B86" s="110"/>
      <c r="C86" s="94"/>
      <c r="D86" s="94"/>
      <c r="E86" s="94"/>
      <c r="F86" s="94"/>
      <c r="G86" s="94"/>
      <c r="H86" s="94"/>
      <c r="I86" s="94"/>
      <c r="J86" s="94"/>
      <c r="K86" s="94"/>
      <c r="L86" s="95"/>
      <c r="R86" s="31"/>
      <c r="S86" s="110"/>
      <c r="T86" s="94"/>
      <c r="U86" s="94"/>
      <c r="V86" s="94"/>
      <c r="W86" s="94"/>
      <c r="X86" s="94"/>
      <c r="Y86" s="94"/>
      <c r="Z86" s="94"/>
      <c r="AA86" s="94"/>
      <c r="AB86" s="94"/>
      <c r="AC86" s="95"/>
    </row>
    <row r="87" spans="1:29" ht="18.75" customHeight="1">
      <c r="A87" s="101" t="s">
        <v>560</v>
      </c>
      <c r="B87" s="1265">
        <f t="shared" si="141"/>
        <v>290863</v>
      </c>
      <c r="C87" s="103" t="s">
        <v>504</v>
      </c>
      <c r="D87" s="102">
        <f t="shared" ref="D87:L87" si="144">+D34+D85</f>
        <v>3554.3048954669475</v>
      </c>
      <c r="E87" s="102">
        <f t="shared" si="144"/>
        <v>3543.2422256895447</v>
      </c>
      <c r="F87" s="102">
        <f t="shared" si="144"/>
        <v>14583.070729620133</v>
      </c>
      <c r="G87" s="102">
        <f t="shared" si="144"/>
        <v>16260.707294115156</v>
      </c>
      <c r="H87" s="102">
        <f t="shared" si="144"/>
        <v>20236.7752755888</v>
      </c>
      <c r="I87" s="102">
        <f t="shared" si="144"/>
        <v>17750.961052629202</v>
      </c>
      <c r="J87" s="102">
        <f t="shared" si="144"/>
        <v>104103.2468706333</v>
      </c>
      <c r="K87" s="102">
        <f t="shared" si="144"/>
        <v>70255.903700914292</v>
      </c>
      <c r="L87" s="104">
        <f t="shared" si="144"/>
        <v>40574.787955342625</v>
      </c>
      <c r="M87" s="1005">
        <v>290863</v>
      </c>
      <c r="N87" s="98"/>
      <c r="O87">
        <v>288579</v>
      </c>
      <c r="R87" s="101" t="s">
        <v>560</v>
      </c>
      <c r="S87" s="102">
        <f t="shared" si="102"/>
        <v>288579</v>
      </c>
      <c r="T87" s="103" t="s">
        <v>504</v>
      </c>
      <c r="U87" s="102">
        <f t="shared" ref="U87:AC87" si="145">+U34+U85</f>
        <v>3526</v>
      </c>
      <c r="V87" s="102">
        <f t="shared" si="145"/>
        <v>3515</v>
      </c>
      <c r="W87" s="102">
        <f t="shared" si="145"/>
        <v>14466</v>
      </c>
      <c r="X87" s="102">
        <f t="shared" si="145"/>
        <v>16130</v>
      </c>
      <c r="Y87" s="102">
        <f t="shared" si="145"/>
        <v>20077</v>
      </c>
      <c r="Z87" s="102">
        <f t="shared" si="145"/>
        <v>17612</v>
      </c>
      <c r="AA87" s="102">
        <f t="shared" si="145"/>
        <v>103283</v>
      </c>
      <c r="AB87" s="102">
        <f t="shared" si="145"/>
        <v>69707</v>
      </c>
      <c r="AC87" s="104">
        <f t="shared" si="145"/>
        <v>40263</v>
      </c>
    </row>
    <row r="88" spans="1:29">
      <c r="A88" s="162" t="s">
        <v>1413</v>
      </c>
      <c r="B88" s="661"/>
    </row>
    <row r="89" spans="1:29">
      <c r="A89" s="98"/>
      <c r="D89" s="105"/>
      <c r="E89" s="1492">
        <f>(E87+D87+F87)/M87</f>
        <v>7.4538933624340747E-2</v>
      </c>
      <c r="F89" s="843"/>
      <c r="G89" s="105"/>
      <c r="H89" s="105"/>
      <c r="I89" s="105"/>
      <c r="J89" s="105"/>
      <c r="K89" s="105"/>
      <c r="L89" s="105"/>
    </row>
    <row r="90" spans="1:29">
      <c r="A90" s="88"/>
      <c r="B90" s="88"/>
      <c r="D90" s="105"/>
      <c r="E90" s="105"/>
      <c r="F90" s="105"/>
      <c r="G90" s="105"/>
      <c r="H90" s="105"/>
      <c r="I90" s="105"/>
      <c r="J90" s="105"/>
      <c r="K90" s="105"/>
      <c r="L90" s="105"/>
    </row>
    <row r="91" spans="1:29">
      <c r="B91" s="88"/>
      <c r="D91" s="88"/>
      <c r="F91" s="106"/>
      <c r="H91" s="88"/>
      <c r="I91" s="88"/>
    </row>
  </sheetData>
  <mergeCells count="2">
    <mergeCell ref="A1:L1"/>
    <mergeCell ref="A3:L3"/>
  </mergeCells>
  <phoneticPr fontId="18" type="noConversion"/>
  <pageMargins left="0.98425196850393704" right="0.59055118110236227" top="0.59055118110236227" bottom="0.59055118110236227" header="0.51181102362204722" footer="0.51181102362204722"/>
  <pageSetup paperSize="5" scale="75"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92"/>
  <sheetViews>
    <sheetView zoomScaleNormal="100" workbookViewId="0">
      <selection activeCell="H86" sqref="H86"/>
    </sheetView>
  </sheetViews>
  <sheetFormatPr baseColWidth="10" defaultRowHeight="12.75"/>
  <cols>
    <col min="1" max="1" width="21.28515625" customWidth="1"/>
    <col min="2" max="2" width="9.42578125" customWidth="1"/>
    <col min="3" max="3" width="2.28515625" customWidth="1"/>
    <col min="4" max="4" width="8.28515625" customWidth="1"/>
    <col min="5" max="5" width="8.7109375" customWidth="1"/>
    <col min="6" max="7" width="9.28515625" customWidth="1"/>
    <col min="8" max="10" width="8.7109375" customWidth="1"/>
    <col min="11" max="11" width="9.42578125" customWidth="1"/>
  </cols>
  <sheetData>
    <row r="1" spans="1:15">
      <c r="A1" s="1517" t="s">
        <v>561</v>
      </c>
      <c r="B1" s="1517"/>
      <c r="C1" s="1517"/>
      <c r="D1" s="1517"/>
      <c r="E1" s="1517"/>
      <c r="F1" s="1517"/>
      <c r="G1" s="1517"/>
      <c r="H1" s="1517"/>
      <c r="I1" s="1517"/>
      <c r="J1" s="1517"/>
      <c r="K1" s="1517"/>
      <c r="L1" s="1002"/>
      <c r="M1" s="1002"/>
      <c r="N1" s="1002"/>
      <c r="O1" s="1002"/>
    </row>
    <row r="2" spans="1:15">
      <c r="A2" s="86"/>
      <c r="B2" s="86"/>
      <c r="C2" s="86"/>
      <c r="D2" s="86"/>
      <c r="E2" s="86"/>
      <c r="F2" s="86"/>
      <c r="G2" s="86"/>
      <c r="H2" s="86"/>
      <c r="I2" s="86"/>
      <c r="J2" s="86"/>
      <c r="K2" s="86"/>
    </row>
    <row r="3" spans="1:15">
      <c r="A3" s="1517">
        <f>+'8'!A3</f>
        <v>2023</v>
      </c>
      <c r="B3" s="1517"/>
      <c r="C3" s="1517"/>
      <c r="D3" s="1517"/>
      <c r="E3" s="1517"/>
      <c r="F3" s="1517"/>
      <c r="G3" s="1517"/>
      <c r="H3" s="1517"/>
      <c r="I3" s="1517"/>
      <c r="J3" s="1517"/>
      <c r="K3" s="1517"/>
      <c r="L3" s="1002"/>
      <c r="M3" s="1002"/>
      <c r="N3" s="1002"/>
      <c r="O3" s="1002"/>
    </row>
    <row r="5" spans="1:15">
      <c r="B5" s="88"/>
      <c r="D5" s="88"/>
      <c r="E5" s="88"/>
      <c r="F5" s="88"/>
      <c r="G5" s="88"/>
      <c r="H5" s="88"/>
      <c r="I5" s="88"/>
      <c r="J5" s="88"/>
      <c r="K5" s="88"/>
    </row>
    <row r="7" spans="1:15" ht="24.75" customHeight="1">
      <c r="A7" s="89" t="s">
        <v>493</v>
      </c>
      <c r="B7" s="90" t="s">
        <v>474</v>
      </c>
      <c r="C7" s="91"/>
      <c r="D7" s="92" t="s">
        <v>562</v>
      </c>
      <c r="E7" s="107" t="s">
        <v>498</v>
      </c>
      <c r="F7" s="91" t="s">
        <v>499</v>
      </c>
      <c r="G7" s="91" t="s">
        <v>500</v>
      </c>
      <c r="H7" s="91" t="s">
        <v>563</v>
      </c>
      <c r="I7" s="91" t="s">
        <v>564</v>
      </c>
      <c r="J7" s="93" t="s">
        <v>502</v>
      </c>
      <c r="K7" s="108" t="s">
        <v>565</v>
      </c>
    </row>
    <row r="8" spans="1:15">
      <c r="A8" s="48"/>
      <c r="B8" s="6"/>
      <c r="C8" s="6"/>
      <c r="D8" s="6"/>
      <c r="E8" s="6"/>
      <c r="F8" s="6"/>
      <c r="G8" s="6"/>
      <c r="H8" s="6"/>
      <c r="I8" s="6"/>
      <c r="J8" s="6"/>
      <c r="K8" s="109"/>
    </row>
    <row r="9" spans="1:15">
      <c r="A9" s="96" t="s">
        <v>503</v>
      </c>
      <c r="B9" s="94">
        <f>SUM(B10:B15)</f>
        <v>35149.700884959624</v>
      </c>
      <c r="C9" s="97" t="s">
        <v>504</v>
      </c>
      <c r="D9" s="94">
        <f t="shared" ref="D9:J9" si="0">SUM(D10:D15)</f>
        <v>4290.4171162356779</v>
      </c>
      <c r="E9" s="94">
        <f t="shared" si="0"/>
        <v>2386.7560929885431</v>
      </c>
      <c r="F9" s="94">
        <f t="shared" si="0"/>
        <v>2128.3188891285968</v>
      </c>
      <c r="G9" s="94">
        <f t="shared" si="0"/>
        <v>12154.623315174484</v>
      </c>
      <c r="H9" s="94">
        <f t="shared" si="0"/>
        <v>2350.5658359814583</v>
      </c>
      <c r="I9" s="94">
        <f t="shared" si="0"/>
        <v>6396.230350975191</v>
      </c>
      <c r="J9" s="94">
        <f t="shared" si="0"/>
        <v>5442.7892844756716</v>
      </c>
      <c r="K9" s="95">
        <f>SUM(K10:K15)</f>
        <v>1185.9255815282354</v>
      </c>
    </row>
    <row r="10" spans="1:15">
      <c r="A10" s="31" t="s">
        <v>1404</v>
      </c>
      <c r="B10" s="94">
        <f t="shared" ref="B10:B15" si="1">SUM(D10:J10)</f>
        <v>16988.777975977377</v>
      </c>
      <c r="C10" s="94"/>
      <c r="D10" s="94">
        <f>+SUM('8'!D10:G10)*0.498</f>
        <v>2074.3008264482082</v>
      </c>
      <c r="E10" s="94">
        <f>+'8'!H10*0.5008</f>
        <v>1153.958658044955</v>
      </c>
      <c r="F10" s="94">
        <f>+'8'!I10*0.5</f>
        <v>1030.2858517244395</v>
      </c>
      <c r="G10" s="94">
        <f>+'8'!J10*0.4925</f>
        <v>5882.5662237252554</v>
      </c>
      <c r="H10" s="94">
        <f>+'8'!K10*0.141</f>
        <v>1137.2791573423513</v>
      </c>
      <c r="I10" s="94">
        <f>+'8'!K10*0.3832</f>
        <v>3090.8182488907028</v>
      </c>
      <c r="J10" s="94">
        <f>+'8'!L10*0.55644</f>
        <v>2619.5690098014629</v>
      </c>
      <c r="K10" s="95">
        <f>+'8'!D10*1.35</f>
        <v>544.17141774292293</v>
      </c>
      <c r="L10" s="174"/>
    </row>
    <row r="11" spans="1:15">
      <c r="A11" s="31" t="s">
        <v>1254</v>
      </c>
      <c r="B11" s="94">
        <f t="shared" si="1"/>
        <v>10234.051525892541</v>
      </c>
      <c r="C11" s="94"/>
      <c r="D11" s="94">
        <f>+SUM('8'!D11:G11)*0.498</f>
        <v>1247.8762073408939</v>
      </c>
      <c r="E11" s="94">
        <f>+'8'!H11*0.5008</f>
        <v>705.02957175592553</v>
      </c>
      <c r="F11" s="94">
        <f>+'8'!I11*0.5</f>
        <v>625.19049007317574</v>
      </c>
      <c r="G11" s="94">
        <f>+'8'!J11*0.4925</f>
        <v>3417.8341869041719</v>
      </c>
      <c r="H11" s="94">
        <f>+'8'!K11*0.141</f>
        <v>717.65651450395035</v>
      </c>
      <c r="I11" s="94">
        <f>+'8'!K11*0.3832</f>
        <v>1950.396995446197</v>
      </c>
      <c r="J11" s="94">
        <f>+'8'!L11*0.55644</f>
        <v>1570.0675598682255</v>
      </c>
      <c r="K11" s="95">
        <f>+'8'!D11*1.298</f>
        <v>313.6661406956066</v>
      </c>
    </row>
    <row r="12" spans="1:15">
      <c r="A12" s="31" t="s">
        <v>314</v>
      </c>
      <c r="B12" s="94">
        <f t="shared" si="1"/>
        <v>1879.3521530346054</v>
      </c>
      <c r="C12" s="94"/>
      <c r="D12" s="94">
        <f>+SUM('8'!D12:G12)*0.498</f>
        <v>230.6998030378123</v>
      </c>
      <c r="E12" s="94">
        <f>+'8'!H12*0.5008</f>
        <v>127.04592710416607</v>
      </c>
      <c r="F12" s="94">
        <f>+'8'!I12*0.5</f>
        <v>114.30908719862394</v>
      </c>
      <c r="G12" s="94">
        <f>+'8'!J12*0.4925</f>
        <v>649.39343386490179</v>
      </c>
      <c r="H12" s="94">
        <f>+'8'!K12*0.141</f>
        <v>125.97162222675722</v>
      </c>
      <c r="I12" s="94">
        <f>+'8'!K12*0.3832</f>
        <v>342.35691941342816</v>
      </c>
      <c r="J12" s="94">
        <f>+'8'!L12*0.55644</f>
        <v>289.57536018891579</v>
      </c>
      <c r="K12" s="95">
        <f>+'8'!D12*1.34</f>
        <v>60.463490860324768</v>
      </c>
    </row>
    <row r="13" spans="1:15">
      <c r="A13" s="31" t="s">
        <v>505</v>
      </c>
      <c r="B13" s="94">
        <f t="shared" si="1"/>
        <v>965.16978047287273</v>
      </c>
      <c r="C13" s="94"/>
      <c r="D13" s="94">
        <f>+SUM('8'!D13:G13)*0.498</f>
        <v>117.34730241100843</v>
      </c>
      <c r="E13" s="94">
        <f>+'8'!H13*0.5008</f>
        <v>64.778358088685465</v>
      </c>
      <c r="F13" s="94">
        <f>+'8'!I13*0.498</f>
        <v>57.924625870965862</v>
      </c>
      <c r="G13" s="94">
        <f>+'8'!J13*0.4925</f>
        <v>332.84499956269502</v>
      </c>
      <c r="H13" s="94">
        <f>+'8'!K13*0.141</f>
        <v>64.894472056208272</v>
      </c>
      <c r="I13" s="94">
        <f>+'8'!K13*0.384</f>
        <v>176.73388134456724</v>
      </c>
      <c r="J13" s="94">
        <f>+'8'!L13*0.55644</f>
        <v>150.64614113874234</v>
      </c>
      <c r="K13" s="95">
        <v>44</v>
      </c>
      <c r="L13" s="94"/>
    </row>
    <row r="14" spans="1:15">
      <c r="A14" s="31" t="s">
        <v>506</v>
      </c>
      <c r="B14" s="94">
        <f t="shared" si="1"/>
        <v>3020.0615857042067</v>
      </c>
      <c r="C14" s="94"/>
      <c r="D14" s="94">
        <f>+SUM('8'!D14:G14)*0.498</f>
        <v>367.52176414681793</v>
      </c>
      <c r="E14" s="94">
        <f>+'8'!H14*0.5008</f>
        <v>196.34370552462028</v>
      </c>
      <c r="F14" s="94">
        <f>+'8'!I14*0.498</f>
        <v>175.77127850499988</v>
      </c>
      <c r="G14" s="94">
        <f>+'8'!J14*0.4925</f>
        <v>1157.0561334946503</v>
      </c>
      <c r="H14" s="94">
        <f>+'8'!K14*0.14</f>
        <v>167.61321943966649</v>
      </c>
      <c r="I14" s="94">
        <f>+'8'!K14*0.384</f>
        <v>459.73911617737093</v>
      </c>
      <c r="J14" s="94">
        <f>+'8'!L14*0.55644</f>
        <v>496.01636841608132</v>
      </c>
      <c r="K14" s="95">
        <f>+'8'!D14*1.56</f>
        <v>112.62453222938109</v>
      </c>
    </row>
    <row r="15" spans="1:15">
      <c r="A15" s="31" t="s">
        <v>507</v>
      </c>
      <c r="B15" s="94">
        <f t="shared" si="1"/>
        <v>2062.2878638780212</v>
      </c>
      <c r="C15" s="94"/>
      <c r="D15" s="94">
        <f>+SUM('8'!D15:G15)*0.498</f>
        <v>252.67121285093728</v>
      </c>
      <c r="E15" s="94">
        <f>+'8'!H15*0.5008</f>
        <v>139.59987247019041</v>
      </c>
      <c r="F15" s="94">
        <f>+'8'!I15*0.498</f>
        <v>124.83755575639195</v>
      </c>
      <c r="G15" s="94">
        <f>+'8'!J15*0.4924</f>
        <v>714.92833762280986</v>
      </c>
      <c r="H15" s="94">
        <f>+'8'!K15*0.14</f>
        <v>137.15085041252445</v>
      </c>
      <c r="I15" s="94">
        <f>+'8'!K15*0.384</f>
        <v>376.18518970292416</v>
      </c>
      <c r="J15" s="94">
        <f>+'8'!L15*0.55644</f>
        <v>316.9148450622431</v>
      </c>
      <c r="K15" s="95">
        <v>111</v>
      </c>
      <c r="L15" s="94"/>
    </row>
    <row r="16" spans="1:15">
      <c r="A16" s="31"/>
      <c r="B16" s="94"/>
      <c r="C16" s="94"/>
      <c r="D16" s="646"/>
      <c r="E16" s="646"/>
      <c r="F16" s="94"/>
      <c r="G16" s="646"/>
      <c r="H16" s="646"/>
      <c r="I16" s="646"/>
      <c r="J16" s="646"/>
      <c r="K16" s="647"/>
      <c r="L16" s="94"/>
    </row>
    <row r="17" spans="1:11">
      <c r="A17" s="96" t="s">
        <v>508</v>
      </c>
      <c r="B17" s="94">
        <f>SUM(B18:B23)</f>
        <v>10903.95267940733</v>
      </c>
      <c r="C17" s="97" t="s">
        <v>504</v>
      </c>
      <c r="D17" s="94">
        <f t="shared" ref="D17:K17" si="2">SUM(D18:D23)</f>
        <v>1443.5886960096107</v>
      </c>
      <c r="E17" s="94">
        <f t="shared" si="2"/>
        <v>753.72222684443614</v>
      </c>
      <c r="F17" s="94">
        <f t="shared" si="2"/>
        <v>625.95623474041281</v>
      </c>
      <c r="G17" s="94">
        <f t="shared" si="2"/>
        <v>3880.1629027136532</v>
      </c>
      <c r="H17" s="94">
        <f t="shared" si="2"/>
        <v>767.88921841138222</v>
      </c>
      <c r="I17" s="94">
        <f t="shared" si="2"/>
        <v>1907.2663002449826</v>
      </c>
      <c r="J17" s="94">
        <f t="shared" si="2"/>
        <v>1525.3671004428531</v>
      </c>
      <c r="K17" s="95">
        <f t="shared" si="2"/>
        <v>424.07817440874402</v>
      </c>
    </row>
    <row r="18" spans="1:11">
      <c r="A18" s="31" t="s">
        <v>509</v>
      </c>
      <c r="B18" s="94">
        <f t="shared" ref="B18:B23" si="3">SUM(D18:J18)</f>
        <v>6248.6096863375105</v>
      </c>
      <c r="C18" s="94"/>
      <c r="D18" s="94">
        <f>+SUM('8'!D18:G18)*0.4945</f>
        <v>836.20285475360413</v>
      </c>
      <c r="E18" s="94">
        <f>+'8'!H18*0.502</f>
        <v>444.77528738339782</v>
      </c>
      <c r="F18" s="94">
        <f>+'8'!I18*0.4807</f>
        <v>366.03350585131454</v>
      </c>
      <c r="G18" s="94">
        <f>+'8'!J18*0.5145</f>
        <v>2214.1303648826911</v>
      </c>
      <c r="H18" s="94">
        <f>+'8'!K18*0.145</f>
        <v>437.24170027324982</v>
      </c>
      <c r="I18" s="94">
        <f>+'8'!K18*0.36</f>
        <v>1085.5656006784134</v>
      </c>
      <c r="J18" s="94">
        <f>+'8'!L18*0.521</f>
        <v>864.66037251484045</v>
      </c>
      <c r="K18" s="95">
        <f>+'8'!D18*1.7</f>
        <v>237.55101290869692</v>
      </c>
    </row>
    <row r="19" spans="1:11">
      <c r="A19" s="31" t="s">
        <v>510</v>
      </c>
      <c r="B19" s="94">
        <f t="shared" si="3"/>
        <v>889.28426651276732</v>
      </c>
      <c r="C19" s="94"/>
      <c r="D19" s="94">
        <f>+SUM('8'!D19:G19)*0.4945</f>
        <v>117.66926399227363</v>
      </c>
      <c r="E19" s="94">
        <f>+'8'!H19*0.501</f>
        <v>60.876244228776024</v>
      </c>
      <c r="F19" s="94">
        <f>+'8'!I19*0.4807</f>
        <v>51.108401747856405</v>
      </c>
      <c r="G19" s="94">
        <f>+'8'!J19*0.5145</f>
        <v>315.70894143974368</v>
      </c>
      <c r="H19" s="94">
        <f>+'8'!K19*0.145</f>
        <v>62.546999434655611</v>
      </c>
      <c r="I19" s="94">
        <f>+'8'!K19*0.36</f>
        <v>155.2891020446622</v>
      </c>
      <c r="J19" s="94">
        <f>+'8'!L19*0.521</f>
        <v>126.0853136247998</v>
      </c>
      <c r="K19" s="95">
        <f>+'8'!D19*1.69</f>
        <v>34.225167247715063</v>
      </c>
    </row>
    <row r="20" spans="1:11">
      <c r="A20" s="31" t="s">
        <v>420</v>
      </c>
      <c r="B20" s="94">
        <f t="shared" si="3"/>
        <v>2190.1480408838215</v>
      </c>
      <c r="C20" s="94"/>
      <c r="D20" s="94">
        <f>+SUM('8'!D20:G20)*0.493</f>
        <v>290.03601568830675</v>
      </c>
      <c r="E20" s="94">
        <f>+'8'!H20*0.501</f>
        <v>149.65410039574107</v>
      </c>
      <c r="F20" s="94">
        <f>+'8'!I20*0.4807</f>
        <v>125.58064429473289</v>
      </c>
      <c r="G20" s="94">
        <f>+'8'!J20*0.5145</f>
        <v>778.3319447375859</v>
      </c>
      <c r="H20" s="94">
        <f>+'8'!K20*0.145</f>
        <v>154.60561127862056</v>
      </c>
      <c r="I20" s="94">
        <f>+'8'!K20*0.36</f>
        <v>383.84841420898897</v>
      </c>
      <c r="J20" s="94">
        <f>+'8'!L20*0.521</f>
        <v>308.09131027984552</v>
      </c>
      <c r="K20" s="95">
        <f>+'8'!D20*1.69</f>
        <v>85.562918119287659</v>
      </c>
    </row>
    <row r="21" spans="1:11">
      <c r="A21" s="31" t="s">
        <v>511</v>
      </c>
      <c r="B21" s="94">
        <f t="shared" si="3"/>
        <v>833.00340916329037</v>
      </c>
      <c r="C21" s="94"/>
      <c r="D21" s="94">
        <f>+SUM('8'!D21:G21)*0.493</f>
        <v>110.82271167436164</v>
      </c>
      <c r="E21" s="94">
        <f>+'8'!H21*0.501</f>
        <v>56.817827946857626</v>
      </c>
      <c r="F21" s="94">
        <f>+'8'!I21*0.4807</f>
        <v>48.187921647978897</v>
      </c>
      <c r="G21" s="94">
        <f>+'8'!J21*0.514</f>
        <v>295.62443870724587</v>
      </c>
      <c r="H21" s="94">
        <f>+'8'!K21*0.145</f>
        <v>58.582752991614058</v>
      </c>
      <c r="I21" s="94">
        <f>+'8'!K21*0.361</f>
        <v>145.85085399981153</v>
      </c>
      <c r="J21" s="94">
        <f>+'8'!L21*0.521</f>
        <v>117.11690219542071</v>
      </c>
      <c r="K21" s="95">
        <f>+'8'!D21*1.69</f>
        <v>32.513908885329315</v>
      </c>
    </row>
    <row r="22" spans="1:11">
      <c r="A22" s="31" t="s">
        <v>512</v>
      </c>
      <c r="B22" s="94">
        <f t="shared" si="3"/>
        <v>454.24198889569396</v>
      </c>
      <c r="C22" s="94"/>
      <c r="D22" s="94">
        <f>+SUM('8'!D22:G22)*0.493</f>
        <v>59.404967068689338</v>
      </c>
      <c r="E22" s="94">
        <f>+'8'!H22*0.501</f>
        <v>30.945424149627819</v>
      </c>
      <c r="F22" s="94">
        <f>+'8'!I22*0.4807</f>
        <v>25.797574215584664</v>
      </c>
      <c r="G22" s="94">
        <f>+'8'!J22*0.514</f>
        <v>159.78292725902196</v>
      </c>
      <c r="H22" s="94">
        <f>+'8'!K22*0.145</f>
        <v>31.860795486667293</v>
      </c>
      <c r="I22" s="94">
        <f>+'8'!K22*0.361</f>
        <v>79.322394280599269</v>
      </c>
      <c r="J22" s="94">
        <f>+'8'!L22*0.522</f>
        <v>67.127906435503618</v>
      </c>
      <c r="K22" s="95">
        <f>+'8'!D22*1.69</f>
        <v>17.112583623857532</v>
      </c>
    </row>
    <row r="23" spans="1:11">
      <c r="A23" s="31" t="s">
        <v>513</v>
      </c>
      <c r="B23" s="94">
        <f t="shared" si="3"/>
        <v>288.66528761424667</v>
      </c>
      <c r="C23" s="94"/>
      <c r="D23" s="94">
        <f>+SUM('8'!D23:G23)*0.493</f>
        <v>29.452882832375384</v>
      </c>
      <c r="E23" s="94">
        <f>+'8'!H23*0.501</f>
        <v>10.653342740035804</v>
      </c>
      <c r="F23" s="94">
        <f>+'8'!I23*0.4807</f>
        <v>9.2481869829454428</v>
      </c>
      <c r="G23" s="94">
        <f>+'8'!J23*0.514</f>
        <v>116.58428568736456</v>
      </c>
      <c r="H23" s="94">
        <f>+'8'!K23*0.145</f>
        <v>23.051358946574954</v>
      </c>
      <c r="I23" s="94">
        <f>+'8'!K23*0.361</f>
        <v>57.389935032507296</v>
      </c>
      <c r="J23" s="94">
        <f>+'8'!L23*0.522</f>
        <v>42.285295392443224</v>
      </c>
      <c r="K23" s="95">
        <f>+'8'!D23*1.69</f>
        <v>17.112583623857532</v>
      </c>
    </row>
    <row r="24" spans="1:11">
      <c r="A24" s="31"/>
      <c r="B24" s="94"/>
      <c r="C24" s="94"/>
      <c r="D24" s="646"/>
      <c r="E24" s="646"/>
      <c r="F24" s="646"/>
      <c r="G24" s="646"/>
      <c r="H24" s="646"/>
      <c r="I24" s="646"/>
      <c r="J24" s="646"/>
      <c r="K24" s="94"/>
    </row>
    <row r="25" spans="1:11">
      <c r="A25" s="96" t="s">
        <v>514</v>
      </c>
      <c r="B25" s="94">
        <f>SUM(B26:B27)</f>
        <v>8829.399299315668</v>
      </c>
      <c r="C25" s="97" t="s">
        <v>504</v>
      </c>
      <c r="D25" s="94">
        <f t="shared" ref="D25:K25" si="4">SUM(D26:D27)</f>
        <v>1244.3587902439024</v>
      </c>
      <c r="E25" s="94">
        <f t="shared" si="4"/>
        <v>609.19529742060013</v>
      </c>
      <c r="F25" s="94">
        <f t="shared" si="4"/>
        <v>509.73435086857342</v>
      </c>
      <c r="G25" s="94">
        <f t="shared" si="4"/>
        <v>3205.1555570450955</v>
      </c>
      <c r="H25" s="94">
        <f t="shared" si="4"/>
        <v>611.77120701877527</v>
      </c>
      <c r="I25" s="94">
        <f t="shared" si="4"/>
        <v>1497.5133031058081</v>
      </c>
      <c r="J25" s="94">
        <f t="shared" si="4"/>
        <v>1151.6707936129144</v>
      </c>
      <c r="K25" s="95">
        <f t="shared" si="4"/>
        <v>439.90206001052815</v>
      </c>
    </row>
    <row r="26" spans="1:11">
      <c r="A26" s="31" t="s">
        <v>515</v>
      </c>
      <c r="B26" s="94">
        <f>SUM(D26:J26)</f>
        <v>7422.3202753465512</v>
      </c>
      <c r="C26" s="94"/>
      <c r="D26" s="94">
        <f>+SUM('8'!D26:G26)*0.4984</f>
        <v>1049.754759501667</v>
      </c>
      <c r="E26" s="94">
        <f>+'8'!H26*0.5</f>
        <v>512.57834707843483</v>
      </c>
      <c r="F26" s="94">
        <f>+'8'!I26*0.4856</f>
        <v>430.15656248464637</v>
      </c>
      <c r="G26" s="94">
        <f>+'8'!J26*0.51195</f>
        <v>2693.9137783470783</v>
      </c>
      <c r="H26" s="94">
        <f>+'8'!K26*0.1486</f>
        <v>514.14171103702404</v>
      </c>
      <c r="I26" s="94">
        <f>+'8'!K26*0.3637</f>
        <v>1258.3670276188805</v>
      </c>
      <c r="J26" s="94">
        <f>+'8'!L26*0.5126</f>
        <v>963.40808927882063</v>
      </c>
      <c r="K26" s="95">
        <f>+'8'!D26*1.78</f>
        <v>369.30049482365325</v>
      </c>
    </row>
    <row r="27" spans="1:11">
      <c r="A27" s="31" t="s">
        <v>516</v>
      </c>
      <c r="B27" s="94">
        <f>SUM(D27:J27)</f>
        <v>1407.0790239691175</v>
      </c>
      <c r="C27" s="94"/>
      <c r="D27" s="94">
        <f>+SUM('8'!D27:G27)*0.4983</f>
        <v>194.60403074223547</v>
      </c>
      <c r="E27" s="94">
        <f>+'8'!H27*0.5</f>
        <v>96.616950342165296</v>
      </c>
      <c r="F27" s="94">
        <f>+'8'!I27*0.486</f>
        <v>79.577788383927015</v>
      </c>
      <c r="G27" s="94">
        <f>+'8'!J27*0.5119</f>
        <v>511.24177869801719</v>
      </c>
      <c r="H27" s="94">
        <f>+'8'!K27*0.1486</f>
        <v>97.629495981751191</v>
      </c>
      <c r="I27" s="94">
        <f>+'8'!K27*0.364</f>
        <v>239.14627548692752</v>
      </c>
      <c r="J27" s="94">
        <f>+'8'!L27*0.5142</f>
        <v>188.26270433409368</v>
      </c>
      <c r="K27" s="95">
        <f>+'8'!D27*1.78</f>
        <v>70.601565186874893</v>
      </c>
    </row>
    <row r="28" spans="1:11">
      <c r="A28" s="31"/>
      <c r="B28" s="94"/>
      <c r="C28" s="94"/>
      <c r="D28" s="94"/>
      <c r="E28" s="94"/>
      <c r="F28" s="94"/>
      <c r="G28" s="94"/>
      <c r="H28" s="94"/>
      <c r="I28" s="94"/>
      <c r="J28" s="94"/>
      <c r="K28" s="95"/>
    </row>
    <row r="29" spans="1:11">
      <c r="A29" s="96" t="s">
        <v>517</v>
      </c>
      <c r="B29" s="94">
        <f>SUM(B30:B32)</f>
        <v>5964.8705406842146</v>
      </c>
      <c r="C29" s="97" t="s">
        <v>504</v>
      </c>
      <c r="D29" s="94">
        <f t="shared" ref="D29:K29" si="5">SUM(D30:D32)</f>
        <v>829.54414725199342</v>
      </c>
      <c r="E29" s="94">
        <f t="shared" si="5"/>
        <v>426.88510546171648</v>
      </c>
      <c r="F29" s="94">
        <f t="shared" si="5"/>
        <v>340.41673421932609</v>
      </c>
      <c r="G29" s="94">
        <f t="shared" si="5"/>
        <v>2209.4306588699305</v>
      </c>
      <c r="H29" s="94">
        <f t="shared" si="5"/>
        <v>430.21928987396041</v>
      </c>
      <c r="I29" s="94">
        <f t="shared" si="5"/>
        <v>955.17110451856297</v>
      </c>
      <c r="J29" s="94">
        <f t="shared" si="5"/>
        <v>773.20350048872501</v>
      </c>
      <c r="K29" s="95">
        <f t="shared" si="5"/>
        <v>226.07627154248473</v>
      </c>
    </row>
    <row r="30" spans="1:11">
      <c r="A30" s="31" t="s">
        <v>518</v>
      </c>
      <c r="B30" s="94">
        <f>SUM(D30:J30)</f>
        <v>4732.6990438652147</v>
      </c>
      <c r="C30" s="94"/>
      <c r="D30" s="94">
        <f>+SUM('8'!D30:G30)*0.479</f>
        <v>660.25769879104848</v>
      </c>
      <c r="E30" s="94">
        <f>+'8'!H30*0.495</f>
        <v>346.43561562205258</v>
      </c>
      <c r="F30" s="94">
        <f>+'8'!I30*0.4864</f>
        <v>270.25827811026323</v>
      </c>
      <c r="G30" s="94">
        <f>+'8'!J30*0.5169</f>
        <v>1729.5305585355397</v>
      </c>
      <c r="H30" s="94">
        <f>+'8'!K30*0.1534</f>
        <v>347.3229978736174</v>
      </c>
      <c r="I30" s="94">
        <f>+'8'!K30*0.34</f>
        <v>769.81629254908682</v>
      </c>
      <c r="J30" s="94">
        <f>+'8'!L30*0.5246</f>
        <v>609.07760238360629</v>
      </c>
      <c r="K30" s="95">
        <f>+'8'!D30*1.505</f>
        <v>172.74801123210148</v>
      </c>
    </row>
    <row r="31" spans="1:11">
      <c r="A31" s="31" t="s">
        <v>519</v>
      </c>
      <c r="B31" s="94">
        <f>SUM(D31:J31)</f>
        <v>702.5162311926606</v>
      </c>
      <c r="C31" s="94"/>
      <c r="D31" s="94">
        <f>+SUM('8'!D31:G31)*0.4789</f>
        <v>97.777517645545743</v>
      </c>
      <c r="E31" s="94">
        <f>+'8'!H31*0.495</f>
        <v>46.761265969304638</v>
      </c>
      <c r="F31" s="94">
        <f>+'8'!I31*0.4864</f>
        <v>41.502185303952672</v>
      </c>
      <c r="G31" s="94">
        <f>+'8'!J31*0.5169</f>
        <v>264.10257162822603</v>
      </c>
      <c r="H31" s="94">
        <f>+'8'!K31*0.1534</f>
        <v>47.525129812226709</v>
      </c>
      <c r="I31" s="94">
        <f>+'8'!K31*0.343</f>
        <v>106.26544671182374</v>
      </c>
      <c r="J31" s="94">
        <f>+'8'!L31*0.5246</f>
        <v>98.582114121581071</v>
      </c>
      <c r="K31" s="95">
        <f>+'8'!D31*1.5</f>
        <v>28.94962702563663</v>
      </c>
    </row>
    <row r="32" spans="1:11">
      <c r="A32" s="31" t="s">
        <v>520</v>
      </c>
      <c r="B32" s="94">
        <f>SUM(D32:J32)</f>
        <v>529.65526562633966</v>
      </c>
      <c r="C32" s="94"/>
      <c r="D32" s="94">
        <f>+SUM('8'!D32:G32)*0.4789</f>
        <v>71.508930815399111</v>
      </c>
      <c r="E32" s="94">
        <f>+'8'!H32*0.495</f>
        <v>33.688223870359252</v>
      </c>
      <c r="F32" s="94">
        <f>+'8'!I32*0.4864</f>
        <v>28.656270805110172</v>
      </c>
      <c r="G32" s="94">
        <f>+'8'!J32*0.5169</f>
        <v>215.7975287061648</v>
      </c>
      <c r="H32" s="94">
        <f>+'8'!K32*0.1534</f>
        <v>35.371162188116266</v>
      </c>
      <c r="I32" s="94">
        <f>+'8'!K32*0.343</f>
        <v>79.089365257652403</v>
      </c>
      <c r="J32" s="94">
        <f>+'8'!L32*0.5246</f>
        <v>65.543783983537665</v>
      </c>
      <c r="K32" s="95">
        <f>+'8'!D32*1.5</f>
        <v>24.37863328474663</v>
      </c>
    </row>
    <row r="33" spans="1:12">
      <c r="A33" s="31"/>
      <c r="B33" s="94"/>
      <c r="C33" s="94"/>
      <c r="D33" s="94"/>
      <c r="E33" s="94"/>
      <c r="F33" s="94"/>
      <c r="G33" s="94"/>
      <c r="H33" s="94"/>
      <c r="I33" s="94"/>
      <c r="J33" s="94"/>
      <c r="K33" s="95"/>
    </row>
    <row r="34" spans="1:12">
      <c r="A34" s="96" t="s">
        <v>521</v>
      </c>
      <c r="B34" s="94">
        <f>SUM(D34:J34)</f>
        <v>60847.92340436684</v>
      </c>
      <c r="C34" s="97" t="s">
        <v>504</v>
      </c>
      <c r="D34" s="94">
        <f t="shared" ref="D34:K34" si="6">+D29+D25+D17+D9</f>
        <v>7807.9087497411847</v>
      </c>
      <c r="E34" s="94">
        <f t="shared" si="6"/>
        <v>4176.5587227152955</v>
      </c>
      <c r="F34" s="94">
        <f t="shared" si="6"/>
        <v>3604.4262089569092</v>
      </c>
      <c r="G34" s="94">
        <f t="shared" si="6"/>
        <v>21449.372433803161</v>
      </c>
      <c r="H34" s="94">
        <f t="shared" si="6"/>
        <v>4160.4455512855766</v>
      </c>
      <c r="I34" s="94">
        <f t="shared" si="6"/>
        <v>10756.181058844544</v>
      </c>
      <c r="J34" s="94">
        <f t="shared" si="6"/>
        <v>8893.0306790201648</v>
      </c>
      <c r="K34" s="95">
        <f t="shared" si="6"/>
        <v>2275.9820874899924</v>
      </c>
    </row>
    <row r="35" spans="1:12">
      <c r="A35" s="31"/>
      <c r="B35" s="94"/>
      <c r="C35" s="94"/>
      <c r="D35" s="94"/>
      <c r="E35" s="94"/>
      <c r="F35" s="94"/>
      <c r="G35" s="94"/>
      <c r="H35" s="94"/>
      <c r="I35" s="94"/>
      <c r="J35" s="94"/>
      <c r="K35" s="95"/>
    </row>
    <row r="36" spans="1:12">
      <c r="A36" s="31"/>
      <c r="B36" s="110"/>
      <c r="C36" s="94"/>
      <c r="D36" s="94"/>
      <c r="E36" s="94"/>
      <c r="F36" s="94"/>
      <c r="G36" s="94"/>
      <c r="H36" s="94"/>
      <c r="I36" s="94"/>
      <c r="J36" s="94"/>
      <c r="K36" s="95"/>
    </row>
    <row r="37" spans="1:12">
      <c r="A37" s="96" t="s">
        <v>391</v>
      </c>
      <c r="B37" s="94">
        <f>SUM(B38:B41)</f>
        <v>43958.550478966579</v>
      </c>
      <c r="C37" s="97" t="s">
        <v>504</v>
      </c>
      <c r="D37" s="94">
        <f t="shared" ref="D37:K37" si="7">SUM(D38:D41)</f>
        <v>5514.1773828882369</v>
      </c>
      <c r="E37" s="94">
        <f t="shared" si="7"/>
        <v>3078.9847741738008</v>
      </c>
      <c r="F37" s="94">
        <f t="shared" si="7"/>
        <v>2603.5696870388178</v>
      </c>
      <c r="G37" s="94">
        <f t="shared" si="7"/>
        <v>15809.209503942771</v>
      </c>
      <c r="H37" s="94">
        <f t="shared" si="7"/>
        <v>2702.4166427395339</v>
      </c>
      <c r="I37" s="94">
        <f t="shared" si="7"/>
        <v>7757.8604125577576</v>
      </c>
      <c r="J37" s="94">
        <f t="shared" si="7"/>
        <v>6492.332075625658</v>
      </c>
      <c r="K37" s="95">
        <f t="shared" si="7"/>
        <v>1538.639589070013</v>
      </c>
    </row>
    <row r="38" spans="1:12">
      <c r="A38" s="31" t="s">
        <v>522</v>
      </c>
      <c r="B38" s="94">
        <f>SUM(D38:J38)</f>
        <v>18366.758215227866</v>
      </c>
      <c r="C38" s="94"/>
      <c r="D38" s="94">
        <f>+SUM('8'!D38:G38)*0.48921</f>
        <v>2302.8679690076228</v>
      </c>
      <c r="E38" s="94">
        <f>+'8'!H38*0.5053</f>
        <v>1286.7130932074588</v>
      </c>
      <c r="F38" s="94">
        <f>+'8'!I38*0.4907</f>
        <v>1090.0621801735665</v>
      </c>
      <c r="G38" s="94">
        <f>+'8'!J38*0.4975</f>
        <v>6604.3955586372704</v>
      </c>
      <c r="H38" s="94">
        <f>+'8'!K38*0.1342</f>
        <v>1129.6235503225053</v>
      </c>
      <c r="I38" s="94">
        <f>+'8'!K38*0.38513</f>
        <v>3241.8175703107772</v>
      </c>
      <c r="J38" s="94">
        <f>+'8'!L38*0.5659</f>
        <v>2711.2782935686641</v>
      </c>
      <c r="K38" s="95">
        <f>+'8'!D38*1.44</f>
        <v>639.48496774950161</v>
      </c>
    </row>
    <row r="39" spans="1:12">
      <c r="A39" s="31" t="s">
        <v>612</v>
      </c>
      <c r="B39" s="94">
        <f>SUM(D39:J39)</f>
        <v>19541.904354818809</v>
      </c>
      <c r="C39" s="94"/>
      <c r="D39" s="94">
        <f>+SUM('8'!D39:G39)*0.4892</f>
        <v>2453.9064863140611</v>
      </c>
      <c r="E39" s="94">
        <f>+'8'!H39*0.5052</f>
        <v>1369.061013768031</v>
      </c>
      <c r="F39" s="94">
        <f>+'8'!I39*0.4907</f>
        <v>1153.9504224463469</v>
      </c>
      <c r="G39" s="94">
        <f>+'8'!J39*0.4975</f>
        <v>7032.2025240412804</v>
      </c>
      <c r="H39" s="94">
        <f>+'8'!K39*0.1342</f>
        <v>1202.2228576333998</v>
      </c>
      <c r="I39" s="94">
        <f>+'8'!K39*0.3852</f>
        <v>3450.7916897197138</v>
      </c>
      <c r="J39" s="94">
        <f>+'8'!L39*0.5659</f>
        <v>2879.7693608959771</v>
      </c>
      <c r="K39" s="95">
        <f>+'8'!D39*1.44</f>
        <v>681.63284062390051</v>
      </c>
    </row>
    <row r="40" spans="1:12">
      <c r="A40" s="31" t="s">
        <v>523</v>
      </c>
      <c r="B40" s="94">
        <f>SUM(D40:J40)</f>
        <v>4007.6536049607134</v>
      </c>
      <c r="C40" s="94"/>
      <c r="D40" s="94">
        <f>+SUM('8'!D40:G40)*0.4892</f>
        <v>503.12489125835577</v>
      </c>
      <c r="E40" s="94">
        <f>+'8'!H40*0.5052</f>
        <v>280.95069593526449</v>
      </c>
      <c r="F40" s="94">
        <f>+'8'!I40*0.4907</f>
        <v>238.21894986982528</v>
      </c>
      <c r="G40" s="94">
        <f>+'8'!J40*0.4976</f>
        <v>1440.8742874727336</v>
      </c>
      <c r="H40" s="94">
        <f>+'8'!K40*0.134</f>
        <v>245.60421400258002</v>
      </c>
      <c r="I40" s="94">
        <f>+'8'!K40*0.3852</f>
        <v>706.02047189398377</v>
      </c>
      <c r="J40" s="94">
        <f>+'8'!L40*0.5659</f>
        <v>592.86009452796986</v>
      </c>
      <c r="K40" s="95">
        <f>+'8'!D40*1.51</f>
        <v>146.30640928814353</v>
      </c>
    </row>
    <row r="41" spans="1:12">
      <c r="A41" s="31" t="s">
        <v>315</v>
      </c>
      <c r="B41" s="94">
        <f>SUM(D41:J41)</f>
        <v>2042.2343039591883</v>
      </c>
      <c r="C41" s="94"/>
      <c r="D41" s="94">
        <f>+SUM('8'!D41:G41)*0.4892</f>
        <v>254.27803630819753</v>
      </c>
      <c r="E41" s="94">
        <f>+'8'!H41*0.5052</f>
        <v>142.25997126304676</v>
      </c>
      <c r="F41" s="94">
        <f>+'8'!I41*0.4907</f>
        <v>121.33813454907941</v>
      </c>
      <c r="G41" s="94">
        <f>+'8'!J41*0.4976</f>
        <v>731.7371337914858</v>
      </c>
      <c r="H41" s="94">
        <f>+'8'!K41*0.134</f>
        <v>124.96602078104844</v>
      </c>
      <c r="I41" s="94">
        <f>+'8'!K41*0.3852</f>
        <v>359.23068063328247</v>
      </c>
      <c r="J41" s="94">
        <f>+'8'!L41*0.5659</f>
        <v>308.42432663304794</v>
      </c>
      <c r="K41" s="95">
        <f>+'8'!D41*1.44</f>
        <v>71.21537140846722</v>
      </c>
    </row>
    <row r="42" spans="1:12">
      <c r="A42" s="31"/>
      <c r="B42" s="94"/>
      <c r="C42" s="94"/>
      <c r="D42" s="94"/>
      <c r="E42" s="94"/>
      <c r="F42" s="94"/>
      <c r="G42" s="94"/>
      <c r="H42" s="94"/>
      <c r="I42" s="94"/>
      <c r="J42" s="94"/>
      <c r="K42" s="95"/>
      <c r="L42" s="88"/>
    </row>
    <row r="43" spans="1:12">
      <c r="A43" s="96" t="s">
        <v>524</v>
      </c>
      <c r="B43" s="94">
        <f>SUM(B44:B54)</f>
        <v>9069.8360027432554</v>
      </c>
      <c r="C43" s="97" t="s">
        <v>504</v>
      </c>
      <c r="D43" s="94">
        <f t="shared" ref="D43:K43" si="8">SUM(D44:D54)</f>
        <v>1094.1487045123729</v>
      </c>
      <c r="E43" s="94">
        <f t="shared" si="8"/>
        <v>571.54855139402082</v>
      </c>
      <c r="F43" s="94">
        <f t="shared" si="8"/>
        <v>525.40010357182837</v>
      </c>
      <c r="G43" s="94">
        <f t="shared" si="8"/>
        <v>2983.3026018642927</v>
      </c>
      <c r="H43" s="94">
        <f t="shared" si="8"/>
        <v>586.47127261784783</v>
      </c>
      <c r="I43" s="94">
        <f t="shared" si="8"/>
        <v>1652.8779635539136</v>
      </c>
      <c r="J43" s="94">
        <f t="shared" si="8"/>
        <v>1656.0868052289777</v>
      </c>
      <c r="K43" s="95">
        <f t="shared" si="8"/>
        <v>320.83393516963389</v>
      </c>
    </row>
    <row r="44" spans="1:12">
      <c r="A44" s="31" t="s">
        <v>525</v>
      </c>
      <c r="B44" s="94">
        <f>SUM(D44:J44)</f>
        <v>2955.1466738327181</v>
      </c>
      <c r="C44" s="94"/>
      <c r="D44" s="94">
        <f>+SUM('8'!D44:G44)*0.5</f>
        <v>294.86381704176466</v>
      </c>
      <c r="E44" s="94">
        <f>+'8'!H44*0.485</f>
        <v>182.72012512596575</v>
      </c>
      <c r="F44" s="94">
        <f>+'8'!I44*0.482</f>
        <v>159.79910984212293</v>
      </c>
      <c r="G44" s="94">
        <f>+'8'!J44*0.5038</f>
        <v>974.82761538461557</v>
      </c>
      <c r="H44" s="94">
        <f>+'8'!K44*0.1301</f>
        <v>195.53399238607102</v>
      </c>
      <c r="I44" s="94">
        <f>+'8'!K44*0.366</f>
        <v>550.08025529056113</v>
      </c>
      <c r="J44" s="94">
        <f>+'8'!L44*0.541</f>
        <v>597.32175876161682</v>
      </c>
      <c r="K44" s="95">
        <f>+'8'!D44*1.56</f>
        <v>87.765938864628822</v>
      </c>
    </row>
    <row r="45" spans="1:12">
      <c r="A45" s="31" t="s">
        <v>526</v>
      </c>
      <c r="B45" s="94">
        <f>SUM(D45:J45)</f>
        <v>1289.1329542044564</v>
      </c>
      <c r="C45" s="94"/>
      <c r="D45" s="94">
        <f>+SUM('8'!D45:G45)*0.501</f>
        <v>154.01837252267384</v>
      </c>
      <c r="E45" s="94">
        <f>+'8'!H45*0.485</f>
        <v>80.884108722427499</v>
      </c>
      <c r="F45" s="94">
        <f>+'8'!I45*0.482</f>
        <v>74.572917926324024</v>
      </c>
      <c r="G45" s="94">
        <f>+'8'!J45*0.5037</f>
        <v>424.06199009069536</v>
      </c>
      <c r="H45" s="94">
        <f>+'8'!K45*0.1301</f>
        <v>83.389496752883204</v>
      </c>
      <c r="I45" s="94">
        <f>+'8'!K45*0.367</f>
        <v>235.23401466801027</v>
      </c>
      <c r="J45" s="94">
        <f>+'8'!L45*0.541</f>
        <v>236.97205352144218</v>
      </c>
      <c r="K45" s="95">
        <f>+'8'!D45*1.56</f>
        <v>45.45021834061135</v>
      </c>
    </row>
    <row r="46" spans="1:12">
      <c r="A46" s="31" t="s">
        <v>527</v>
      </c>
      <c r="B46" s="94">
        <f>SUM(D46:J46)</f>
        <v>709.07805889598035</v>
      </c>
      <c r="C46" s="94"/>
      <c r="D46" s="94">
        <f>+SUM('8'!D46:G46)*0.501</f>
        <v>85.565762512596578</v>
      </c>
      <c r="E46" s="94">
        <f>+'8'!H46*0.485</f>
        <v>44.827337364236925</v>
      </c>
      <c r="F46" s="94">
        <f>+'8'!I46*0.482</f>
        <v>40.676137050722204</v>
      </c>
      <c r="G46" s="94">
        <f>+'8'!J46*0.5037</f>
        <v>232.27261748404436</v>
      </c>
      <c r="H46" s="94">
        <f>+'8'!K46*0.1301</f>
        <v>45.87729366812227</v>
      </c>
      <c r="I46" s="94">
        <f>+'8'!K46*0.367</f>
        <v>129.41557860262009</v>
      </c>
      <c r="J46" s="94">
        <f>+'8'!L46*0.541</f>
        <v>130.44333221363789</v>
      </c>
      <c r="K46" s="95">
        <f>+'8'!D46*1.56</f>
        <v>25.075982532751095</v>
      </c>
    </row>
    <row r="47" spans="1:12">
      <c r="A47" s="31" t="s">
        <v>528</v>
      </c>
      <c r="B47" s="94">
        <f>SUM(D47:J47)</f>
        <v>639.11928249916025</v>
      </c>
      <c r="C47" s="94"/>
      <c r="D47" s="94">
        <f>+SUM('8'!D47:G47)*0.501</f>
        <v>94.122338763856234</v>
      </c>
      <c r="E47" s="94">
        <f>+'8'!H47*0.485</f>
        <v>40.929308028216326</v>
      </c>
      <c r="F47" s="94">
        <f>+'8'!I47*0.482</f>
        <v>40.19189732392789</v>
      </c>
      <c r="G47" s="94">
        <f>+'8'!J47*0.5037</f>
        <v>210.00683280147803</v>
      </c>
      <c r="H47" s="94">
        <f>+'8'!K47*0.1301</f>
        <v>40.126293892061355</v>
      </c>
      <c r="I47" s="94">
        <f>+'8'!K47*0.367</f>
        <v>113.19254310827455</v>
      </c>
      <c r="J47" s="94">
        <f>+'8'!L47*0.541</f>
        <v>100.55006858134588</v>
      </c>
      <c r="K47" s="95">
        <f>+'8'!D47*1.56</f>
        <v>23.508733624454148</v>
      </c>
    </row>
    <row r="48" spans="1:12">
      <c r="A48" s="31" t="s">
        <v>529</v>
      </c>
      <c r="B48" s="94">
        <f t="shared" ref="B48:B53" si="9">SUM(D48:J48)</f>
        <v>570.50120717164918</v>
      </c>
      <c r="C48" s="94"/>
      <c r="D48" s="94">
        <f>+SUM('8'!D48:G48)*0.501</f>
        <v>68.452610010077237</v>
      </c>
      <c r="E48" s="94">
        <f>+'8'!H48*0.485</f>
        <v>36.056771358190566</v>
      </c>
      <c r="F48" s="94">
        <f>+'8'!I48*0.482</f>
        <v>32.444061695218892</v>
      </c>
      <c r="G48" s="94">
        <f>+'8'!J48*0.5037</f>
        <v>186.72896699697679</v>
      </c>
      <c r="H48" s="94">
        <f>+'8'!K48*0.1301</f>
        <v>36.85868038293583</v>
      </c>
      <c r="I48" s="94">
        <f>+'8'!K48*0.367</f>
        <v>103.9749093046691</v>
      </c>
      <c r="J48" s="94">
        <f>+'8'!L48*0.541</f>
        <v>105.98520742358077</v>
      </c>
      <c r="K48" s="95">
        <f>+'8'!D48*1.56</f>
        <v>20.374235807860259</v>
      </c>
    </row>
    <row r="49" spans="1:13">
      <c r="A49" s="31" t="s">
        <v>530</v>
      </c>
      <c r="B49" s="94">
        <f t="shared" si="9"/>
        <v>582.71429568357394</v>
      </c>
      <c r="C49" s="94"/>
      <c r="D49" s="94">
        <f>+SUM('8'!D49:G49)*0.501</f>
        <v>88.082402586496457</v>
      </c>
      <c r="E49" s="94">
        <f>+'8'!H49*0.485</f>
        <v>39.954800694211166</v>
      </c>
      <c r="F49" s="94">
        <f>+'8'!I49*0.482</f>
        <v>39.707657597133576</v>
      </c>
      <c r="G49" s="94">
        <f>+'8'!J49*0.5037</f>
        <v>199.37998102116222</v>
      </c>
      <c r="H49" s="94">
        <f>+'8'!K49*0.1301</f>
        <v>34.37529411600044</v>
      </c>
      <c r="I49" s="94">
        <f>+'8'!K49*0.367</f>
        <v>96.969507613928997</v>
      </c>
      <c r="J49" s="94">
        <f>+'8'!L49*0.541</f>
        <v>84.244652054641122</v>
      </c>
      <c r="K49" s="95">
        <f>+'8'!D49*1.56</f>
        <v>23.508733624454145</v>
      </c>
    </row>
    <row r="50" spans="1:13">
      <c r="A50" s="31" t="s">
        <v>531</v>
      </c>
      <c r="B50" s="94">
        <f t="shared" si="9"/>
        <v>693.35121842458841</v>
      </c>
      <c r="C50" s="94"/>
      <c r="D50" s="94">
        <f>+SUM('8'!D50:G50)*0.501</f>
        <v>83.049122438696671</v>
      </c>
      <c r="E50" s="94">
        <f>+'8'!H50*0.485</f>
        <v>43.852830030231779</v>
      </c>
      <c r="F50" s="94">
        <f>+'8'!I50*0.482</f>
        <v>39.707657597133576</v>
      </c>
      <c r="G50" s="94">
        <f>+'8'!J50*0.5037</f>
        <v>227.71825243533758</v>
      </c>
      <c r="H50" s="94">
        <f>+'8'!K50*0.1301</f>
        <v>44.831657345202096</v>
      </c>
      <c r="I50" s="94">
        <f>+'8'!K50*0.367</f>
        <v>126.46593578546633</v>
      </c>
      <c r="J50" s="94">
        <f>+'8'!L50*0.541</f>
        <v>127.72576279252043</v>
      </c>
      <c r="K50" s="95">
        <f>+'8'!D50*1.56</f>
        <v>25.075982532751087</v>
      </c>
    </row>
    <row r="51" spans="1:13">
      <c r="A51" s="31" t="s">
        <v>532</v>
      </c>
      <c r="B51" s="94">
        <f t="shared" si="9"/>
        <v>614.08901139290128</v>
      </c>
      <c r="C51" s="94"/>
      <c r="D51" s="94">
        <f>+SUM('8'!D51:G51)*0.501</f>
        <v>74.492546187437028</v>
      </c>
      <c r="E51" s="94">
        <f>+'8'!H51*0.485</f>
        <v>38.493039693203457</v>
      </c>
      <c r="F51" s="94">
        <f>+'8'!I51*0.482</f>
        <v>34.86526032919047</v>
      </c>
      <c r="G51" s="94">
        <f>+'8'!J51*0.5037</f>
        <v>201.91018382599938</v>
      </c>
      <c r="H51" s="94">
        <f>+'8'!K51*0.1301</f>
        <v>39.734180270966299</v>
      </c>
      <c r="I51" s="94">
        <f>+'8'!K51*0.367</f>
        <v>112.08642705184191</v>
      </c>
      <c r="J51" s="94">
        <f>+'8'!L51*0.541</f>
        <v>112.50737403426271</v>
      </c>
      <c r="K51" s="95">
        <f>+'8'!D51*1.55</f>
        <v>21.800834173104921</v>
      </c>
    </row>
    <row r="52" spans="1:13">
      <c r="A52" s="31" t="s">
        <v>533</v>
      </c>
      <c r="B52" s="94">
        <f t="shared" si="9"/>
        <v>662.7299877673272</v>
      </c>
      <c r="C52" s="94"/>
      <c r="D52" s="94">
        <f>+SUM('8'!D52:G52)*0.501</f>
        <v>91.102370675176346</v>
      </c>
      <c r="E52" s="94">
        <f>+'8'!H52*0.485</f>
        <v>41.903815362221472</v>
      </c>
      <c r="F52" s="94">
        <f>+'8'!I52*0.482</f>
        <v>41.644616504310825</v>
      </c>
      <c r="G52" s="94">
        <f>+'8'!J52*0.5037</f>
        <v>217.59744121598928</v>
      </c>
      <c r="H52" s="94">
        <f>+'8'!K52*0.1301</f>
        <v>44.047430103011976</v>
      </c>
      <c r="I52" s="94">
        <f>+'8'!K52*0.367</f>
        <v>124.25370367260105</v>
      </c>
      <c r="J52" s="94">
        <f>+'8'!L52*0.541</f>
        <v>102.18061023401634</v>
      </c>
      <c r="K52" s="95">
        <f>+'8'!D52*1.55</f>
        <v>29.586846377785243</v>
      </c>
    </row>
    <row r="53" spans="1:13">
      <c r="A53" s="31" t="s">
        <v>534</v>
      </c>
      <c r="B53" s="94">
        <f t="shared" si="9"/>
        <v>163.88450579442389</v>
      </c>
      <c r="C53" s="94"/>
      <c r="D53" s="94">
        <f>+SUM('8'!D53:G53)*0.501</f>
        <v>27.683040812898884</v>
      </c>
      <c r="E53" s="94">
        <f>+'8'!H53*0.485</f>
        <v>10.719580674056655</v>
      </c>
      <c r="F53" s="94">
        <f>+'8'!I53*0.482</f>
        <v>10.65327398947486</v>
      </c>
      <c r="G53" s="94">
        <f>+'8'!J53*0.5037</f>
        <v>47.567812730937177</v>
      </c>
      <c r="H53" s="94">
        <f>+'8'!K53*0.1301</f>
        <v>10.064249608106593</v>
      </c>
      <c r="I53" s="94">
        <f>+'8'!K53*0.367</f>
        <v>28.390312115104688</v>
      </c>
      <c r="J53" s="94">
        <f>+'8'!L53*0.541</f>
        <v>28.806235863845036</v>
      </c>
      <c r="K53" s="95">
        <f>+'8'!D53*1.55</f>
        <v>9.3432146456163903</v>
      </c>
    </row>
    <row r="54" spans="1:13">
      <c r="A54" s="31" t="s">
        <v>535</v>
      </c>
      <c r="B54" s="94">
        <f>SUM(D54:J54)</f>
        <v>190.08880707647518</v>
      </c>
      <c r="C54" s="94"/>
      <c r="D54" s="94">
        <f>+SUM('8'!D54:G54)*0.501</f>
        <v>32.716320960698688</v>
      </c>
      <c r="E54" s="94">
        <f>+'8'!H54*0.485</f>
        <v>11.206834341059229</v>
      </c>
      <c r="F54" s="94">
        <f>+'8'!I54*0.482</f>
        <v>11.137513716269172</v>
      </c>
      <c r="G54" s="94">
        <f>+'8'!J54*0.5037</f>
        <v>61.23090787705744</v>
      </c>
      <c r="H54" s="94">
        <f>+'8'!K54*0.1301</f>
        <v>11.632704092486843</v>
      </c>
      <c r="I54" s="94">
        <f>+'8'!K54*0.367</f>
        <v>32.814776340835294</v>
      </c>
      <c r="J54" s="94">
        <f>+'8'!L54*0.541</f>
        <v>29.349749748068525</v>
      </c>
      <c r="K54" s="95">
        <f>+'8'!D54*1.55</f>
        <v>9.3432146456163938</v>
      </c>
    </row>
    <row r="55" spans="1:13">
      <c r="A55" s="31"/>
      <c r="B55" s="94"/>
      <c r="C55" s="94"/>
      <c r="D55" s="646"/>
      <c r="E55" s="646"/>
      <c r="F55" s="646"/>
      <c r="G55" s="646"/>
      <c r="H55" s="646"/>
      <c r="I55" s="646"/>
      <c r="J55" s="646"/>
      <c r="K55" s="95"/>
    </row>
    <row r="56" spans="1:13">
      <c r="A56" s="96" t="s">
        <v>536</v>
      </c>
      <c r="B56" s="94">
        <f>SUM(B57:B59)</f>
        <v>8491.2090746637896</v>
      </c>
      <c r="C56" s="97" t="s">
        <v>504</v>
      </c>
      <c r="D56" s="94">
        <f t="shared" ref="D56:K56" si="10">SUM(D57:D59)</f>
        <v>1048.3464036497662</v>
      </c>
      <c r="E56" s="94">
        <f t="shared" si="10"/>
        <v>538.08280582524276</v>
      </c>
      <c r="F56" s="94">
        <f t="shared" si="10"/>
        <v>524.63713933836755</v>
      </c>
      <c r="G56" s="94">
        <f t="shared" si="10"/>
        <v>2955.2558622042429</v>
      </c>
      <c r="H56" s="94">
        <f t="shared" si="10"/>
        <v>541.04522912621348</v>
      </c>
      <c r="I56" s="94">
        <f t="shared" si="10"/>
        <v>1632.0359662891044</v>
      </c>
      <c r="J56" s="94">
        <f t="shared" si="10"/>
        <v>1251.8056682308522</v>
      </c>
      <c r="K56" s="95">
        <f t="shared" si="10"/>
        <v>309.2674728514923</v>
      </c>
      <c r="L56" s="6"/>
      <c r="M56" s="6"/>
    </row>
    <row r="57" spans="1:13">
      <c r="A57" s="31" t="s">
        <v>537</v>
      </c>
      <c r="B57" s="94">
        <f>SUM(D57:J57)</f>
        <v>6618.5250644983817</v>
      </c>
      <c r="C57" s="94"/>
      <c r="D57" s="94">
        <f>+SUM('8'!D57:G57)*0.4837</f>
        <v>827.28736368212867</v>
      </c>
      <c r="E57" s="94">
        <f>+'8'!H57*0.482</f>
        <v>418.02277597986341</v>
      </c>
      <c r="F57" s="94">
        <f>+'8'!I57*0.499</f>
        <v>416.16016846458109</v>
      </c>
      <c r="G57" s="94">
        <f>+'8'!J57*0.50482</f>
        <v>2317.867778701906</v>
      </c>
      <c r="H57" s="94">
        <f>+'8'!K57*0.1276</f>
        <v>422.19332261776333</v>
      </c>
      <c r="I57" s="94">
        <f>+'8'!K57*0.3845</f>
        <v>1272.2048005213951</v>
      </c>
      <c r="J57" s="94">
        <f>+'8'!L57*0.5231</f>
        <v>944.7888545307444</v>
      </c>
      <c r="K57" s="95">
        <f>+'8'!D57*1.442</f>
        <v>229.76125925925928</v>
      </c>
    </row>
    <row r="58" spans="1:13">
      <c r="A58" s="31" t="s">
        <v>316</v>
      </c>
      <c r="B58" s="94">
        <f>SUM(D58:J58)</f>
        <v>1148.5259874793242</v>
      </c>
      <c r="C58" s="94"/>
      <c r="D58" s="94">
        <f>+SUM('8'!D58:G58)*0.4839</f>
        <v>133.70899989212515</v>
      </c>
      <c r="E58" s="94">
        <f>+'8'!H58*0.482</f>
        <v>73.883095289464237</v>
      </c>
      <c r="F58" s="94">
        <f>+'8'!I58*0.498</f>
        <v>65.287065803667744</v>
      </c>
      <c r="G58" s="94">
        <f>+'8'!J58*0.50483</f>
        <v>385.89470231211789</v>
      </c>
      <c r="H58" s="94">
        <f>+'8'!K58*0.127</f>
        <v>72.745563466378997</v>
      </c>
      <c r="I58" s="94">
        <f>+'8'!K58*0.3845</f>
        <v>220.24148939230494</v>
      </c>
      <c r="J58" s="94">
        <f>+'8'!L58*0.5231</f>
        <v>196.765071323265</v>
      </c>
      <c r="K58" s="95">
        <f>+'8'!D58*1.79</f>
        <v>46.933272204243075</v>
      </c>
    </row>
    <row r="59" spans="1:13">
      <c r="A59" s="31" t="s">
        <v>538</v>
      </c>
      <c r="B59" s="94">
        <f>SUM(D59:J59)</f>
        <v>724.15802268608422</v>
      </c>
      <c r="C59" s="94"/>
      <c r="D59" s="94">
        <f>+SUM('8'!D59:G59)*0.4839</f>
        <v>87.350040075512382</v>
      </c>
      <c r="E59" s="94">
        <f>+'8'!H59*0.482</f>
        <v>46.176934555915139</v>
      </c>
      <c r="F59" s="94">
        <f>+'8'!I59*0.498</f>
        <v>43.189905070118655</v>
      </c>
      <c r="G59" s="94">
        <f>+'8'!J59*0.50483</f>
        <v>251.49338119021934</v>
      </c>
      <c r="H59" s="94">
        <f>+'8'!K59*0.127</f>
        <v>46.106343042071188</v>
      </c>
      <c r="I59" s="94">
        <f>+'8'!K59*0.3845</f>
        <v>139.58967637540451</v>
      </c>
      <c r="J59" s="94">
        <f>+'8'!L59*0.5231</f>
        <v>110.25174237684286</v>
      </c>
      <c r="K59" s="95">
        <f>+'8'!D59*1.9</f>
        <v>32.572941387989921</v>
      </c>
    </row>
    <row r="60" spans="1:13">
      <c r="A60" s="31"/>
      <c r="B60" s="94"/>
      <c r="C60" s="94"/>
      <c r="D60" s="94"/>
      <c r="E60" s="94"/>
      <c r="F60" s="94"/>
      <c r="G60" s="94"/>
      <c r="H60" s="94"/>
      <c r="I60" s="94"/>
      <c r="J60" s="94"/>
      <c r="K60" s="95"/>
    </row>
    <row r="61" spans="1:13">
      <c r="A61" s="96" t="s">
        <v>539</v>
      </c>
      <c r="B61" s="94">
        <f>SUM(B62:B65)</f>
        <v>3910.3311111943194</v>
      </c>
      <c r="C61" s="97" t="s">
        <v>504</v>
      </c>
      <c r="D61" s="94">
        <f t="shared" ref="D61:K61" si="11">SUM(D62:D65)</f>
        <v>450.9752304712718</v>
      </c>
      <c r="E61" s="94">
        <f t="shared" si="11"/>
        <v>279.55150884441576</v>
      </c>
      <c r="F61" s="94">
        <f t="shared" si="11"/>
        <v>237.91484382182054</v>
      </c>
      <c r="G61" s="94">
        <f t="shared" si="11"/>
        <v>1378.4457330406715</v>
      </c>
      <c r="H61" s="94">
        <f t="shared" si="11"/>
        <v>264.18490071013559</v>
      </c>
      <c r="I61" s="94">
        <f t="shared" si="11"/>
        <v>748.43331594577148</v>
      </c>
      <c r="J61" s="94">
        <f t="shared" si="11"/>
        <v>550.8255783602325</v>
      </c>
      <c r="K61" s="95">
        <f t="shared" si="11"/>
        <v>116.92509489993544</v>
      </c>
    </row>
    <row r="62" spans="1:13">
      <c r="A62" s="31" t="s">
        <v>540</v>
      </c>
      <c r="B62" s="94">
        <f>SUM(D62:J62)</f>
        <v>2646.3691245706909</v>
      </c>
      <c r="C62" s="94"/>
      <c r="D62" s="94">
        <f>+SUM('8'!D62:G62)*0.462</f>
        <v>281.74328831504198</v>
      </c>
      <c r="E62" s="94">
        <f>+'8'!H62*0.498</f>
        <v>176.90618928340868</v>
      </c>
      <c r="F62" s="94">
        <f>+'8'!I62*0.5085</f>
        <v>152.49169812782441</v>
      </c>
      <c r="G62" s="94">
        <f>+'8'!J62*0.5012</f>
        <v>919.46819295029047</v>
      </c>
      <c r="H62" s="94">
        <f>+'8'!K62*0.133</f>
        <v>191.12558502259523</v>
      </c>
      <c r="I62" s="94">
        <f>+'8'!K62*0.376</f>
        <v>540.32496216914137</v>
      </c>
      <c r="J62" s="94">
        <f>+'8'!L62*0.5253</f>
        <v>384.30920870238873</v>
      </c>
      <c r="K62" s="95">
        <f>+'8'!D62*1.24</f>
        <v>71.127168495803744</v>
      </c>
    </row>
    <row r="63" spans="1:13">
      <c r="A63" s="31" t="s">
        <v>541</v>
      </c>
      <c r="B63" s="94">
        <f>SUM(D63:J63)</f>
        <v>308.50714969657838</v>
      </c>
      <c r="C63" s="94"/>
      <c r="D63" s="94">
        <f>+SUM('8'!D63:G63)*0.462</f>
        <v>38.588602194964494</v>
      </c>
      <c r="E63" s="94">
        <f>+'8'!H63*0.5</f>
        <v>21.636023240800515</v>
      </c>
      <c r="F63" s="94">
        <f>+'8'!I63*0.5083</f>
        <v>17.903054486765651</v>
      </c>
      <c r="G63" s="94">
        <f>+'8'!J63*0.5012</f>
        <v>114.4921995610071</v>
      </c>
      <c r="H63" s="94">
        <f>+'8'!K63*0.132</f>
        <v>19.261092317624271</v>
      </c>
      <c r="I63" s="94">
        <f>+'8'!K63*0.376</f>
        <v>54.864929632020647</v>
      </c>
      <c r="J63" s="94">
        <f>+'8'!L63*0.5253</f>
        <v>41.761248263395743</v>
      </c>
      <c r="K63" s="95">
        <f>+'8'!D63*1.23</f>
        <v>12.377817947062621</v>
      </c>
    </row>
    <row r="64" spans="1:13">
      <c r="A64" s="31" t="s">
        <v>542</v>
      </c>
      <c r="B64" s="94">
        <f>SUM(D64:J64)</f>
        <v>412.99575780503551</v>
      </c>
      <c r="C64" s="94"/>
      <c r="D64" s="94">
        <f>+SUM('8'!D64:G64)*0.462</f>
        <v>53.466135571336359</v>
      </c>
      <c r="E64" s="94">
        <f>+'8'!H64*0.5</f>
        <v>36.730923176242733</v>
      </c>
      <c r="F64" s="94">
        <f>+'8'!I64*0.5083</f>
        <v>28.13337133634603</v>
      </c>
      <c r="G64" s="94">
        <f>+'8'!J64*0.5012</f>
        <v>150.80690602969656</v>
      </c>
      <c r="H64" s="94">
        <f>+'8'!K64*0.132</f>
        <v>23.644651258876699</v>
      </c>
      <c r="I64" s="94">
        <f>+'8'!K64*0.376</f>
        <v>67.351430858618471</v>
      </c>
      <c r="J64" s="94">
        <f>+'8'!L64*0.5253</f>
        <v>52.862339573918653</v>
      </c>
      <c r="K64" s="95">
        <f>+'8'!D64*1.23</f>
        <v>13.615599741768882</v>
      </c>
    </row>
    <row r="65" spans="1:11">
      <c r="A65" s="31" t="s">
        <v>543</v>
      </c>
      <c r="B65" s="94">
        <f>SUM(D65:J65)</f>
        <v>542.45907912201426</v>
      </c>
      <c r="C65" s="94"/>
      <c r="D65" s="94">
        <f>+SUM('8'!D65:G65)*0.462</f>
        <v>77.177204389929003</v>
      </c>
      <c r="E65" s="94">
        <f>+'8'!H65*0.5</f>
        <v>44.278373143963847</v>
      </c>
      <c r="F65" s="94">
        <f>+'8'!I65*0.5083</f>
        <v>39.386719870884441</v>
      </c>
      <c r="G65" s="94">
        <f>+'8'!J65*0.5012</f>
        <v>193.67843449967719</v>
      </c>
      <c r="H65" s="94">
        <f>+'8'!K65*0.132</f>
        <v>30.153572111039384</v>
      </c>
      <c r="I65" s="94">
        <f>+'8'!K65*0.376</f>
        <v>85.891993285990978</v>
      </c>
      <c r="J65" s="94">
        <f>+'8'!L65*0.5253</f>
        <v>71.892781820529379</v>
      </c>
      <c r="K65" s="95">
        <f>+'8'!D65*1.23</f>
        <v>19.804508715300198</v>
      </c>
    </row>
    <row r="66" spans="1:11">
      <c r="A66" s="31"/>
      <c r="B66" s="94"/>
      <c r="C66" s="94"/>
      <c r="D66" s="94"/>
      <c r="E66" s="94"/>
      <c r="F66" s="94"/>
      <c r="G66" s="94"/>
      <c r="H66" s="94"/>
      <c r="I66" s="94"/>
      <c r="J66" s="94"/>
      <c r="K66" s="95"/>
    </row>
    <row r="67" spans="1:11">
      <c r="A67" s="96" t="s">
        <v>544</v>
      </c>
      <c r="B67" s="94">
        <f>SUM(B68:B71)</f>
        <v>13698.934895813851</v>
      </c>
      <c r="C67" s="97" t="s">
        <v>504</v>
      </c>
      <c r="D67" s="94">
        <f t="shared" ref="D67:K67" si="12">SUM(D68:D71)</f>
        <v>1750.3230203666594</v>
      </c>
      <c r="E67" s="94">
        <f t="shared" si="12"/>
        <v>897.49035237140947</v>
      </c>
      <c r="F67" s="94">
        <f t="shared" si="12"/>
        <v>827.92155273509991</v>
      </c>
      <c r="G67" s="94">
        <f t="shared" si="12"/>
        <v>4808.473855295777</v>
      </c>
      <c r="H67" s="94">
        <f t="shared" si="12"/>
        <v>922.27747665701793</v>
      </c>
      <c r="I67" s="94">
        <f t="shared" si="12"/>
        <v>2455.8495797892083</v>
      </c>
      <c r="J67" s="94">
        <f t="shared" si="12"/>
        <v>2036.599058598679</v>
      </c>
      <c r="K67" s="95">
        <f t="shared" si="12"/>
        <v>579.44645773027548</v>
      </c>
    </row>
    <row r="68" spans="1:11">
      <c r="A68" s="31" t="s">
        <v>545</v>
      </c>
      <c r="B68" s="94">
        <f>SUM(D68:J68)</f>
        <v>11179.04739950271</v>
      </c>
      <c r="C68" s="94"/>
      <c r="D68" s="94">
        <f>+SUM('8'!D68:G68)*0.4869</f>
        <v>1507.3200335337342</v>
      </c>
      <c r="E68" s="94">
        <f>+'8'!H68*0.484</f>
        <v>777.4234103763082</v>
      </c>
      <c r="F68" s="94">
        <f>+'8'!I68*0.52</f>
        <v>714.35709196170126</v>
      </c>
      <c r="G68" s="94">
        <f>+'8'!J68*0.5042</f>
        <v>3870.7301148370816</v>
      </c>
      <c r="H68" s="94">
        <f>+'8'!K68*0.138</f>
        <v>737.76240124693845</v>
      </c>
      <c r="I68" s="94">
        <f>+'8'!K68*0.367</f>
        <v>1962.0202989683071</v>
      </c>
      <c r="J68" s="94">
        <f>+'8'!L68*0.529</f>
        <v>1609.4340485786388</v>
      </c>
      <c r="K68" s="95">
        <f>+'8'!D68*1.75</f>
        <v>486.10097973725237</v>
      </c>
    </row>
    <row r="69" spans="1:11">
      <c r="A69" s="31" t="s">
        <v>546</v>
      </c>
      <c r="B69" s="94">
        <f>SUM(D69:J69)</f>
        <v>303.68992649743939</v>
      </c>
      <c r="C69" s="94"/>
      <c r="D69" s="94">
        <f>+SUM('8'!D69:G69)*0.4868</f>
        <v>26.455970340681365</v>
      </c>
      <c r="E69" s="94">
        <f>+'8'!H69*0.483</f>
        <v>13.610827432643063</v>
      </c>
      <c r="F69" s="94">
        <f>+'8'!I69*0.52</f>
        <v>10.466770578193424</v>
      </c>
      <c r="G69" s="94">
        <f>+'8'!J69*0.5042</f>
        <v>84.741993861797667</v>
      </c>
      <c r="H69" s="94">
        <f>+'8'!K69*0.138</f>
        <v>23.471733021598755</v>
      </c>
      <c r="I69" s="94">
        <f>+'8'!K69*0.367</f>
        <v>62.421203035701033</v>
      </c>
      <c r="J69" s="94">
        <f>+'8'!L69*0.529</f>
        <v>82.521428226824042</v>
      </c>
      <c r="K69" s="95">
        <f>+'8'!D69*1.75</f>
        <v>17.612354338306243</v>
      </c>
    </row>
    <row r="70" spans="1:11">
      <c r="A70" s="31" t="s">
        <v>547</v>
      </c>
      <c r="B70" s="94">
        <f>SUM(D70:J70)</f>
        <v>1435.5932676018706</v>
      </c>
      <c r="C70" s="94"/>
      <c r="D70" s="94">
        <f>+SUM('8'!D70:G70)*0.4868</f>
        <v>139.13880697691681</v>
      </c>
      <c r="E70" s="94">
        <f>+'8'!H70*0.483</f>
        <v>69.512440102427078</v>
      </c>
      <c r="F70" s="94">
        <f>+'8'!I70*0.52</f>
        <v>68.557347287166934</v>
      </c>
      <c r="G70" s="94">
        <f>+'8'!J70*0.5042</f>
        <v>553.10642700215249</v>
      </c>
      <c r="H70" s="94">
        <f>+'8'!K70*0.137</f>
        <v>105.33999450753362</v>
      </c>
      <c r="I70" s="94">
        <f>+'8'!K70*0.367</f>
        <v>282.18816046908637</v>
      </c>
      <c r="J70" s="94">
        <f>+'8'!L70*0.529</f>
        <v>217.75009125658727</v>
      </c>
      <c r="K70" s="95">
        <f>+'8'!D70*1.75</f>
        <v>47.553356713426865</v>
      </c>
    </row>
    <row r="71" spans="1:11">
      <c r="A71" s="31" t="s">
        <v>548</v>
      </c>
      <c r="B71" s="94">
        <f>SUM(D71:J71)</f>
        <v>780.60430221183105</v>
      </c>
      <c r="C71" s="94"/>
      <c r="D71" s="94">
        <f>+SUM('8'!D71:G71)*0.4868</f>
        <v>77.408209515326945</v>
      </c>
      <c r="E71" s="94">
        <f>+'8'!H71*0.483</f>
        <v>36.943674460031168</v>
      </c>
      <c r="F71" s="94">
        <f>+'8'!I71*0.52</f>
        <v>34.540342908038298</v>
      </c>
      <c r="G71" s="94">
        <f>+'8'!J71*0.5042</f>
        <v>299.89531959474505</v>
      </c>
      <c r="H71" s="94">
        <f>+'8'!K71*0.137</f>
        <v>55.703347880947071</v>
      </c>
      <c r="I71" s="94">
        <f>+'8'!K71*0.367</f>
        <v>149.21991731611368</v>
      </c>
      <c r="J71" s="94">
        <f>+'8'!L71*0.532</f>
        <v>126.8934905366288</v>
      </c>
      <c r="K71" s="95">
        <f>+'8'!D71*1.75</f>
        <v>28.179766941289987</v>
      </c>
    </row>
    <row r="72" spans="1:11">
      <c r="A72" s="31"/>
      <c r="B72" s="94"/>
      <c r="C72" s="94"/>
      <c r="D72" s="94"/>
      <c r="E72" s="94"/>
      <c r="F72" s="94"/>
      <c r="G72" s="94"/>
      <c r="H72" s="94"/>
      <c r="I72" s="94"/>
      <c r="J72" s="94"/>
      <c r="K72" s="95"/>
    </row>
    <row r="73" spans="1:11">
      <c r="A73" s="96" t="s">
        <v>549</v>
      </c>
      <c r="B73" s="94">
        <f>SUM(B74:B83)</f>
        <v>7854.9484356026342</v>
      </c>
      <c r="C73" s="97" t="s">
        <v>504</v>
      </c>
      <c r="D73" s="94">
        <f t="shared" ref="D73:K73" si="13">SUM(D74:D83)</f>
        <v>1004.1521095465702</v>
      </c>
      <c r="E73" s="94">
        <f t="shared" si="13"/>
        <v>551.23711406794996</v>
      </c>
      <c r="F73" s="94">
        <f t="shared" si="13"/>
        <v>443.84226844076989</v>
      </c>
      <c r="G73" s="94">
        <f t="shared" si="13"/>
        <v>2785.8565043276062</v>
      </c>
      <c r="H73" s="94">
        <f t="shared" si="13"/>
        <v>513.23536493993026</v>
      </c>
      <c r="I73" s="94">
        <f t="shared" si="13"/>
        <v>1374.6701459759722</v>
      </c>
      <c r="J73" s="94">
        <f t="shared" si="13"/>
        <v>1181.9549283038368</v>
      </c>
      <c r="K73" s="95">
        <f t="shared" si="13"/>
        <v>264.74253972354995</v>
      </c>
    </row>
    <row r="74" spans="1:11">
      <c r="A74" s="31" t="s">
        <v>550</v>
      </c>
      <c r="B74" s="94">
        <f t="shared" ref="B74:B87" si="14">SUM(D74:J74)</f>
        <v>4322.3606794987727</v>
      </c>
      <c r="C74" s="94"/>
      <c r="D74" s="94">
        <f>+SUM('8'!D74:G74)*0.5072</f>
        <v>537.13010722128922</v>
      </c>
      <c r="E74" s="94">
        <f>+'8'!H74*0.5089</f>
        <v>311.25667743185642</v>
      </c>
      <c r="F74" s="94">
        <f>+'8'!I74*0.4762</f>
        <v>249.99115876501742</v>
      </c>
      <c r="G74" s="94">
        <f>+'8'!J74*0.506</f>
        <v>1485.2122981526934</v>
      </c>
      <c r="H74" s="94">
        <f>+'8'!K74*0.1359</f>
        <v>287.42823666192999</v>
      </c>
      <c r="I74" s="94">
        <f>+'8'!K74*0.364</f>
        <v>769.85929466477205</v>
      </c>
      <c r="J74" s="94">
        <f>+'8'!L74*0.5089</f>
        <v>681.48290660121427</v>
      </c>
      <c r="K74" s="95">
        <f>+'8'!D74*1.51</f>
        <v>127.80674331481723</v>
      </c>
    </row>
    <row r="75" spans="1:11">
      <c r="A75" s="31" t="s">
        <v>264</v>
      </c>
      <c r="B75" s="94">
        <f t="shared" si="14"/>
        <v>790.09274253972353</v>
      </c>
      <c r="C75" s="94"/>
      <c r="D75" s="94">
        <f>+SUM('8'!D75:G75)*0.5071</f>
        <v>97.08334840459888</v>
      </c>
      <c r="E75" s="94">
        <f>+'8'!H75*0.5089</f>
        <v>56.405658183697192</v>
      </c>
      <c r="F75" s="94">
        <f>+'8'!I75*0.4762</f>
        <v>42.704823666193001</v>
      </c>
      <c r="G75" s="94">
        <f>+'8'!J75*0.506</f>
        <v>277.36199457434435</v>
      </c>
      <c r="H75" s="94">
        <f>+'8'!K75*0.1359</f>
        <v>51.898666838909691</v>
      </c>
      <c r="I75" s="94">
        <f>+'8'!K75*0.364</f>
        <v>139.00746673556384</v>
      </c>
      <c r="J75" s="94">
        <f>+'8'!L75*0.5089</f>
        <v>125.63078413641648</v>
      </c>
      <c r="K75" s="95">
        <f>+'8'!D75*1.51</f>
        <v>25.865650432760621</v>
      </c>
    </row>
    <row r="76" spans="1:11">
      <c r="A76" s="31" t="s">
        <v>551</v>
      </c>
      <c r="B76" s="94">
        <f>SUM(D76:J76)</f>
        <v>631.6623588683633</v>
      </c>
      <c r="C76" s="94"/>
      <c r="D76" s="94">
        <f>+SUM('8'!D76:G76)*0.5071</f>
        <v>83.798258622916933</v>
      </c>
      <c r="E76" s="94">
        <f>+'8'!H76*0.5089</f>
        <v>39.996739439348922</v>
      </c>
      <c r="F76" s="94">
        <f>+'8'!I76*0.4762</f>
        <v>34.547722516470742</v>
      </c>
      <c r="G76" s="94">
        <f>+'8'!J76*0.506</f>
        <v>231.98475649140937</v>
      </c>
      <c r="H76" s="94">
        <f>+'8'!K76*0.1359</f>
        <v>41.491546311846008</v>
      </c>
      <c r="I76" s="94">
        <f>+'8'!K76*0.364</f>
        <v>111.13261852473839</v>
      </c>
      <c r="J76" s="94">
        <f>+'8'!L76*0.5089</f>
        <v>88.710716961632855</v>
      </c>
      <c r="K76" s="95">
        <f>+'8'!D76*1.51</f>
        <v>24.344141583774707</v>
      </c>
    </row>
    <row r="77" spans="1:11">
      <c r="A77" s="31" t="s">
        <v>552</v>
      </c>
      <c r="B77" s="94">
        <f t="shared" si="14"/>
        <v>173.02921069629247</v>
      </c>
      <c r="C77" s="94"/>
      <c r="D77" s="94">
        <f>+SUM('8'!D77:G77)*0.5071</f>
        <v>23.504389613744998</v>
      </c>
      <c r="E77" s="94">
        <f>+'8'!H77*0.5089</f>
        <v>11.793910347500324</v>
      </c>
      <c r="F77" s="94">
        <f>+'8'!I77*0.4762</f>
        <v>9.1167601085131107</v>
      </c>
      <c r="G77" s="94">
        <f>+'8'!J77*0.506</f>
        <v>59.14336649011755</v>
      </c>
      <c r="H77" s="94">
        <f>+'8'!K77*0.1359</f>
        <v>11.776478491151014</v>
      </c>
      <c r="I77" s="94">
        <f>+'8'!K77*0.364</f>
        <v>31.542591396460406</v>
      </c>
      <c r="J77" s="94">
        <f>+'8'!L77*0.5089</f>
        <v>26.151714248805067</v>
      </c>
      <c r="K77" s="95">
        <f>+'8'!D77*1.51</f>
        <v>9.1290530939155161</v>
      </c>
    </row>
    <row r="78" spans="1:11">
      <c r="A78" s="31" t="s">
        <v>553</v>
      </c>
      <c r="B78" s="94">
        <f t="shared" si="14"/>
        <v>369.37932308487274</v>
      </c>
      <c r="C78" s="94"/>
      <c r="D78" s="94">
        <f>+SUM('8'!D78:G78)*0.5071</f>
        <v>49.052639193902593</v>
      </c>
      <c r="E78" s="94">
        <f>+'8'!H78*0.5089</f>
        <v>24.100599405761532</v>
      </c>
      <c r="F78" s="94">
        <f>+'8'!I78*0.4762</f>
        <v>20.632667614003356</v>
      </c>
      <c r="G78" s="94">
        <f>+'8'!J78*0.506</f>
        <v>142.75985014855962</v>
      </c>
      <c r="H78" s="94">
        <f>+'8'!K78*0.1359</f>
        <v>22.868278000258361</v>
      </c>
      <c r="I78" s="94">
        <f>+'8'!K78*0.364</f>
        <v>61.251311200103338</v>
      </c>
      <c r="J78" s="94">
        <f>+'8'!L78*0.5089</f>
        <v>48.71397752228394</v>
      </c>
      <c r="K78" s="95">
        <f>+'8'!D78*1.51</f>
        <v>15.215088489859191</v>
      </c>
    </row>
    <row r="79" spans="1:11">
      <c r="A79" s="31" t="s">
        <v>554</v>
      </c>
      <c r="B79" s="94">
        <f t="shared" si="14"/>
        <v>320.19015114326322</v>
      </c>
      <c r="C79" s="94"/>
      <c r="D79" s="94">
        <f>+SUM('8'!D79:G79)*0.5071</f>
        <v>43.942989277871085</v>
      </c>
      <c r="E79" s="94">
        <f>+'8'!H79*0.5089</f>
        <v>21.023927141196229</v>
      </c>
      <c r="F79" s="94">
        <f>+'8'!I79*0.4762</f>
        <v>17.753690737630798</v>
      </c>
      <c r="G79" s="94">
        <f>+'8'!J79*0.506</f>
        <v>122.36558584162253</v>
      </c>
      <c r="H79" s="94">
        <f>+'8'!K79*0.1359</f>
        <v>19.581818886448779</v>
      </c>
      <c r="I79" s="94">
        <f>+'8'!K79*0.364</f>
        <v>52.448727554579513</v>
      </c>
      <c r="J79" s="94">
        <f>+'8'!L79*0.5089</f>
        <v>43.073411703914225</v>
      </c>
      <c r="K79" s="95">
        <f>+'8'!D79*1.51</f>
        <v>13.693579640873274</v>
      </c>
    </row>
    <row r="80" spans="1:11">
      <c r="A80" s="31" t="s">
        <v>555</v>
      </c>
      <c r="B80" s="94">
        <f t="shared" si="14"/>
        <v>163.45196744606639</v>
      </c>
      <c r="C80" s="94"/>
      <c r="D80" s="94">
        <f>+SUM('8'!D80:G80)*0.5071</f>
        <v>21.971494638935535</v>
      </c>
      <c r="E80" s="94">
        <f>+'8'!H80*0.5089</f>
        <v>10.255574215217672</v>
      </c>
      <c r="F80" s="94">
        <f>+'8'!I80*0.4762</f>
        <v>8.1571011497222585</v>
      </c>
      <c r="G80" s="94">
        <f>+'8'!J80*0.506</f>
        <v>61.692649528484694</v>
      </c>
      <c r="H80" s="94">
        <f>+'8'!K80*0.1359</f>
        <v>10.133248934246222</v>
      </c>
      <c r="I80" s="94">
        <f>+'8'!K80*0.364</f>
        <v>27.14129957369849</v>
      </c>
      <c r="J80" s="94">
        <f>+'8'!L80*0.5089</f>
        <v>24.100599405761528</v>
      </c>
      <c r="K80" s="95">
        <f>+'8'!D80*1.51</f>
        <v>9.1290530939155143</v>
      </c>
    </row>
    <row r="81" spans="1:11">
      <c r="A81" s="31" t="s">
        <v>556</v>
      </c>
      <c r="B81" s="94">
        <f t="shared" si="14"/>
        <v>134.47719932825217</v>
      </c>
      <c r="C81" s="94"/>
      <c r="D81" s="94">
        <f>+SUM('8'!D81:G81)*0.5071</f>
        <v>19.416669680919778</v>
      </c>
      <c r="E81" s="94">
        <f>+'8'!H81*0.5089</f>
        <v>9.2300167936959046</v>
      </c>
      <c r="F81" s="94">
        <f>+'8'!I81*0.4762</f>
        <v>7.1974421909314046</v>
      </c>
      <c r="G81" s="94">
        <f>+'8'!J81*0.506</f>
        <v>47.926521121302152</v>
      </c>
      <c r="H81" s="94">
        <f>+'8'!K81*0.1359</f>
        <v>8.6269551737501615</v>
      </c>
      <c r="I81" s="94">
        <f>+'8'!K81*0.364</f>
        <v>23.106782069500063</v>
      </c>
      <c r="J81" s="94">
        <f>+'8'!L81*0.5089</f>
        <v>18.972812298152693</v>
      </c>
      <c r="K81" s="95">
        <f>+'8'!D81*1.51</f>
        <v>7.6075442449295956</v>
      </c>
    </row>
    <row r="82" spans="1:11">
      <c r="A82" s="31" t="s">
        <v>557</v>
      </c>
      <c r="B82" s="94">
        <f t="shared" si="14"/>
        <v>822.9407079188735</v>
      </c>
      <c r="C82" s="94"/>
      <c r="D82" s="94">
        <f>+SUM('8'!D82:G82)*0.5071</f>
        <v>108.83554321147139</v>
      </c>
      <c r="E82" s="94">
        <f>+'8'!H82*0.5089</f>
        <v>57.94399431597985</v>
      </c>
      <c r="F82" s="94">
        <f>+'8'!I82*0.4762</f>
        <v>46.543459501356409</v>
      </c>
      <c r="G82" s="94">
        <f>+'8'!J82*0.506</f>
        <v>313.05195711148428</v>
      </c>
      <c r="H82" s="94">
        <f>+'8'!K82*0.1359</f>
        <v>51.487859449683498</v>
      </c>
      <c r="I82" s="94">
        <f>+'8'!K82*0.364</f>
        <v>137.90714377987339</v>
      </c>
      <c r="J82" s="94">
        <f>+'8'!L82*0.5089</f>
        <v>107.17075054902467</v>
      </c>
      <c r="K82" s="95">
        <f>+'8'!D82*1.51</f>
        <v>24.344141583774704</v>
      </c>
    </row>
    <row r="83" spans="1:11">
      <c r="A83" s="31" t="s">
        <v>558</v>
      </c>
      <c r="B83" s="94">
        <f t="shared" si="14"/>
        <v>127.36409507815527</v>
      </c>
      <c r="C83" s="94"/>
      <c r="D83" s="94">
        <f>+SUM('8'!D83:G83)*0.5071</f>
        <v>19.416669680919778</v>
      </c>
      <c r="E83" s="94">
        <f>+'8'!H83*0.5089</f>
        <v>9.2300167936959063</v>
      </c>
      <c r="F83" s="94">
        <f>+'8'!I83*0.4762</f>
        <v>7.1974421909314046</v>
      </c>
      <c r="G83" s="94">
        <f>+'8'!J83*0.506</f>
        <v>44.357524867588168</v>
      </c>
      <c r="H83" s="94">
        <f>+'8'!K83*0.1359</f>
        <v>7.9422761917064966</v>
      </c>
      <c r="I83" s="94">
        <f>+'8'!K83*0.364</f>
        <v>21.272910476682597</v>
      </c>
      <c r="J83" s="94">
        <f>+'8'!L83*0.5089</f>
        <v>17.947254876630925</v>
      </c>
      <c r="K83" s="95">
        <f>+'8'!D83*1.51</f>
        <v>7.6075442449295956</v>
      </c>
    </row>
    <row r="84" spans="1:11">
      <c r="A84" s="31"/>
      <c r="B84" s="94"/>
      <c r="C84" s="94"/>
      <c r="D84" s="646"/>
      <c r="E84" s="646"/>
      <c r="F84" s="646"/>
      <c r="G84" s="646"/>
      <c r="H84" s="646"/>
      <c r="I84" s="646"/>
      <c r="J84" s="646"/>
      <c r="K84" s="95"/>
    </row>
    <row r="85" spans="1:11">
      <c r="A85" s="96" t="s">
        <v>559</v>
      </c>
      <c r="B85" s="94">
        <f t="shared" si="14"/>
        <v>86983.80999898442</v>
      </c>
      <c r="C85" s="97" t="s">
        <v>504</v>
      </c>
      <c r="D85" s="94">
        <f t="shared" ref="D85:K85" si="15">+D73+D67+D61+D56+D43+D37</f>
        <v>10862.122851434877</v>
      </c>
      <c r="E85" s="94">
        <f t="shared" si="15"/>
        <v>5916.8951066768395</v>
      </c>
      <c r="F85" s="94">
        <f t="shared" si="15"/>
        <v>5163.2855949467048</v>
      </c>
      <c r="G85" s="94">
        <f t="shared" si="15"/>
        <v>30720.544060675362</v>
      </c>
      <c r="H85" s="94">
        <f t="shared" si="15"/>
        <v>5529.6308867906791</v>
      </c>
      <c r="I85" s="94">
        <f t="shared" si="15"/>
        <v>15621.727384111728</v>
      </c>
      <c r="J85" s="94">
        <f t="shared" si="15"/>
        <v>13169.604114348236</v>
      </c>
      <c r="K85" s="95">
        <f t="shared" si="15"/>
        <v>3129.8550894448999</v>
      </c>
    </row>
    <row r="86" spans="1:11">
      <c r="A86" s="31"/>
      <c r="B86" s="94"/>
      <c r="C86" s="94"/>
      <c r="D86" s="94"/>
      <c r="E86" s="94"/>
      <c r="F86" s="94"/>
      <c r="G86" s="94"/>
      <c r="H86" s="94"/>
      <c r="I86" s="94"/>
      <c r="J86" s="94"/>
      <c r="K86" s="95"/>
    </row>
    <row r="87" spans="1:11" ht="18.75" customHeight="1">
      <c r="A87" s="101" t="s">
        <v>560</v>
      </c>
      <c r="B87" s="102">
        <f t="shared" si="14"/>
        <v>147831.73340335125</v>
      </c>
      <c r="C87" s="103" t="s">
        <v>504</v>
      </c>
      <c r="D87" s="102">
        <f t="shared" ref="D87:K87" si="16">+D34+D85</f>
        <v>18670.031601176062</v>
      </c>
      <c r="E87" s="111">
        <f t="shared" si="16"/>
        <v>10093.453829392136</v>
      </c>
      <c r="F87" s="111">
        <f t="shared" si="16"/>
        <v>8767.7118039036141</v>
      </c>
      <c r="G87" s="111">
        <f t="shared" si="16"/>
        <v>52169.916494478523</v>
      </c>
      <c r="H87" s="111">
        <f t="shared" si="16"/>
        <v>9690.0764380762557</v>
      </c>
      <c r="I87" s="111">
        <f t="shared" si="16"/>
        <v>26377.908442956272</v>
      </c>
      <c r="J87" s="111">
        <f t="shared" si="16"/>
        <v>22062.634793368401</v>
      </c>
      <c r="K87" s="112">
        <f t="shared" si="16"/>
        <v>5405.8371769348923</v>
      </c>
    </row>
    <row r="88" spans="1:11">
      <c r="A88" t="str">
        <f>+'8'!A88</f>
        <v>Nota: *  Proyección  Censo  2017</v>
      </c>
    </row>
    <row r="89" spans="1:11">
      <c r="B89" s="88"/>
      <c r="D89" s="88"/>
      <c r="E89" s="88"/>
      <c r="F89" s="88"/>
      <c r="G89" s="88"/>
      <c r="H89" s="88"/>
      <c r="I89" s="88"/>
      <c r="J89" s="88"/>
      <c r="K89" s="88"/>
    </row>
    <row r="90" spans="1:11">
      <c r="D90" s="88"/>
      <c r="E90" s="88"/>
      <c r="F90" s="88"/>
      <c r="G90" s="88"/>
      <c r="H90" s="88"/>
      <c r="I90" s="88"/>
      <c r="J90" s="88"/>
      <c r="K90" s="88"/>
    </row>
    <row r="91" spans="1:11">
      <c r="A91" s="88"/>
      <c r="D91" s="88"/>
      <c r="E91" s="88"/>
      <c r="F91" s="88"/>
      <c r="G91" s="88"/>
      <c r="H91" s="88"/>
      <c r="I91" s="88"/>
      <c r="J91" s="88"/>
    </row>
    <row r="92" spans="1:11">
      <c r="B92" s="88"/>
    </row>
  </sheetData>
  <mergeCells count="2">
    <mergeCell ref="A1:K1"/>
    <mergeCell ref="A3:K3"/>
  </mergeCells>
  <phoneticPr fontId="18" type="noConversion"/>
  <pageMargins left="1.5748031496062993" right="0.74" top="0.62" bottom="0.59055118110236227" header="0.51181102362204722" footer="0.51181102362204722"/>
  <pageSetup paperSize="5" scale="75" orientation="portrait" horizontalDpi="300" verticalDpi="300" r:id="rId1"/>
  <headerFooter alignWithMargins="0"/>
  <ignoredErrors>
    <ignoredError sqref="D2 D72:D73 D16:D17 D24:D25 D28:D29 D42:D43 D55:D56 D60:D61 D93:D1048576 D66:D67 D84:D88 D33:D37 D4:D9"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42"/>
  <sheetViews>
    <sheetView topLeftCell="A61" zoomScaleNormal="100" zoomScaleSheetLayoutView="100" workbookViewId="0">
      <selection activeCell="E25" sqref="E25:E28"/>
    </sheetView>
  </sheetViews>
  <sheetFormatPr baseColWidth="10" defaultRowHeight="12.75"/>
  <sheetData>
    <row r="1" spans="1:3" ht="36">
      <c r="A1" s="57" t="s">
        <v>444</v>
      </c>
      <c r="B1" s="1518">
        <v>1990</v>
      </c>
      <c r="C1" s="1518"/>
    </row>
    <row r="2" spans="1:3">
      <c r="A2" s="58" t="s">
        <v>445</v>
      </c>
      <c r="B2" t="s">
        <v>446</v>
      </c>
      <c r="C2" t="s">
        <v>447</v>
      </c>
    </row>
    <row r="3" spans="1:3">
      <c r="A3" s="59" t="s">
        <v>448</v>
      </c>
      <c r="B3">
        <f>SUM(B4:B20)</f>
        <v>-95851</v>
      </c>
      <c r="C3">
        <v>95510</v>
      </c>
    </row>
    <row r="4" spans="1:3">
      <c r="A4" s="60" t="s">
        <v>449</v>
      </c>
      <c r="B4">
        <v>-10691</v>
      </c>
      <c r="C4">
        <v>10398</v>
      </c>
    </row>
    <row r="5" spans="1:3">
      <c r="A5" s="60" t="s">
        <v>450</v>
      </c>
      <c r="B5">
        <v>-9882</v>
      </c>
      <c r="C5">
        <v>9628</v>
      </c>
    </row>
    <row r="6" spans="1:3">
      <c r="A6" s="60" t="s">
        <v>451</v>
      </c>
      <c r="B6">
        <v>-9065</v>
      </c>
      <c r="C6">
        <v>8566</v>
      </c>
    </row>
    <row r="7" spans="1:3">
      <c r="A7" s="60" t="s">
        <v>452</v>
      </c>
      <c r="B7">
        <v>-8589</v>
      </c>
      <c r="C7">
        <v>8468</v>
      </c>
    </row>
    <row r="8" spans="1:3">
      <c r="A8" s="60" t="s">
        <v>453</v>
      </c>
      <c r="B8">
        <v>-8182</v>
      </c>
      <c r="C8">
        <v>8273</v>
      </c>
    </row>
    <row r="9" spans="1:3">
      <c r="A9" s="60" t="s">
        <v>454</v>
      </c>
      <c r="B9">
        <v>-9329</v>
      </c>
      <c r="C9">
        <v>9153</v>
      </c>
    </row>
    <row r="10" spans="1:3">
      <c r="A10" s="60" t="s">
        <v>455</v>
      </c>
      <c r="B10">
        <v>-8085</v>
      </c>
      <c r="C10">
        <v>7794</v>
      </c>
    </row>
    <row r="11" spans="1:3">
      <c r="A11" s="60" t="s">
        <v>456</v>
      </c>
      <c r="B11">
        <v>-6485</v>
      </c>
      <c r="C11">
        <v>6425</v>
      </c>
    </row>
    <row r="12" spans="1:3">
      <c r="A12" s="60" t="s">
        <v>457</v>
      </c>
      <c r="B12">
        <v>-5697</v>
      </c>
      <c r="C12">
        <v>5440</v>
      </c>
    </row>
    <row r="13" spans="1:3">
      <c r="A13" s="60" t="s">
        <v>458</v>
      </c>
      <c r="B13">
        <v>-4926</v>
      </c>
      <c r="C13">
        <v>4615</v>
      </c>
    </row>
    <row r="14" spans="1:3">
      <c r="A14" s="60" t="s">
        <v>459</v>
      </c>
      <c r="B14">
        <v>-3596</v>
      </c>
      <c r="C14">
        <v>3579</v>
      </c>
    </row>
    <row r="15" spans="1:3">
      <c r="A15" s="60" t="s">
        <v>460</v>
      </c>
      <c r="B15">
        <v>-3190</v>
      </c>
      <c r="C15">
        <v>3395</v>
      </c>
    </row>
    <row r="16" spans="1:3">
      <c r="A16" s="60" t="s">
        <v>461</v>
      </c>
      <c r="B16">
        <v>-2747</v>
      </c>
      <c r="C16">
        <v>3067</v>
      </c>
    </row>
    <row r="17" spans="1:5">
      <c r="A17" s="60" t="s">
        <v>462</v>
      </c>
      <c r="B17">
        <v>-1966</v>
      </c>
      <c r="C17">
        <v>2348</v>
      </c>
    </row>
    <row r="18" spans="1:5">
      <c r="A18" s="60" t="s">
        <v>463</v>
      </c>
      <c r="B18">
        <v>-1668</v>
      </c>
      <c r="C18">
        <v>1893</v>
      </c>
    </row>
    <row r="19" spans="1:5">
      <c r="A19" s="60" t="s">
        <v>464</v>
      </c>
      <c r="B19">
        <v>-969</v>
      </c>
      <c r="C19">
        <v>1312</v>
      </c>
    </row>
    <row r="20" spans="1:5">
      <c r="A20" s="61" t="s">
        <v>465</v>
      </c>
      <c r="B20">
        <v>-784</v>
      </c>
      <c r="C20">
        <v>1156</v>
      </c>
    </row>
    <row r="21" spans="1:5">
      <c r="A21" s="60"/>
    </row>
    <row r="22" spans="1:5">
      <c r="A22" s="60"/>
    </row>
    <row r="23" spans="1:5">
      <c r="A23" s="60"/>
    </row>
    <row r="24" spans="1:5">
      <c r="A24" s="60"/>
    </row>
    <row r="25" spans="1:5">
      <c r="A25" s="60" t="s">
        <v>449</v>
      </c>
      <c r="B25">
        <v>-9003</v>
      </c>
      <c r="C25">
        <v>8726</v>
      </c>
      <c r="D25">
        <f>+C25-B25</f>
        <v>17729</v>
      </c>
      <c r="E25" s="1492">
        <f>D25/$D$42</f>
        <v>6.0953094755950399E-2</v>
      </c>
    </row>
    <row r="26" spans="1:5">
      <c r="A26" s="60" t="s">
        <v>450</v>
      </c>
      <c r="B26">
        <v>-9919</v>
      </c>
      <c r="C26">
        <v>9618</v>
      </c>
      <c r="D26">
        <f t="shared" ref="D26:D42" si="0">+C26-B26</f>
        <v>19537</v>
      </c>
      <c r="E26" s="1492">
        <f t="shared" ref="E26:E42" si="1">D26/$D$42</f>
        <v>6.7169079601049286E-2</v>
      </c>
    </row>
    <row r="27" spans="1:5">
      <c r="A27" s="60" t="s">
        <v>451</v>
      </c>
      <c r="B27">
        <v>-10101</v>
      </c>
      <c r="C27">
        <v>10062</v>
      </c>
      <c r="D27">
        <f t="shared" si="0"/>
        <v>20163</v>
      </c>
      <c r="E27" s="1492">
        <f t="shared" si="1"/>
        <v>6.9321295592770477E-2</v>
      </c>
    </row>
    <row r="28" spans="1:5">
      <c r="A28" s="60" t="s">
        <v>452</v>
      </c>
      <c r="B28">
        <v>-8927</v>
      </c>
      <c r="C28">
        <v>8730</v>
      </c>
      <c r="D28">
        <f t="shared" si="0"/>
        <v>17657</v>
      </c>
      <c r="E28" s="1492">
        <f t="shared" si="1"/>
        <v>6.0705555536455305E-2</v>
      </c>
    </row>
    <row r="29" spans="1:5">
      <c r="A29" s="60" t="s">
        <v>453</v>
      </c>
      <c r="B29">
        <v>-8828</v>
      </c>
      <c r="C29">
        <v>8791</v>
      </c>
      <c r="D29">
        <f t="shared" si="0"/>
        <v>17619</v>
      </c>
      <c r="E29" s="1492">
        <f t="shared" si="1"/>
        <v>6.0574909837277341E-2</v>
      </c>
    </row>
    <row r="30" spans="1:5">
      <c r="A30" s="60" t="s">
        <v>454</v>
      </c>
      <c r="B30">
        <v>-10596</v>
      </c>
      <c r="C30">
        <v>10591</v>
      </c>
      <c r="D30">
        <f t="shared" si="0"/>
        <v>21187</v>
      </c>
      <c r="E30" s="1492">
        <f t="shared" si="1"/>
        <v>7.2841853381145072E-2</v>
      </c>
    </row>
    <row r="31" spans="1:5">
      <c r="A31" s="60" t="s">
        <v>455</v>
      </c>
      <c r="B31">
        <v>-11355</v>
      </c>
      <c r="C31">
        <v>11515</v>
      </c>
      <c r="D31">
        <f t="shared" si="0"/>
        <v>22870</v>
      </c>
      <c r="E31" s="1492">
        <f t="shared" si="1"/>
        <v>7.8628082636842775E-2</v>
      </c>
    </row>
    <row r="32" spans="1:5">
      <c r="A32" s="60" t="s">
        <v>456</v>
      </c>
      <c r="B32">
        <v>-10731</v>
      </c>
      <c r="C32">
        <v>10687</v>
      </c>
      <c r="D32">
        <f t="shared" si="0"/>
        <v>21418</v>
      </c>
      <c r="E32" s="1492">
        <f t="shared" si="1"/>
        <v>7.363604171035848E-2</v>
      </c>
    </row>
    <row r="33" spans="1:5">
      <c r="A33" s="60" t="s">
        <v>457</v>
      </c>
      <c r="B33">
        <v>-10152</v>
      </c>
      <c r="C33">
        <v>10311</v>
      </c>
      <c r="D33">
        <f t="shared" si="0"/>
        <v>20463</v>
      </c>
      <c r="E33" s="1492">
        <f t="shared" si="1"/>
        <v>7.0352709007333356E-2</v>
      </c>
    </row>
    <row r="34" spans="1:5">
      <c r="A34" s="60" t="s">
        <v>458</v>
      </c>
      <c r="B34">
        <v>-9277</v>
      </c>
      <c r="C34">
        <v>9753</v>
      </c>
      <c r="D34">
        <f t="shared" si="0"/>
        <v>19030</v>
      </c>
      <c r="E34" s="1492">
        <f t="shared" si="1"/>
        <v>6.5425990930438035E-2</v>
      </c>
    </row>
    <row r="35" spans="1:5">
      <c r="A35" s="60" t="s">
        <v>459</v>
      </c>
      <c r="B35">
        <v>-8642</v>
      </c>
      <c r="C35">
        <v>8981</v>
      </c>
      <c r="D35">
        <f t="shared" si="0"/>
        <v>17623</v>
      </c>
      <c r="E35" s="1492">
        <f t="shared" si="1"/>
        <v>6.0588662016138183E-2</v>
      </c>
    </row>
    <row r="36" spans="1:5">
      <c r="A36" s="60" t="s">
        <v>460</v>
      </c>
      <c r="B36">
        <v>-8474</v>
      </c>
      <c r="C36">
        <v>8909</v>
      </c>
      <c r="D36">
        <f t="shared" si="0"/>
        <v>17383</v>
      </c>
      <c r="E36" s="1492">
        <f t="shared" si="1"/>
        <v>5.9763531284487886E-2</v>
      </c>
    </row>
    <row r="37" spans="1:5">
      <c r="A37" s="60" t="s">
        <v>461</v>
      </c>
      <c r="B37">
        <v>-7822</v>
      </c>
      <c r="C37">
        <v>8422</v>
      </c>
      <c r="D37">
        <f t="shared" si="0"/>
        <v>16244</v>
      </c>
      <c r="E37" s="1492">
        <f t="shared" si="1"/>
        <v>5.5847598353864193E-2</v>
      </c>
    </row>
    <row r="38" spans="1:5">
      <c r="A38" s="60" t="s">
        <v>462</v>
      </c>
      <c r="B38">
        <v>-6832</v>
      </c>
      <c r="C38">
        <v>7123</v>
      </c>
      <c r="D38">
        <f t="shared" si="0"/>
        <v>13955</v>
      </c>
      <c r="E38" s="1492">
        <f t="shared" si="1"/>
        <v>4.7977914000749494E-2</v>
      </c>
    </row>
    <row r="39" spans="1:5">
      <c r="A39" s="60" t="s">
        <v>463</v>
      </c>
      <c r="B39">
        <v>-5105</v>
      </c>
      <c r="C39">
        <v>5544</v>
      </c>
      <c r="D39">
        <f>+C39-B39</f>
        <v>10649</v>
      </c>
      <c r="E39" s="1492">
        <f t="shared" si="1"/>
        <v>3.6611738172266671E-2</v>
      </c>
    </row>
    <row r="40" spans="1:5">
      <c r="A40" s="60" t="s">
        <v>464</v>
      </c>
      <c r="B40">
        <v>-3364</v>
      </c>
      <c r="C40">
        <v>4081</v>
      </c>
      <c r="D40">
        <f t="shared" si="0"/>
        <v>7445</v>
      </c>
      <c r="E40" s="1492">
        <f t="shared" si="1"/>
        <v>2.5596242904735219E-2</v>
      </c>
    </row>
    <row r="41" spans="1:5">
      <c r="A41" s="61" t="s">
        <v>465</v>
      </c>
      <c r="B41">
        <v>-3896</v>
      </c>
      <c r="C41">
        <v>5995</v>
      </c>
      <c r="D41">
        <f t="shared" si="0"/>
        <v>9891</v>
      </c>
      <c r="E41" s="1492">
        <f t="shared" si="1"/>
        <v>3.4005700278137818E-2</v>
      </c>
    </row>
    <row r="42" spans="1:5">
      <c r="A42" s="62"/>
      <c r="B42">
        <f>SUM(B25:B41)</f>
        <v>-143024</v>
      </c>
      <c r="C42">
        <f>SUM(C25:C41)</f>
        <v>147839</v>
      </c>
      <c r="D42">
        <f t="shared" si="0"/>
        <v>290863</v>
      </c>
      <c r="E42" s="1491">
        <f t="shared" si="1"/>
        <v>1</v>
      </c>
    </row>
  </sheetData>
  <mergeCells count="1">
    <mergeCell ref="B1:C1"/>
  </mergeCells>
  <phoneticPr fontId="18" type="noConversion"/>
  <pageMargins left="1.9685039370078741" right="0.78740157480314965" top="1.3779527559055118" bottom="0.98425196850393704" header="0.51181102362204722" footer="0"/>
  <pageSetup paperSize="5"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21"/>
  <sheetViews>
    <sheetView zoomScale="75" zoomScaleNormal="75" workbookViewId="0">
      <selection activeCell="K8" sqref="K8"/>
    </sheetView>
  </sheetViews>
  <sheetFormatPr baseColWidth="10" defaultRowHeight="12.75"/>
  <cols>
    <col min="1" max="1" width="21.28515625" customWidth="1"/>
    <col min="2" max="11" width="7.42578125" customWidth="1"/>
  </cols>
  <sheetData>
    <row r="1" spans="1:11">
      <c r="A1" s="1519" t="s">
        <v>583</v>
      </c>
      <c r="B1" s="1519"/>
      <c r="C1" s="1519"/>
      <c r="D1" s="1519"/>
      <c r="E1" s="1519"/>
      <c r="F1" s="1519"/>
      <c r="G1" s="1519"/>
      <c r="H1" s="1519"/>
      <c r="I1" s="1519"/>
      <c r="J1" s="1519"/>
      <c r="K1" s="1519"/>
    </row>
    <row r="2" spans="1:11">
      <c r="A2" s="138"/>
    </row>
    <row r="3" spans="1:11">
      <c r="A3" s="1519" t="s">
        <v>584</v>
      </c>
      <c r="B3" s="1519"/>
      <c r="C3" s="1519"/>
      <c r="D3" s="1519"/>
      <c r="E3" s="1519"/>
      <c r="F3" s="1519"/>
      <c r="G3" s="1519"/>
      <c r="H3" s="1519"/>
      <c r="I3" s="1519"/>
      <c r="J3" s="1519"/>
      <c r="K3" s="1519"/>
    </row>
    <row r="4" spans="1:11">
      <c r="A4" s="86"/>
    </row>
    <row r="5" spans="1:11">
      <c r="A5" s="86"/>
    </row>
    <row r="7" spans="1:11" s="6" customFormat="1" ht="30" customHeight="1">
      <c r="A7" s="1234" t="s">
        <v>493</v>
      </c>
      <c r="B7" s="1235">
        <v>2014</v>
      </c>
      <c r="C7" s="1235">
        <v>2015</v>
      </c>
      <c r="D7" s="1235">
        <v>2016</v>
      </c>
      <c r="E7" s="1235">
        <v>2017</v>
      </c>
      <c r="F7" s="1235">
        <v>2018</v>
      </c>
      <c r="G7" s="1235">
        <v>2019</v>
      </c>
      <c r="H7" s="1235">
        <v>2020</v>
      </c>
      <c r="I7" s="1235">
        <v>2021</v>
      </c>
      <c r="J7" s="1235">
        <v>2022</v>
      </c>
      <c r="K7" s="1235">
        <v>2023</v>
      </c>
    </row>
    <row r="8" spans="1:11" s="6" customFormat="1" ht="29.25" customHeight="1">
      <c r="A8" s="37" t="s">
        <v>587</v>
      </c>
      <c r="B8" s="166">
        <f>(+'18'!$J11-'26'!$J11)/'7'!$F11*100</f>
        <v>0.94212856924721333</v>
      </c>
      <c r="C8" s="166">
        <f>(+'18'!$J12-'26'!$J12)/'7'!$F12*100</f>
        <v>0.85977730856283507</v>
      </c>
      <c r="D8" s="166">
        <f>(+'18'!$J13-'26'!$J13)/'7'!$F13*100</f>
        <v>0.69528415961305923</v>
      </c>
      <c r="E8" s="166">
        <f>(+'18'!$J14-'26'!$J14)/'7'!$F14*100</f>
        <v>0.39355885357207232</v>
      </c>
      <c r="F8" s="166">
        <f>(+'18'!$J15-'26'!$J15)/'7'!$F15*100</f>
        <v>0.41895901358262139</v>
      </c>
      <c r="G8" s="166">
        <f>(+'18'!$J16-'26'!$J16)/'7'!$F16*100</f>
        <v>0.4527765858277969</v>
      </c>
      <c r="H8" s="166">
        <f>(+'18'!$J17-'26'!$J17)/'7'!$F17*100</f>
        <v>7.1960407090302964E-2</v>
      </c>
      <c r="I8" s="166">
        <f>(+'18'!$J18-'26'!$J18)/'7'!$F18*100</f>
        <v>-5.8478677212321452E-2</v>
      </c>
      <c r="J8" s="166">
        <f>(+'18'!$J19-'26'!$J19)/'7'!$F19*100</f>
        <v>3.0611352438704411E-2</v>
      </c>
      <c r="K8" s="166">
        <f>(+'18'!$J20-'26'!$J20)/'7'!$F20*100</f>
        <v>7.8502064313543063E-2</v>
      </c>
    </row>
    <row r="9" spans="1:11" s="6" customFormat="1" ht="29.25" customHeight="1">
      <c r="A9" s="37" t="s">
        <v>588</v>
      </c>
      <c r="B9" s="166">
        <f>(+'18'!$L11-'26'!$L11)/'7'!$G11*100</f>
        <v>0.78587576703627937</v>
      </c>
      <c r="C9" s="166">
        <f>(+'18'!$L12-'26'!$L12)/'7'!$G12*100</f>
        <v>0.71984332821679986</v>
      </c>
      <c r="D9" s="166">
        <f>(+'18'!$L13-'26'!$L13)/'7'!$G13*100</f>
        <v>0.520751965838671</v>
      </c>
      <c r="E9" s="166">
        <f>(+'18'!$L14-'26'!$L14)/'7'!$G14*100</f>
        <v>0.3735735121027583</v>
      </c>
      <c r="F9" s="166">
        <f>(+'18'!$L15-'26'!$L15)/'7'!$G15*100</f>
        <v>0.38683747802059781</v>
      </c>
      <c r="G9" s="166">
        <f>(+'18'!$L16-'26'!$L16)/'7'!$G16*100</f>
        <v>0.33043992898007496</v>
      </c>
      <c r="H9" s="166">
        <f>(+'18'!$L17-'26'!$L17)/'7'!$G17*100</f>
        <v>0.24221285665843142</v>
      </c>
      <c r="I9" s="166">
        <f>(+'18'!$L18-'26'!$L18)/'7'!$G18*100</f>
        <v>0.22909507445589922</v>
      </c>
      <c r="J9" s="166">
        <f>(+'18'!$L19-'26'!$L19)/'7'!$G19*100</f>
        <v>9.4224064826156605E-3</v>
      </c>
      <c r="K9" s="166">
        <f>(+'18'!$L20-'26'!$L20)/'7'!$G20*100</f>
        <v>5.5832131391615879E-2</v>
      </c>
    </row>
    <row r="10" spans="1:11" s="6" customFormat="1" ht="29.25" customHeight="1">
      <c r="A10" s="37" t="s">
        <v>380</v>
      </c>
      <c r="B10" s="166">
        <f>(+'18'!$N11-'26'!$N11)/'7'!$H11*100</f>
        <v>0.56359588087948786</v>
      </c>
      <c r="C10" s="166">
        <f>(+'18'!$N12-'26'!$N12)/'7'!$H12*100</f>
        <v>1.2115436972502043</v>
      </c>
      <c r="D10" s="166">
        <f>(+'18'!$N13-'26'!$N13)/'7'!$H13*100</f>
        <v>0.87199627238234712</v>
      </c>
      <c r="E10" s="166">
        <f>(+'18'!$N14-'26'!$N14)/'7'!$H14*100</f>
        <v>0.72864485069286322</v>
      </c>
      <c r="F10" s="166">
        <f>(+'18'!$N15-'26'!$N15)/'7'!$H15*100</f>
        <v>0.34298780487804881</v>
      </c>
      <c r="G10" s="166">
        <f>(+'18'!$N16-'26'!$N16)/'7'!$H16*100</f>
        <v>0.57118023219718128</v>
      </c>
      <c r="H10" s="166">
        <f>(+'18'!$N17-'26'!$N17)/'7'!$H17*100</f>
        <v>0.35796626622982647</v>
      </c>
      <c r="I10" s="166">
        <f>(+'18'!$N18-'26'!$N18)/'7'!$H18*100</f>
        <v>0.29159723875267796</v>
      </c>
      <c r="J10" s="166">
        <f>(+'18'!$N19-'26'!$N19)/'7'!$H19*100</f>
        <v>0.2164122360648067</v>
      </c>
      <c r="K10" s="166">
        <f>(+'18'!$N20-'26'!$N20)/'7'!$H20*100</f>
        <v>0.322061191626409</v>
      </c>
    </row>
    <row r="11" spans="1:11" s="6" customFormat="1" ht="29.25" customHeight="1">
      <c r="A11" s="37" t="s">
        <v>387</v>
      </c>
      <c r="B11" s="166">
        <f>(+'18'!$P11-'26'!$P11)/'7'!$I11*100</f>
        <v>0.78331637843336732</v>
      </c>
      <c r="C11" s="166">
        <f>(+'18'!$P12-'26'!$P12)/'7'!$I12*100</f>
        <v>0.97502736046164562</v>
      </c>
      <c r="D11" s="166">
        <f>(+'18'!$P13-'26'!$P13)/'7'!$I13*100</f>
        <v>0.54474708171206221</v>
      </c>
      <c r="E11" s="166">
        <f>(+'18'!$P14-'26'!$P14)/'7'!$I14*100</f>
        <v>0.85608294492533055</v>
      </c>
      <c r="F11" s="166">
        <f>(+'18'!$P15-'26'!$P15)/'7'!$I15*100</f>
        <v>0.78966926793013736</v>
      </c>
      <c r="G11" s="166">
        <f>(+'18'!$P16-'26'!$P16)/'7'!$I16*100</f>
        <v>0.66303360581289739</v>
      </c>
      <c r="H11" s="166">
        <f>(+'18'!$P17-'26'!$P17)/'7'!$I17*100</f>
        <v>0.30187339074846842</v>
      </c>
      <c r="I11" s="166">
        <f>(+'18'!$P18-'26'!$P18)/'7'!$I18*100</f>
        <v>0.23537616598378522</v>
      </c>
      <c r="J11" s="166">
        <f>(+'18'!$P19-'26'!$P19)/'7'!$I19*100</f>
        <v>0.16290834262196691</v>
      </c>
      <c r="K11" s="166">
        <f>(+'18'!$P20-'26'!$P20)/'7'!$I20*100</f>
        <v>2.5322866548493288E-2</v>
      </c>
    </row>
    <row r="12" spans="1:11" s="6" customFormat="1" ht="29.25" customHeight="1">
      <c r="A12" s="37" t="s">
        <v>589</v>
      </c>
      <c r="B12" s="166">
        <f>(+'18'!$H11-'26'!$H11)/'7'!$E11*100</f>
        <v>0.85065114990302026</v>
      </c>
      <c r="C12" s="166">
        <f>(+'18'!$H12-'26'!$H12)/'7'!$E12*100</f>
        <v>0.89341993477486359</v>
      </c>
      <c r="D12" s="166">
        <f>(+'18'!$H13-'26'!$H13)/'7'!$E13*100</f>
        <v>0.67500406628955589</v>
      </c>
      <c r="E12" s="166">
        <f>(+'18'!$H14-'26'!$H14)/'7'!$E14*100</f>
        <v>0.47947712885166566</v>
      </c>
      <c r="F12" s="166">
        <f>(+'18'!$H15-'26'!$H15)/'7'!$E15*100</f>
        <v>0.43794719960523071</v>
      </c>
      <c r="G12" s="166">
        <f>(+'18'!$H16-'26'!$H16)/'7'!$E16*100</f>
        <v>0.46792374060673536</v>
      </c>
      <c r="H12" s="166">
        <f>(+'18'!$H17-'26'!$H17)/'7'!$E17*100</f>
        <v>0.16483374971025319</v>
      </c>
      <c r="I12" s="166">
        <f>(+'18'!$H18-'26'!$H18)/'7'!$E18*100</f>
        <v>7.1411568674125209E-2</v>
      </c>
      <c r="J12" s="166">
        <f>(+'18'!$H19-'26'!$H19)/'7'!$E19*100</f>
        <v>6.6617195669039023E-2</v>
      </c>
      <c r="K12" s="166">
        <f>(+'18'!$H20-'26'!$H20)/'7'!$E20*100</f>
        <v>0.10458850697814517</v>
      </c>
    </row>
    <row r="13" spans="1:11" s="6" customFormat="1" ht="15" customHeight="1">
      <c r="A13" s="37"/>
      <c r="B13" s="31"/>
      <c r="C13" s="31"/>
      <c r="D13" s="31"/>
      <c r="E13" s="31"/>
      <c r="F13" s="31"/>
      <c r="G13" s="31"/>
      <c r="H13" s="31"/>
      <c r="I13" s="31"/>
      <c r="J13" s="31"/>
      <c r="K13" s="31"/>
    </row>
    <row r="14" spans="1:11" s="6" customFormat="1" ht="29.25" customHeight="1">
      <c r="A14" s="37" t="s">
        <v>590</v>
      </c>
      <c r="B14" s="166">
        <f>(+'18'!$T11-'26'!$T11)/'7'!$K11*100</f>
        <v>0.72574781886165352</v>
      </c>
      <c r="C14" s="166">
        <f>(+'18'!$T12-'26'!$T12)/'7'!$K12*100</f>
        <v>0.86439069433400884</v>
      </c>
      <c r="D14" s="166">
        <f>(+'18'!$T13-'26'!$T13)/'7'!$K13*100</f>
        <v>0.70707198702434204</v>
      </c>
      <c r="E14" s="166">
        <f>(+'18'!$T14-'26'!$T14)/'7'!$K14*100</f>
        <v>0.57277922987456387</v>
      </c>
      <c r="F14" s="166">
        <f>(+'18'!$T15-'26'!$T15)/'7'!$K15*100</f>
        <v>0.67430966469428011</v>
      </c>
      <c r="G14" s="166">
        <f>(+'18'!$T16-'26'!$T16)/'7'!$K16*100</f>
        <v>0.6438915346486539</v>
      </c>
      <c r="H14" s="166">
        <f>(+'18'!$T17-'26'!$T17)/'7'!$K17*100</f>
        <v>0.34972572879488345</v>
      </c>
      <c r="I14" s="166">
        <f>(+'18'!$T18-'26'!$T18)/'7'!$K18*100</f>
        <v>0.13499911184794836</v>
      </c>
      <c r="J14" s="166">
        <f>(+'18'!$T19-'26'!$T19)/'7'!$K19*100</f>
        <v>0.16183886478245574</v>
      </c>
      <c r="K14" s="166">
        <f>(+'18'!$T20-'26'!$T20)/'7'!$K20*100</f>
        <v>0.20566568287978432</v>
      </c>
    </row>
    <row r="15" spans="1:11" s="6" customFormat="1" ht="29.25" customHeight="1">
      <c r="A15" s="37" t="s">
        <v>351</v>
      </c>
      <c r="B15" s="166">
        <f>(+'18'!$V11-'26'!$V11)/'7'!$L11*100</f>
        <v>0.43134435657800141</v>
      </c>
      <c r="C15" s="166">
        <f>(+'18'!$V12-'26'!$V12)/'7'!$L12*100</f>
        <v>0.47536989720125972</v>
      </c>
      <c r="D15" s="166">
        <f>(+'18'!$V13-'26'!$V13)/'7'!$L13*100</f>
        <v>0.21812179449389849</v>
      </c>
      <c r="E15" s="166">
        <f>(+'18'!$V14-'26'!$V14)/'7'!$L14*100</f>
        <v>0.22201448936667445</v>
      </c>
      <c r="F15" s="166">
        <f>(+'18'!$V15-'26'!$V15)/'7'!$L15*100</f>
        <v>0.60143418922044878</v>
      </c>
      <c r="G15" s="166">
        <f>(+'18'!$V16-'26'!$V16)/'7'!$L16*100</f>
        <v>0.1373704996851926</v>
      </c>
      <c r="H15" s="166">
        <f>(+'18'!$V17-'26'!$V17)/'7'!$L17*100</f>
        <v>0.18702181921224142</v>
      </c>
      <c r="I15" s="166">
        <f>(+'18'!$V18-'26'!$V18)/'7'!$L18*100</f>
        <v>-9.5677622692480868E-2</v>
      </c>
      <c r="J15" s="166">
        <f>(+'18'!$V19-'26'!$V19)/'7'!$L19*100</f>
        <v>-0.23513604299630503</v>
      </c>
      <c r="K15" s="166">
        <f>(+'18'!$V20-'26'!$V20)/'7'!$L20*100</f>
        <v>-0.12259682362775147</v>
      </c>
    </row>
    <row r="16" spans="1:11" s="6" customFormat="1" ht="29.25" customHeight="1">
      <c r="A16" s="37" t="s">
        <v>591</v>
      </c>
      <c r="B16" s="166">
        <f>(+'18'!$X11-'26'!$X11)/'7'!$M11*100</f>
        <v>0.58629776021080371</v>
      </c>
      <c r="C16" s="166">
        <f>(+'18'!$X12-'26'!$X12)/'7'!$M12*100</f>
        <v>0.90536051586009247</v>
      </c>
      <c r="D16" s="166">
        <f>(+'18'!$X13-'26'!$X13)/'7'!$M13*100</f>
        <v>0.76650563607085354</v>
      </c>
      <c r="E16" s="166">
        <f>(+'18'!$X14-'26'!$X14)/'7'!$M14*100</f>
        <v>0.29905828455077627</v>
      </c>
      <c r="F16" s="166">
        <f>(+'18'!$X15-'26'!$X15)/'7'!$M15*100</f>
        <v>0.53358443188951665</v>
      </c>
      <c r="G16" s="166">
        <f>(+'18'!$X16-'26'!$X16)/'7'!$M16*100</f>
        <v>0.27244582043343651</v>
      </c>
      <c r="H16" s="166">
        <f>(+'18'!$X17-'26'!$X17)/'7'!$M17*100</f>
        <v>0.26272377344656933</v>
      </c>
      <c r="I16" s="166">
        <f>(+'18'!$X18-'26'!$X18)/'7'!$M18*100</f>
        <v>2.4185259084587945E-2</v>
      </c>
      <c r="J16" s="166">
        <f>(+'18'!$X19-'26'!$X19)/'7'!$M19*100</f>
        <v>6.5923528706700235E-2</v>
      </c>
      <c r="K16" s="166">
        <f>(+'18'!$X20-'26'!$X20)/'7'!$M20*100</f>
        <v>0.21988470909847269</v>
      </c>
    </row>
    <row r="17" spans="1:11" s="6" customFormat="1" ht="29.25" customHeight="1">
      <c r="A17" s="37" t="s">
        <v>374</v>
      </c>
      <c r="B17" s="166">
        <f>(+'18'!$Z11-'26'!$Z11)/'7'!$N11*100</f>
        <v>0.88654938357113178</v>
      </c>
      <c r="C17" s="166">
        <f>(+'18'!$Z12-'26'!$Z12)/'7'!$N12*100</f>
        <v>0.89359362111630458</v>
      </c>
      <c r="D17" s="166">
        <f>(+'18'!$Z13-'26'!$Z13)/'7'!$N13*100</f>
        <v>0.69596069868995636</v>
      </c>
      <c r="E17" s="166">
        <f>(+'18'!$Z14-'26'!$Z14)/'7'!$N14*100</f>
        <v>0.29753854476602654</v>
      </c>
      <c r="F17" s="166">
        <f>(+'18'!$Z15-'26'!$Z15)/'7'!$N15*100</f>
        <v>0.61563169164882225</v>
      </c>
      <c r="G17" s="166">
        <f>(+'18'!$Z16-'26'!$Z16)/'7'!$N16*100</f>
        <v>0.46339202965708987</v>
      </c>
      <c r="H17" s="166">
        <f>(+'18'!$Z17-'26'!$Z17)/'7'!$N17*100</f>
        <v>0.15721210533211058</v>
      </c>
      <c r="I17" s="166">
        <f>(+'18'!$Z18-'26'!$Z18)/'7'!$N18*100</f>
        <v>0.20795425006498569</v>
      </c>
      <c r="J17" s="166">
        <f>(+'18'!$Z19-'26'!$Z19)/'7'!$N19*100</f>
        <v>6.4557779212395083E-2</v>
      </c>
      <c r="K17" s="166">
        <f>(+'18'!$Z20-'26'!$Z20)/'7'!$N20*100</f>
        <v>8.9812676417757253E-2</v>
      </c>
    </row>
    <row r="18" spans="1:11" s="6" customFormat="1" ht="29.25" customHeight="1">
      <c r="A18" s="37" t="s">
        <v>592</v>
      </c>
      <c r="B18" s="166">
        <f>(+'18'!$AB11-'26'!$AB11)/'7'!$O11*100</f>
        <v>0.89174533038762804</v>
      </c>
      <c r="C18" s="166">
        <f>(+'18'!$AB12-'26'!$AB12)/'7'!$O12*100</f>
        <v>0.8316752884998011</v>
      </c>
      <c r="D18" s="166">
        <f>(+'18'!$AB13-'26'!$AB13)/'7'!$O13*100</f>
        <v>0.46130189646335212</v>
      </c>
      <c r="E18" s="166">
        <f>(+'18'!$AB14-'26'!$AB14)/'7'!$O14*100</f>
        <v>0.44876297510341062</v>
      </c>
      <c r="F18" s="166">
        <f>(+'18'!$AB15-'26'!$AB15)/'7'!$O15*100</f>
        <v>0.51301832208293152</v>
      </c>
      <c r="G18" s="166">
        <f>(+'18'!$AB16-'26'!$AB16)/'7'!$O16*100</f>
        <v>0.57563281488258611</v>
      </c>
      <c r="H18" s="166">
        <f>(+'18'!$AB17-'26'!$AB17)/'7'!$O17*100</f>
        <v>0.20352014472543623</v>
      </c>
      <c r="I18" s="166">
        <f>(+'18'!$AB18-'26'!$AB18)/'7'!$O18*100</f>
        <v>8.5949177877428992E-2</v>
      </c>
      <c r="J18" s="166">
        <f>(+'18'!$AB19-'26'!$AB19)/'7'!$O19*100</f>
        <v>0.1224671565352928</v>
      </c>
      <c r="K18" s="166">
        <f>(+'18'!$AB20-'26'!$AB20)/'7'!$O20*100</f>
        <v>0.11799845127032707</v>
      </c>
    </row>
    <row r="19" spans="1:11" s="6" customFormat="1" ht="29.25" customHeight="1">
      <c r="A19" s="37" t="s">
        <v>376</v>
      </c>
      <c r="B19" s="166">
        <f>(+'18'!$AD11-'26'!$AD11)/'7'!$P11*100</f>
        <v>0.84632202553071445</v>
      </c>
      <c r="C19" s="166">
        <f>(+'18'!$AD12-'26'!$AD12)/'7'!$P12*100</f>
        <v>0.71184311536045786</v>
      </c>
      <c r="D19" s="166">
        <f>(+'18'!$AD13-'26'!$AD13)/'7'!$P13*100</f>
        <v>0.47661808385715276</v>
      </c>
      <c r="E19" s="166">
        <f>(+'18'!$AD14-'26'!$AD14)/'7'!$P14*100</f>
        <v>0.52584852830704099</v>
      </c>
      <c r="F19" s="166">
        <f>(+'18'!$AD15-'26'!$AD15)/'7'!$P15*100</f>
        <v>0.60683703054413052</v>
      </c>
      <c r="G19" s="166">
        <f>(+'18'!$AD16-'26'!$AD16)/'7'!$P16*100</f>
        <v>0.47926512680556482</v>
      </c>
      <c r="H19" s="166">
        <f>(+'18'!$AD17-'26'!$AD17)/'7'!$P17*100</f>
        <v>0.16433313613356998</v>
      </c>
      <c r="I19" s="166">
        <f>(+'18'!$AD18-'26'!$AD18)/'7'!$P18*100</f>
        <v>0.1171875</v>
      </c>
      <c r="J19" s="166">
        <f>(+'18'!$AD19-'26'!$AD19)/'7'!$P19*100</f>
        <v>-8.3968479524609216E-2</v>
      </c>
      <c r="K19" s="166">
        <f>(+'18'!$AD20-'26'!$AD20)/'7'!$P20*100</f>
        <v>-5.7692307692307696E-2</v>
      </c>
    </row>
    <row r="20" spans="1:11" s="6" customFormat="1" ht="29.25" customHeight="1">
      <c r="A20" s="37" t="s">
        <v>593</v>
      </c>
      <c r="B20" s="166">
        <f>(+'18'!$R11-'26'!$R11)/'7'!$J11*100</f>
        <v>0.72556688940582126</v>
      </c>
      <c r="C20" s="166">
        <f>(+'18'!$R12-'26'!$R12)/'7'!$J12*100</f>
        <v>0.8088521183766868</v>
      </c>
      <c r="D20" s="166">
        <f>(+'18'!$R13-'26'!$R13)/'7'!$J13*100</f>
        <v>0.59972378652103453</v>
      </c>
      <c r="E20" s="166">
        <f>(+'18'!$R14-'26'!$R14)/'7'!$J14*100</f>
        <v>0.47178042578650842</v>
      </c>
      <c r="F20" s="166">
        <f>(+'18'!$R15-'26'!$R15)/'7'!$J15*100</f>
        <v>0.61819523897398043</v>
      </c>
      <c r="G20" s="166">
        <f>(+'18'!$R16-'26'!$R16)/'7'!$J16*100</f>
        <v>0.519603498825429</v>
      </c>
      <c r="H20" s="166">
        <f>(+'18'!$R17-'26'!$R17)/'7'!$J17*100</f>
        <v>0.27503969799562572</v>
      </c>
      <c r="I20" s="166">
        <f>(+'18'!$R18-'26'!$R18)/'7'!$J18*100</f>
        <v>9.373183204204881E-2</v>
      </c>
      <c r="J20" s="166">
        <f>(+'18'!$R19-'26'!$R19)/'7'!$J19*100</f>
        <v>7.7651169767811237E-2</v>
      </c>
      <c r="K20" s="166">
        <f>(+'18'!$R20-'26'!$R20)/'7'!$J20*100</f>
        <v>0.1295616497516735</v>
      </c>
    </row>
    <row r="21" spans="1:11" s="6" customFormat="1" ht="29.25" customHeight="1">
      <c r="A21" s="167" t="s">
        <v>594</v>
      </c>
      <c r="B21" s="168">
        <f>(+'18'!$F11-'26'!$F11)/'7'!$D11*100</f>
        <v>0.77697098979347823</v>
      </c>
      <c r="C21" s="168">
        <f>(+'18'!$F12-'26'!$F12)/'7'!$D12*100</f>
        <v>0.84360780309060046</v>
      </c>
      <c r="D21" s="168">
        <f>(+'18'!$F13-'26'!$F13)/'7'!$D13*100</f>
        <v>0.6306664339118776</v>
      </c>
      <c r="E21" s="168">
        <f>(+'18'!$F14-'26'!$F14)/'7'!$D14*100</f>
        <v>0.47494430232003321</v>
      </c>
      <c r="F21" s="168">
        <f>(+'18'!$F15-'26'!$F15)/'7'!$D15*100</f>
        <v>0.54409644489846187</v>
      </c>
      <c r="G21" s="168">
        <f>(+'18'!$F16-'26'!$F16)/'7'!$D16*100</f>
        <v>0.49836084328088742</v>
      </c>
      <c r="H21" s="168">
        <f>(+'18'!$F17-'26'!$F17)/'7'!$D17*100</f>
        <v>0.22973821841717071</v>
      </c>
      <c r="I21" s="168">
        <f>(+'18'!$F18-'26'!$F18)/'7'!$D18*100</f>
        <v>8.45580270725452E-2</v>
      </c>
      <c r="J21" s="168">
        <f>(+'18'!$F19-'26'!$F19)/'7'!$D19*100</f>
        <v>7.3116893467646646E-2</v>
      </c>
      <c r="K21" s="168">
        <f>(+'18'!$F20-'26'!$F20)/'7'!$D20*100</f>
        <v>0.11930015161777194</v>
      </c>
    </row>
  </sheetData>
  <mergeCells count="2">
    <mergeCell ref="A1:K1"/>
    <mergeCell ref="A3:K3"/>
  </mergeCells>
  <phoneticPr fontId="18" type="noConversion"/>
  <pageMargins left="0.78740157480314965" right="0.78740157480314965" top="1.1811023622047245" bottom="0.78740157480314965" header="0.51181102362204722" footer="0.51181102362204722"/>
  <pageSetup paperSize="14" scale="90"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53"/>
  <sheetViews>
    <sheetView zoomScaleNormal="100" workbookViewId="0">
      <selection activeCell="I21" sqref="I21"/>
    </sheetView>
  </sheetViews>
  <sheetFormatPr baseColWidth="10" defaultRowHeight="12.75"/>
  <cols>
    <col min="1" max="1" width="22" bestFit="1" customWidth="1"/>
    <col min="2" max="9" width="7.85546875" customWidth="1"/>
    <col min="10" max="10" width="7.28515625" customWidth="1"/>
    <col min="11" max="11" width="6" customWidth="1"/>
    <col min="12" max="16" width="0" hidden="1" customWidth="1"/>
  </cols>
  <sheetData>
    <row r="1" spans="1:16">
      <c r="A1" s="113" t="s">
        <v>566</v>
      </c>
      <c r="B1" s="114"/>
      <c r="C1" s="114"/>
      <c r="D1" s="114"/>
      <c r="E1" s="114"/>
      <c r="F1" s="114"/>
      <c r="G1" s="114"/>
      <c r="H1" s="114"/>
      <c r="I1" s="114"/>
    </row>
    <row r="2" spans="1:16">
      <c r="A2" s="115" t="s">
        <v>567</v>
      </c>
      <c r="B2" s="86"/>
      <c r="C2" s="86"/>
      <c r="D2" s="86"/>
      <c r="E2" s="86"/>
      <c r="F2" s="86"/>
      <c r="G2" s="86"/>
      <c r="H2" s="86"/>
      <c r="I2" s="86"/>
    </row>
    <row r="3" spans="1:16">
      <c r="A3" s="115"/>
      <c r="B3" s="86"/>
      <c r="C3" s="86"/>
      <c r="D3" s="86"/>
      <c r="E3" s="86"/>
      <c r="F3" s="86"/>
      <c r="G3" s="86"/>
      <c r="H3" s="86"/>
      <c r="I3" s="86"/>
    </row>
    <row r="4" spans="1:16">
      <c r="A4" s="115" t="s">
        <v>1496</v>
      </c>
      <c r="B4" s="12"/>
      <c r="C4" s="12"/>
      <c r="D4" s="12"/>
      <c r="E4" s="12"/>
      <c r="F4" s="12"/>
      <c r="G4" s="12"/>
      <c r="H4" s="12"/>
      <c r="I4" s="12"/>
    </row>
    <row r="6" spans="1:16" ht="24" customHeight="1">
      <c r="A6" s="962" t="s">
        <v>471</v>
      </c>
      <c r="B6" s="1093">
        <v>2016</v>
      </c>
      <c r="C6" s="1093">
        <v>2017</v>
      </c>
      <c r="D6" s="1093">
        <v>2018</v>
      </c>
      <c r="E6" s="1093">
        <v>2019</v>
      </c>
      <c r="F6" s="1093">
        <v>2020</v>
      </c>
      <c r="G6" s="1093">
        <v>2021</v>
      </c>
      <c r="H6" s="1093">
        <v>2022</v>
      </c>
      <c r="I6" s="1093">
        <v>2023</v>
      </c>
    </row>
    <row r="7" spans="1:16" ht="23.25" customHeight="1">
      <c r="A7" s="67" t="s">
        <v>478</v>
      </c>
      <c r="B7" s="116">
        <v>56.0782621205582</v>
      </c>
      <c r="C7" s="116">
        <v>58.935444049088673</v>
      </c>
      <c r="D7" s="116">
        <v>61.685935899312163</v>
      </c>
      <c r="E7" s="116">
        <v>64.39717356101869</v>
      </c>
      <c r="F7" s="116">
        <v>67.10273466371028</v>
      </c>
      <c r="G7" s="116">
        <v>69.997769350881114</v>
      </c>
      <c r="H7" s="116">
        <f>SUM([2]edad_grupal!$BA$608:$BD$608)/SUM([2]edad_grupal!$AN$608:$AP$608)*100</f>
        <v>73.091045335331586</v>
      </c>
      <c r="I7" s="116">
        <f>SUM([2]edad_grupal!$BA$619:$BD$619)/SUM([2]edad_grupal!$AN$619:$AP$619)*100</f>
        <v>76.525359576078728</v>
      </c>
      <c r="L7" t="s">
        <v>1255</v>
      </c>
      <c r="M7" s="98">
        <f>+H7</f>
        <v>73.091045335331586</v>
      </c>
      <c r="O7">
        <v>2016</v>
      </c>
      <c r="P7" s="98">
        <f>+B19</f>
        <v>54.048548047374055</v>
      </c>
    </row>
    <row r="8" spans="1:16" ht="23.25" customHeight="1">
      <c r="A8" s="67" t="s">
        <v>479</v>
      </c>
      <c r="B8" s="116">
        <v>51.357733175915001</v>
      </c>
      <c r="C8" s="116">
        <v>53.275620028076744</v>
      </c>
      <c r="D8" s="116">
        <v>55.809612692487164</v>
      </c>
      <c r="E8" s="116">
        <v>58.202038924930491</v>
      </c>
      <c r="F8" s="116">
        <v>60.654227136604469</v>
      </c>
      <c r="G8" s="116">
        <v>63.386097728836887</v>
      </c>
      <c r="H8" s="116">
        <f>SUM([2]edad_grupal!$BA$612:$BD$612)/SUM([2]edad_grupal!$AN$612:$AP$612)*100</f>
        <v>66.155606407322651</v>
      </c>
      <c r="I8" s="116">
        <f>SUM([2]edad_grupal!$BA$623:$BD$623)/SUM([2]edad_grupal!$AN$623:$AP$623)*100</f>
        <v>69.472477064220186</v>
      </c>
      <c r="L8" t="s">
        <v>1256</v>
      </c>
      <c r="M8" s="98">
        <f>+H8</f>
        <v>66.155606407322651</v>
      </c>
      <c r="O8">
        <v>2017</v>
      </c>
      <c r="P8" s="98">
        <f>+C19</f>
        <v>56.299586883999098</v>
      </c>
    </row>
    <row r="9" spans="1:16" ht="23.25" customHeight="1">
      <c r="A9" s="67" t="s">
        <v>480</v>
      </c>
      <c r="B9" s="116">
        <v>47.161572052401745</v>
      </c>
      <c r="C9" s="116">
        <v>48.665710186513628</v>
      </c>
      <c r="D9" s="116">
        <v>50.965909090909086</v>
      </c>
      <c r="E9" s="116">
        <v>53.136427566807306</v>
      </c>
      <c r="F9" s="116">
        <v>55.336297943301837</v>
      </c>
      <c r="G9" s="116">
        <v>57.756957839625244</v>
      </c>
      <c r="H9" s="116">
        <f>SUM([2]edad_grupal!$BA$605:$BD$605)/SUM([2]edad_grupal!$AN$605:$AP$605)*100</f>
        <v>60.399562123700058</v>
      </c>
      <c r="I9" s="116">
        <f>SUM([2]edad_grupal!$BA$616:$BD$616)/SUM([2]edad_grupal!$AN$616:$AP$616)*100</f>
        <v>63.341509948214771</v>
      </c>
      <c r="L9" t="s">
        <v>1257</v>
      </c>
      <c r="M9" s="98">
        <f>+H9</f>
        <v>60.399562123700058</v>
      </c>
      <c r="O9">
        <v>2018</v>
      </c>
      <c r="P9" s="98">
        <f>+D19</f>
        <v>58.908568361640611</v>
      </c>
    </row>
    <row r="10" spans="1:16" ht="23.25" customHeight="1">
      <c r="A10" s="67" t="s">
        <v>481</v>
      </c>
      <c r="B10" s="116">
        <v>44.736842105263158</v>
      </c>
      <c r="C10" s="116">
        <v>45.869297163995064</v>
      </c>
      <c r="D10" s="116">
        <v>47.967479674796749</v>
      </c>
      <c r="E10" s="116">
        <v>49.979895456373143</v>
      </c>
      <c r="F10" s="116">
        <v>52.26910828025477</v>
      </c>
      <c r="G10" s="116">
        <v>54.520331622581921</v>
      </c>
      <c r="H10" s="116">
        <f>SUM([2]edad_grupal!$BA$611:$BD$611)/SUM([2]edad_grupal!$AN$611:$AP$611)*100</f>
        <v>56.812842599843385</v>
      </c>
      <c r="I10" s="116">
        <f>SUM([2]edad_grupal!$BA$622:$BD$622)/SUM([2]edad_grupal!$AN$622:$AP$622)*100</f>
        <v>59.655981235340107</v>
      </c>
      <c r="L10" t="s">
        <v>1258</v>
      </c>
      <c r="M10" s="98">
        <f>+H10</f>
        <v>56.812842599843385</v>
      </c>
      <c r="O10">
        <v>2019</v>
      </c>
      <c r="P10" s="98">
        <f>+E19</f>
        <v>61.427310640801572</v>
      </c>
    </row>
    <row r="11" spans="1:16" ht="23.25" customHeight="1">
      <c r="A11" s="73" t="s">
        <v>482</v>
      </c>
      <c r="B11" s="880">
        <v>52.83</v>
      </c>
      <c r="C11" s="880">
        <v>55.11</v>
      </c>
      <c r="D11" s="880">
        <v>57.65</v>
      </c>
      <c r="E11" s="880">
        <v>60.11</v>
      </c>
      <c r="F11" s="880">
        <v>62.62</v>
      </c>
      <c r="G11" s="880">
        <v>65.31</v>
      </c>
      <c r="H11" s="880">
        <v>68.14</v>
      </c>
      <c r="I11" s="880">
        <v>71.38</v>
      </c>
      <c r="L11" t="s">
        <v>1259</v>
      </c>
      <c r="M11" s="98">
        <f t="shared" ref="M11:M16" si="0">+H12</f>
        <v>66.064163663838187</v>
      </c>
      <c r="O11">
        <v>2020</v>
      </c>
      <c r="P11" s="98">
        <f>+F19</f>
        <v>64.031101511879058</v>
      </c>
    </row>
    <row r="12" spans="1:16" ht="23.25" customHeight="1">
      <c r="A12" s="67" t="s">
        <v>483</v>
      </c>
      <c r="B12" s="116">
        <v>51.31563559817566</v>
      </c>
      <c r="C12" s="116">
        <v>53.275670621237801</v>
      </c>
      <c r="D12" s="116">
        <v>55.760799672648616</v>
      </c>
      <c r="E12" s="116">
        <v>58.139399241761446</v>
      </c>
      <c r="F12" s="116">
        <v>60.572059763967211</v>
      </c>
      <c r="G12" s="116">
        <v>63.182953027927766</v>
      </c>
      <c r="H12" s="116">
        <f>SUM([2]edad_grupal!$BA$613:$BD$613)/SUM([2]edad_grupal!$AN$613:$AP$613)*100</f>
        <v>66.064163663838187</v>
      </c>
      <c r="I12" s="116">
        <f>SUM([2]edad_grupal!$BA$624:$BD$624)/SUM([2]edad_grupal!$AN$624:$AP$624)*100</f>
        <v>69.081055882524339</v>
      </c>
      <c r="L12" t="s">
        <v>1260</v>
      </c>
      <c r="M12" s="98">
        <f t="shared" si="0"/>
        <v>91.00955794504182</v>
      </c>
      <c r="O12">
        <v>2021</v>
      </c>
      <c r="P12" s="98">
        <f>+G19</f>
        <v>66.784800497890885</v>
      </c>
    </row>
    <row r="13" spans="1:16" ht="23.25" customHeight="1">
      <c r="A13" s="67" t="s">
        <v>484</v>
      </c>
      <c r="B13" s="116">
        <v>70.269487105186897</v>
      </c>
      <c r="C13" s="116">
        <v>73.348918760958497</v>
      </c>
      <c r="D13" s="116">
        <v>76.674500587544074</v>
      </c>
      <c r="E13" s="116">
        <v>79.876252209781967</v>
      </c>
      <c r="F13" s="116">
        <v>83.485967503692763</v>
      </c>
      <c r="G13" s="116">
        <v>87.173396674584325</v>
      </c>
      <c r="H13" s="116">
        <f>SUM([2]edad_grupal!$BA$610:$BD$610)/SUM([2]edad_grupal!$AN$610:$AP$610)*100</f>
        <v>91.00955794504182</v>
      </c>
      <c r="I13" s="116">
        <f>SUM([2]edad_grupal!$BA$621:$BD$621)/SUM([2]edad_grupal!$AN$621:$AP$621)*100</f>
        <v>95.413397706698859</v>
      </c>
      <c r="L13" t="s">
        <v>1261</v>
      </c>
      <c r="M13" s="98">
        <f t="shared" si="0"/>
        <v>72.880835380835379</v>
      </c>
      <c r="O13">
        <v>2022</v>
      </c>
      <c r="P13" s="98">
        <f>+H19</f>
        <v>69.758295070605556</v>
      </c>
    </row>
    <row r="14" spans="1:16" ht="23.25" customHeight="1">
      <c r="A14" s="67" t="s">
        <v>485</v>
      </c>
      <c r="B14" s="116">
        <v>56.286326093606611</v>
      </c>
      <c r="C14" s="116">
        <v>58.553034947884733</v>
      </c>
      <c r="D14" s="116">
        <v>61.252686521338653</v>
      </c>
      <c r="E14" s="116">
        <v>63.784115302054587</v>
      </c>
      <c r="F14" s="116">
        <v>66.758494031221304</v>
      </c>
      <c r="G14" s="116">
        <v>69.687691365584811</v>
      </c>
      <c r="H14" s="116">
        <f>SUM([2]edad_grupal!$BA$614:$BD$614)/SUM([2]edad_grupal!$AN$614:$AP$614)*100</f>
        <v>72.880835380835379</v>
      </c>
      <c r="I14" s="116">
        <f>SUM([2]edad_grupal!$BA$625:$BD$625)/SUM([2]edad_grupal!$AN$625:$AP$625)*100</f>
        <v>76.388888888888886</v>
      </c>
      <c r="L14" t="s">
        <v>1262</v>
      </c>
      <c r="M14" s="98">
        <f t="shared" si="0"/>
        <v>68.238375900458408</v>
      </c>
      <c r="O14">
        <v>2023</v>
      </c>
      <c r="P14" s="98">
        <f>+I19</f>
        <v>73.029305751449613</v>
      </c>
    </row>
    <row r="15" spans="1:16" ht="23.25" customHeight="1">
      <c r="A15" s="67" t="s">
        <v>486</v>
      </c>
      <c r="B15" s="116">
        <v>52.429667519181592</v>
      </c>
      <c r="C15" s="116">
        <v>55.30401034928849</v>
      </c>
      <c r="D15" s="116">
        <v>57.839947950553025</v>
      </c>
      <c r="E15" s="116">
        <v>60.3515625</v>
      </c>
      <c r="F15" s="116">
        <v>62.842242503259449</v>
      </c>
      <c r="G15" s="116">
        <v>65.794637017658602</v>
      </c>
      <c r="H15" s="116">
        <f>SUM([2]edad_grupal!$BA$609:$BD$609)/SUM([2]edad_grupal!$AN$609:$AP$609)*100</f>
        <v>68.238375900458408</v>
      </c>
      <c r="I15" s="116">
        <f>SUM([2]edad_grupal!$BA$620:$BD$620)/SUM([2]edad_grupal!$AN$620:$AP$620)*100</f>
        <v>71.437994722955139</v>
      </c>
      <c r="L15" t="s">
        <v>1263</v>
      </c>
      <c r="M15" s="98">
        <f t="shared" si="0"/>
        <v>70.618651892890114</v>
      </c>
      <c r="P15" s="98"/>
    </row>
    <row r="16" spans="1:16" ht="23.25" customHeight="1">
      <c r="A16" s="67" t="s">
        <v>487</v>
      </c>
      <c r="B16" s="116">
        <v>54.305959302325576</v>
      </c>
      <c r="C16" s="116">
        <v>56.60411732556021</v>
      </c>
      <c r="D16" s="116">
        <v>59.35271530444323</v>
      </c>
      <c r="E16" s="116">
        <v>61.954528786211959</v>
      </c>
      <c r="F16" s="116">
        <v>64.691856199559794</v>
      </c>
      <c r="G16" s="116">
        <v>67.346938775510196</v>
      </c>
      <c r="H16" s="116">
        <f>SUM([2]edad_grupal!$BA$607:$BD$607)/SUM([2]edad_grupal!$AN$607:$AP$607)*100</f>
        <v>70.618651892890114</v>
      </c>
      <c r="I16" s="116">
        <f>SUM([2]edad_grupal!$BA$618:$BD$618)/SUM([2]edad_grupal!$AN$618:$AP$618)*100</f>
        <v>73.889611596357554</v>
      </c>
      <c r="L16" t="s">
        <v>1264</v>
      </c>
      <c r="M16" s="98">
        <f t="shared" si="0"/>
        <v>75.82236842105263</v>
      </c>
    </row>
    <row r="17" spans="1:11" ht="23.25" customHeight="1">
      <c r="A17" s="67" t="s">
        <v>488</v>
      </c>
      <c r="B17" s="116">
        <v>58.512720156555773</v>
      </c>
      <c r="C17" s="116">
        <v>61.045751633986931</v>
      </c>
      <c r="D17" s="116">
        <v>63.87160170324271</v>
      </c>
      <c r="E17" s="116">
        <v>66.78676711431379</v>
      </c>
      <c r="F17" s="116">
        <v>69.558101472995091</v>
      </c>
      <c r="G17" s="116">
        <v>72.613971794030832</v>
      </c>
      <c r="H17" s="116">
        <f>SUM([2]edad_grupal!$BA$606:$BD$606)/SUM([2]edad_grupal!$AN$606:$AP$606)*100</f>
        <v>75.82236842105263</v>
      </c>
      <c r="I17" s="116">
        <f>SUM([2]edad_grupal!$BA$617:$BD$617)/SUM([2]edad_grupal!$AN$617:$AP$617)*100</f>
        <v>79.503311258278146</v>
      </c>
    </row>
    <row r="18" spans="1:11" ht="23.25" customHeight="1">
      <c r="A18" s="73" t="s">
        <v>490</v>
      </c>
      <c r="B18" s="880">
        <v>54.91</v>
      </c>
      <c r="C18" s="880">
        <v>57.14</v>
      </c>
      <c r="D18" s="880">
        <v>59.8</v>
      </c>
      <c r="E18" s="880">
        <v>62.36</v>
      </c>
      <c r="F18" s="880">
        <v>65.03</v>
      </c>
      <c r="G18" s="880">
        <v>67.83</v>
      </c>
      <c r="H18" s="880">
        <v>70.900000000000006</v>
      </c>
      <c r="I18" s="880">
        <v>74.19</v>
      </c>
      <c r="K18" s="98"/>
    </row>
    <row r="19" spans="1:11">
      <c r="A19" s="73" t="s">
        <v>491</v>
      </c>
      <c r="B19" s="116">
        <v>54.048548047374055</v>
      </c>
      <c r="C19" s="116">
        <v>56.299586883999098</v>
      </c>
      <c r="D19" s="116">
        <v>58.908568361640611</v>
      </c>
      <c r="E19" s="116">
        <v>61.427310640801572</v>
      </c>
      <c r="F19" s="116">
        <v>64.031101511879058</v>
      </c>
      <c r="G19" s="116">
        <v>66.784800497890885</v>
      </c>
      <c r="H19" s="116">
        <f>SUM([2]edad_grupal!$BA$615:$BD$615)/SUM([2]edad_grupal!$AN$615:$AP$615)*100</f>
        <v>69.758295070605556</v>
      </c>
      <c r="I19" s="116">
        <f>SUM([2]edad_grupal!$BA$626:$BD$626)/SUM([2]edad_grupal!$AN$626:$AP$626)*100</f>
        <v>73.029305751449613</v>
      </c>
      <c r="K19" s="98"/>
    </row>
    <row r="20" spans="1:11">
      <c r="A20" s="117"/>
      <c r="B20" s="118"/>
      <c r="C20" s="118"/>
      <c r="D20" s="118"/>
      <c r="E20" s="118"/>
      <c r="F20" s="118"/>
      <c r="G20" s="118"/>
      <c r="H20" s="118"/>
      <c r="I20" s="118"/>
      <c r="K20" s="98"/>
    </row>
    <row r="21" spans="1:11">
      <c r="K21" s="98"/>
    </row>
    <row r="22" spans="1:11">
      <c r="K22" s="98"/>
    </row>
    <row r="23" spans="1:11">
      <c r="K23" s="98"/>
    </row>
    <row r="24" spans="1:11">
      <c r="K24" s="98"/>
    </row>
    <row r="25" spans="1:11">
      <c r="K25" s="98"/>
    </row>
    <row r="26" spans="1:11">
      <c r="K26" s="98"/>
    </row>
    <row r="27" spans="1:11">
      <c r="K27" s="98"/>
    </row>
    <row r="28" spans="1:11">
      <c r="K28" s="98"/>
    </row>
    <row r="29" spans="1:11">
      <c r="K29" s="98"/>
    </row>
    <row r="30" spans="1:11">
      <c r="K30" s="98"/>
    </row>
    <row r="31" spans="1:11">
      <c r="K31" s="98"/>
    </row>
    <row r="32" spans="1:11">
      <c r="K32" s="98"/>
    </row>
    <row r="33" spans="11:11">
      <c r="K33" s="98"/>
    </row>
    <row r="34" spans="11:11">
      <c r="K34" s="98"/>
    </row>
    <row r="35" spans="11:11">
      <c r="K35" s="98"/>
    </row>
    <row r="53" spans="6:9" ht="15.75" customHeight="1">
      <c r="F53" s="119"/>
      <c r="G53" s="119"/>
      <c r="H53" s="119"/>
      <c r="I53" s="119"/>
    </row>
  </sheetData>
  <phoneticPr fontId="18" type="noConversion"/>
  <pageMargins left="1.1811023622047245" right="0.78740157480314965" top="0.78740157480314965" bottom="0.98425196850393704" header="0.51181102362204722" footer="0.51181102362204722"/>
  <pageSetup paperSize="14"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34"/>
  <sheetViews>
    <sheetView workbookViewId="0">
      <selection activeCell="I16" sqref="I16"/>
    </sheetView>
  </sheetViews>
  <sheetFormatPr baseColWidth="10" defaultRowHeight="12.75"/>
  <cols>
    <col min="1" max="1" width="18.7109375" customWidth="1"/>
    <col min="4" max="4" width="13.42578125" customWidth="1"/>
    <col min="6" max="7" width="12.5703125" customWidth="1"/>
    <col min="8" max="8" width="9.5703125" style="1511" customWidth="1"/>
    <col min="9" max="9" width="6.7109375" style="1511" customWidth="1"/>
  </cols>
  <sheetData>
    <row r="1" spans="1:9">
      <c r="A1" s="63" t="s">
        <v>568</v>
      </c>
      <c r="B1" s="63"/>
      <c r="C1" s="64"/>
      <c r="D1" s="1"/>
      <c r="E1" s="1"/>
      <c r="F1" s="1"/>
      <c r="G1" s="1"/>
    </row>
    <row r="2" spans="1:9">
      <c r="A2" s="63"/>
      <c r="B2" s="63"/>
      <c r="C2" s="64"/>
      <c r="D2" s="1"/>
      <c r="E2" s="1"/>
      <c r="F2" s="1"/>
      <c r="G2" s="1"/>
    </row>
    <row r="3" spans="1:9">
      <c r="A3" s="63" t="str">
        <f>+'6'!A3</f>
        <v>SERVICIO DE SALUD   ACONCAGUA  2023</v>
      </c>
      <c r="B3" s="63"/>
      <c r="C3" s="64"/>
      <c r="D3" s="1"/>
      <c r="E3" s="1"/>
      <c r="F3" s="1"/>
      <c r="G3" s="1"/>
    </row>
    <row r="4" spans="1:9">
      <c r="A4" s="1"/>
      <c r="B4" s="1"/>
      <c r="C4" s="1"/>
      <c r="D4" s="1"/>
      <c r="E4" s="1"/>
      <c r="F4" s="1"/>
      <c r="G4" s="1"/>
    </row>
    <row r="5" spans="1:9">
      <c r="A5" s="1"/>
      <c r="B5" s="1"/>
      <c r="C5" s="1"/>
      <c r="D5" s="1"/>
      <c r="E5" s="1"/>
      <c r="F5" s="1"/>
      <c r="G5" s="1"/>
    </row>
    <row r="6" spans="1:9">
      <c r="A6" s="1"/>
      <c r="B6" s="603"/>
      <c r="C6" s="1"/>
      <c r="D6" s="1"/>
      <c r="E6" s="1"/>
      <c r="F6" s="1"/>
      <c r="G6" s="1"/>
    </row>
    <row r="8" spans="1:9" ht="42" customHeight="1">
      <c r="A8" s="962" t="s">
        <v>471</v>
      </c>
      <c r="B8" s="1236" t="s">
        <v>618</v>
      </c>
      <c r="C8" s="1237" t="s">
        <v>569</v>
      </c>
      <c r="D8" s="1236" t="s">
        <v>570</v>
      </c>
      <c r="E8" s="1237" t="s">
        <v>571</v>
      </c>
      <c r="F8" s="1238" t="s">
        <v>572</v>
      </c>
      <c r="G8" s="390"/>
    </row>
    <row r="9" spans="1:9" ht="17.25" customHeight="1">
      <c r="A9" s="67" t="s">
        <v>478</v>
      </c>
      <c r="B9" s="68">
        <f>+'39'!B20</f>
        <v>520</v>
      </c>
      <c r="C9" s="69">
        <f>+'9'!B9</f>
        <v>35149.700884959624</v>
      </c>
      <c r="D9" s="80">
        <f t="shared" ref="D9:D21" si="0">+E9/C9*100</f>
        <v>47.321904942303306</v>
      </c>
      <c r="E9" s="69">
        <f>+SUM('9'!F9:H9)</f>
        <v>16633.508040284538</v>
      </c>
      <c r="F9" s="171">
        <f t="shared" ref="F9:F21" si="1">+B9/E9*1000</f>
        <v>31.26219668999569</v>
      </c>
      <c r="G9" s="639"/>
      <c r="H9" s="1511">
        <v>2014</v>
      </c>
      <c r="I9" s="1512">
        <v>51.7</v>
      </c>
    </row>
    <row r="10" spans="1:9" ht="17.25" customHeight="1">
      <c r="A10" s="67" t="s">
        <v>479</v>
      </c>
      <c r="B10" s="68">
        <f>+'39'!D20</f>
        <v>144</v>
      </c>
      <c r="C10" s="69">
        <f>+'9'!B17</f>
        <v>10903.95267940733</v>
      </c>
      <c r="D10" s="80">
        <f t="shared" si="0"/>
        <v>48.367858068805461</v>
      </c>
      <c r="E10" s="69">
        <f>+SUM('9'!F17:H17)</f>
        <v>5274.0083558654478</v>
      </c>
      <c r="F10" s="171">
        <f t="shared" si="1"/>
        <v>27.3037110075587</v>
      </c>
      <c r="G10" s="639"/>
      <c r="H10" s="1511">
        <v>2015</v>
      </c>
      <c r="I10" s="1512">
        <v>54.8</v>
      </c>
    </row>
    <row r="11" spans="1:9" ht="17.25" customHeight="1">
      <c r="A11" s="67" t="s">
        <v>480</v>
      </c>
      <c r="B11" s="68">
        <f>+'39'!F20</f>
        <v>131</v>
      </c>
      <c r="C11" s="69">
        <f>+'9'!B25</f>
        <v>8829.399299315668</v>
      </c>
      <c r="D11" s="80">
        <f t="shared" si="0"/>
        <v>49.002893268942849</v>
      </c>
      <c r="E11" s="69">
        <f>+SUM('9'!F25:H25)</f>
        <v>4326.6611149324444</v>
      </c>
      <c r="F11" s="171">
        <f t="shared" si="1"/>
        <v>30.277388619109683</v>
      </c>
      <c r="G11" s="639"/>
      <c r="H11" s="1511">
        <v>2016</v>
      </c>
      <c r="I11" s="1512">
        <v>52.7</v>
      </c>
    </row>
    <row r="12" spans="1:9" ht="17.25" customHeight="1">
      <c r="A12" s="67" t="s">
        <v>481</v>
      </c>
      <c r="B12" s="68">
        <f>+'39'!H20</f>
        <v>59</v>
      </c>
      <c r="C12" s="69">
        <f>+'9'!B29</f>
        <v>5964.8705406842146</v>
      </c>
      <c r="D12" s="80">
        <f t="shared" si="0"/>
        <v>49.960291051369261</v>
      </c>
      <c r="E12" s="69">
        <f>+SUM('9'!F29:H29)</f>
        <v>2980.0666829632169</v>
      </c>
      <c r="F12" s="171">
        <f t="shared" si="1"/>
        <v>19.798214696771012</v>
      </c>
      <c r="G12" s="639"/>
      <c r="H12" s="1511">
        <v>2017</v>
      </c>
      <c r="I12" s="1512">
        <v>47.8</v>
      </c>
    </row>
    <row r="13" spans="1:9" ht="22.5" customHeight="1">
      <c r="A13" s="73" t="s">
        <v>482</v>
      </c>
      <c r="B13" s="74">
        <f>SUM(B9:B12)</f>
        <v>854</v>
      </c>
      <c r="C13" s="75">
        <f>SUM(C9:C12)</f>
        <v>60847.923404366833</v>
      </c>
      <c r="D13" s="120">
        <f t="shared" si="0"/>
        <v>48.011900093782081</v>
      </c>
      <c r="E13" s="75">
        <f>SUM(E9:E12)</f>
        <v>29214.244194045648</v>
      </c>
      <c r="F13" s="172">
        <f t="shared" si="1"/>
        <v>29.232315384495195</v>
      </c>
      <c r="G13" s="640"/>
      <c r="H13" s="1511">
        <v>2018</v>
      </c>
      <c r="I13" s="1512">
        <v>43.342088216429964</v>
      </c>
    </row>
    <row r="14" spans="1:9" ht="17.25" customHeight="1">
      <c r="A14" s="67" t="s">
        <v>483</v>
      </c>
      <c r="B14" s="68">
        <f>+'39'!L20</f>
        <v>762</v>
      </c>
      <c r="C14" s="69">
        <f>+'9'!B37</f>
        <v>43958.550478966579</v>
      </c>
      <c r="D14" s="80">
        <f t="shared" si="0"/>
        <v>48.034331440988687</v>
      </c>
      <c r="E14" s="69">
        <f>+SUM('9'!F37:H37)</f>
        <v>21115.195833721125</v>
      </c>
      <c r="F14" s="171">
        <f t="shared" si="1"/>
        <v>36.087754335817259</v>
      </c>
      <c r="G14" s="639"/>
      <c r="H14" s="1511">
        <v>2019</v>
      </c>
      <c r="I14" s="1512">
        <v>45.068171838640112</v>
      </c>
    </row>
    <row r="15" spans="1:9" ht="17.25" customHeight="1">
      <c r="A15" s="67" t="s">
        <v>484</v>
      </c>
      <c r="B15" s="68">
        <f>+'39'!N20</f>
        <v>134</v>
      </c>
      <c r="C15" s="69">
        <f>+'9'!B43</f>
        <v>9069.8360027432554</v>
      </c>
      <c r="D15" s="80">
        <f t="shared" si="0"/>
        <v>45.151576906300683</v>
      </c>
      <c r="E15" s="69">
        <f>+SUM('9'!F43:H43)</f>
        <v>4095.1739780539688</v>
      </c>
      <c r="F15" s="171">
        <f t="shared" si="1"/>
        <v>32.721442536533438</v>
      </c>
      <c r="G15" s="639"/>
      <c r="H15" s="1511">
        <v>2020</v>
      </c>
      <c r="I15" s="1512">
        <v>42</v>
      </c>
    </row>
    <row r="16" spans="1:9" ht="17.25" customHeight="1">
      <c r="A16" s="67" t="s">
        <v>485</v>
      </c>
      <c r="B16" s="68">
        <f>+'39'!P20</f>
        <v>135</v>
      </c>
      <c r="C16" s="69">
        <f>+'9'!B56</f>
        <v>8491.2090746637896</v>
      </c>
      <c r="D16" s="80">
        <f t="shared" si="0"/>
        <v>47.354130552109076</v>
      </c>
      <c r="E16" s="69">
        <f>+SUM('9'!F56:H56)</f>
        <v>4020.938230668824</v>
      </c>
      <c r="F16" s="171">
        <f t="shared" si="1"/>
        <v>33.574253633223492</v>
      </c>
      <c r="G16" s="639"/>
      <c r="H16" s="1511">
        <v>2021</v>
      </c>
      <c r="I16" s="1512">
        <v>37.631588201976889</v>
      </c>
    </row>
    <row r="17" spans="1:9" ht="17.25" customHeight="1">
      <c r="A17" s="67" t="s">
        <v>486</v>
      </c>
      <c r="B17" s="68">
        <f>+'39'!R20</f>
        <v>46</v>
      </c>
      <c r="C17" s="69">
        <f>+'9'!B61</f>
        <v>3910.3311111943194</v>
      </c>
      <c r="D17" s="80">
        <f t="shared" si="0"/>
        <v>48.091719706013812</v>
      </c>
      <c r="E17" s="69">
        <f>+SUM('9'!F61:H61)</f>
        <v>1880.5454775726275</v>
      </c>
      <c r="F17" s="171">
        <f t="shared" si="1"/>
        <v>24.460987808375648</v>
      </c>
      <c r="G17" s="639"/>
      <c r="H17" s="1511">
        <v>2022</v>
      </c>
      <c r="I17" s="1512">
        <v>34.280205108120427</v>
      </c>
    </row>
    <row r="18" spans="1:9" ht="17.25" customHeight="1">
      <c r="A18" s="67" t="s">
        <v>487</v>
      </c>
      <c r="B18" s="68">
        <f>+'39'!T20</f>
        <v>232</v>
      </c>
      <c r="C18" s="69">
        <f>+'9'!B67</f>
        <v>13698.934895813851</v>
      </c>
      <c r="D18" s="80">
        <f t="shared" si="0"/>
        <v>47.877246914226212</v>
      </c>
      <c r="E18" s="69">
        <f>+SUM('9'!F67:H67)</f>
        <v>6558.672884687895</v>
      </c>
      <c r="F18" s="171">
        <f t="shared" si="1"/>
        <v>35.373009765685254</v>
      </c>
      <c r="G18" s="639"/>
      <c r="H18" s="1511">
        <v>2023</v>
      </c>
      <c r="I18" s="1512">
        <f>+F21</f>
        <v>32.097885786592222</v>
      </c>
    </row>
    <row r="19" spans="1:9" ht="17.25" customHeight="1">
      <c r="A19" s="67" t="s">
        <v>488</v>
      </c>
      <c r="B19" s="68">
        <f>+'39'!V20</f>
        <v>104</v>
      </c>
      <c r="C19" s="69">
        <f>+'9'!B73</f>
        <v>7854.9484356026342</v>
      </c>
      <c r="D19" s="80">
        <f t="shared" si="0"/>
        <v>47.650651922085437</v>
      </c>
      <c r="E19" s="69">
        <f>+SUM('9'!F73:H73)</f>
        <v>3742.9341377083065</v>
      </c>
      <c r="F19" s="171">
        <f t="shared" si="1"/>
        <v>27.785687958612137</v>
      </c>
      <c r="G19" s="639"/>
      <c r="H19" s="1513" t="s">
        <v>1192</v>
      </c>
      <c r="I19" s="1512">
        <f>+F9</f>
        <v>31.26219668999569</v>
      </c>
    </row>
    <row r="20" spans="1:9" ht="21" customHeight="1">
      <c r="A20" s="73" t="s">
        <v>490</v>
      </c>
      <c r="B20" s="74">
        <f>SUM(B14:B19)</f>
        <v>1413</v>
      </c>
      <c r="C20" s="75">
        <f>SUM(C14:C19)</f>
        <v>86983.809998984434</v>
      </c>
      <c r="D20" s="120">
        <f t="shared" si="0"/>
        <v>47.610538723121302</v>
      </c>
      <c r="E20" s="75">
        <f>SUM(E14:E19)</f>
        <v>41413.460542412744</v>
      </c>
      <c r="F20" s="172">
        <f t="shared" si="1"/>
        <v>34.119341428927555</v>
      </c>
      <c r="G20" s="640"/>
      <c r="H20" s="1513" t="s">
        <v>1193</v>
      </c>
      <c r="I20" s="1512">
        <f>+F10</f>
        <v>27.3037110075587</v>
      </c>
    </row>
    <row r="21" spans="1:9" ht="16.5" customHeight="1">
      <c r="A21" s="81" t="s">
        <v>491</v>
      </c>
      <c r="B21" s="82">
        <f>+B13+B20</f>
        <v>2267</v>
      </c>
      <c r="C21" s="83">
        <f>+C13+C20</f>
        <v>147831.73340335127</v>
      </c>
      <c r="D21" s="122">
        <f t="shared" si="0"/>
        <v>47.77574010023568</v>
      </c>
      <c r="E21" s="83">
        <f>+E13+E20</f>
        <v>70627.7047364584</v>
      </c>
      <c r="F21" s="173">
        <f t="shared" si="1"/>
        <v>32.097885786592222</v>
      </c>
      <c r="G21" s="640"/>
      <c r="H21" s="1513" t="s">
        <v>1191</v>
      </c>
      <c r="I21" s="1512">
        <f>+F11</f>
        <v>30.277388619109683</v>
      </c>
    </row>
    <row r="22" spans="1:9">
      <c r="A22" s="8"/>
      <c r="B22" s="8"/>
      <c r="C22" s="8"/>
      <c r="D22" s="8"/>
      <c r="E22" s="8"/>
      <c r="F22" s="8"/>
      <c r="G22" s="8"/>
      <c r="H22" s="1513" t="s">
        <v>1194</v>
      </c>
      <c r="I22" s="1512">
        <f>+F12</f>
        <v>19.798214696771012</v>
      </c>
    </row>
    <row r="23" spans="1:9">
      <c r="A23" s="8"/>
      <c r="B23" s="8"/>
      <c r="C23" s="8"/>
      <c r="D23" s="8"/>
      <c r="E23" s="8"/>
      <c r="F23" s="8"/>
      <c r="G23" s="8"/>
      <c r="H23" s="1513" t="s">
        <v>1195</v>
      </c>
      <c r="I23" s="1512">
        <f t="shared" ref="I23:I28" si="2">+F14</f>
        <v>36.087754335817259</v>
      </c>
    </row>
    <row r="24" spans="1:9">
      <c r="A24" s="8"/>
      <c r="B24" s="8"/>
      <c r="C24" s="8"/>
      <c r="D24" s="8"/>
      <c r="E24" s="8"/>
      <c r="F24" s="8"/>
      <c r="G24" s="8"/>
      <c r="H24" s="1513" t="s">
        <v>525</v>
      </c>
      <c r="I24" s="1512">
        <f t="shared" si="2"/>
        <v>32.721442536533438</v>
      </c>
    </row>
    <row r="25" spans="1:9">
      <c r="A25" s="8"/>
      <c r="B25" s="8"/>
      <c r="C25" s="8"/>
      <c r="D25" s="8"/>
      <c r="E25" s="8"/>
      <c r="F25" s="8"/>
      <c r="G25" s="8"/>
      <c r="H25" s="1513" t="s">
        <v>1198</v>
      </c>
      <c r="I25" s="1512">
        <f t="shared" si="2"/>
        <v>33.574253633223492</v>
      </c>
    </row>
    <row r="26" spans="1:9">
      <c r="A26" s="8"/>
      <c r="B26" s="8"/>
      <c r="C26" s="8"/>
      <c r="D26" s="8"/>
      <c r="E26" s="8"/>
      <c r="F26" s="8"/>
      <c r="G26" s="8"/>
      <c r="H26" s="1513" t="s">
        <v>1197</v>
      </c>
      <c r="I26" s="1512">
        <f t="shared" si="2"/>
        <v>24.460987808375648</v>
      </c>
    </row>
    <row r="27" spans="1:9">
      <c r="A27" s="8"/>
      <c r="B27" s="8"/>
      <c r="C27" s="8"/>
      <c r="D27" s="8"/>
      <c r="E27" s="8"/>
      <c r="F27" s="8"/>
      <c r="G27" s="8"/>
      <c r="H27" s="1513" t="s">
        <v>1196</v>
      </c>
      <c r="I27" s="1512">
        <f t="shared" si="2"/>
        <v>35.373009765685254</v>
      </c>
    </row>
    <row r="28" spans="1:9">
      <c r="A28" s="8"/>
      <c r="B28" s="8"/>
      <c r="C28" s="8"/>
      <c r="D28" s="8"/>
      <c r="E28" s="8"/>
      <c r="F28" s="8"/>
      <c r="G28" s="8"/>
      <c r="H28" s="1513" t="s">
        <v>550</v>
      </c>
      <c r="I28" s="1512">
        <f t="shared" si="2"/>
        <v>27.785687958612137</v>
      </c>
    </row>
    <row r="29" spans="1:9">
      <c r="A29" s="8"/>
      <c r="B29" s="8"/>
      <c r="C29" s="8"/>
      <c r="D29" s="8"/>
      <c r="E29" s="8"/>
      <c r="F29" s="8"/>
      <c r="G29" s="8"/>
    </row>
    <row r="30" spans="1:9">
      <c r="A30" s="8"/>
      <c r="B30" s="8"/>
      <c r="C30" s="8"/>
      <c r="D30" s="8"/>
      <c r="E30" s="8"/>
      <c r="F30" s="8"/>
      <c r="G30" s="8"/>
    </row>
    <row r="31" spans="1:9">
      <c r="A31" s="8"/>
      <c r="B31" s="8"/>
      <c r="C31" s="8"/>
      <c r="D31" s="8"/>
      <c r="E31" s="8"/>
      <c r="F31" s="8"/>
      <c r="G31" s="8"/>
    </row>
    <row r="32" spans="1:9">
      <c r="A32" s="8"/>
      <c r="B32" s="8"/>
      <c r="C32" s="8"/>
      <c r="D32" s="8"/>
      <c r="E32" s="8"/>
      <c r="F32" s="8"/>
      <c r="G32" s="8"/>
    </row>
    <row r="33" spans="1:7">
      <c r="A33" s="8"/>
      <c r="B33" s="8"/>
      <c r="C33" s="8"/>
      <c r="D33" s="8"/>
      <c r="E33" s="8"/>
      <c r="F33" s="8"/>
      <c r="G33" s="8"/>
    </row>
    <row r="34" spans="1:7">
      <c r="A34" s="8"/>
      <c r="B34" s="8"/>
      <c r="C34" s="8"/>
      <c r="D34" s="8"/>
      <c r="E34" s="8"/>
      <c r="F34" s="8"/>
      <c r="G34" s="8"/>
    </row>
  </sheetData>
  <phoneticPr fontId="18" type="noConversion"/>
  <pageMargins left="1.3779527559055118" right="0.78740157480314965" top="0.59055118110236227" bottom="0.98425196850393704" header="0.51181102362204722" footer="0.51181102362204722"/>
  <pageSetup paperSize="5"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25"/>
  <sheetViews>
    <sheetView showGridLines="0" zoomScale="75" workbookViewId="0">
      <selection activeCell="P19" sqref="P19:R19"/>
    </sheetView>
  </sheetViews>
  <sheetFormatPr baseColWidth="10" defaultRowHeight="12.75"/>
  <cols>
    <col min="2" max="2" width="25.28515625" customWidth="1"/>
    <col min="3" max="3" width="12.42578125" customWidth="1"/>
    <col min="4" max="5" width="13.140625" customWidth="1"/>
    <col min="6" max="6" width="12.85546875" customWidth="1"/>
    <col min="7" max="7" width="13.28515625" customWidth="1"/>
    <col min="8" max="8" width="15" customWidth="1"/>
    <col min="9" max="10" width="13.42578125" customWidth="1"/>
    <col min="11" max="13" width="15.5703125" customWidth="1"/>
    <col min="14" max="14" width="13.7109375" customWidth="1"/>
    <col min="258" max="258" width="25.28515625" customWidth="1"/>
    <col min="259" max="259" width="12.42578125" customWidth="1"/>
    <col min="260" max="261" width="13.140625" customWidth="1"/>
    <col min="262" max="262" width="12.85546875" customWidth="1"/>
    <col min="263" max="263" width="13.28515625" customWidth="1"/>
    <col min="264" max="264" width="15" customWidth="1"/>
    <col min="265" max="266" width="13.42578125" customWidth="1"/>
    <col min="267" max="269" width="15.5703125" customWidth="1"/>
    <col min="270" max="270" width="13.7109375" customWidth="1"/>
    <col min="514" max="514" width="25.28515625" customWidth="1"/>
    <col min="515" max="515" width="12.42578125" customWidth="1"/>
    <col min="516" max="517" width="13.140625" customWidth="1"/>
    <col min="518" max="518" width="12.85546875" customWidth="1"/>
    <col min="519" max="519" width="13.28515625" customWidth="1"/>
    <col min="520" max="520" width="15" customWidth="1"/>
    <col min="521" max="522" width="13.42578125" customWidth="1"/>
    <col min="523" max="525" width="15.5703125" customWidth="1"/>
    <col min="526" max="526" width="13.7109375" customWidth="1"/>
    <col min="770" max="770" width="25.28515625" customWidth="1"/>
    <col min="771" max="771" width="12.42578125" customWidth="1"/>
    <col min="772" max="773" width="13.140625" customWidth="1"/>
    <col min="774" max="774" width="12.85546875" customWidth="1"/>
    <col min="775" max="775" width="13.28515625" customWidth="1"/>
    <col min="776" max="776" width="15" customWidth="1"/>
    <col min="777" max="778" width="13.42578125" customWidth="1"/>
    <col min="779" max="781" width="15.5703125" customWidth="1"/>
    <col min="782" max="782" width="13.7109375" customWidth="1"/>
    <col min="1026" max="1026" width="25.28515625" customWidth="1"/>
    <col min="1027" max="1027" width="12.42578125" customWidth="1"/>
    <col min="1028" max="1029" width="13.140625" customWidth="1"/>
    <col min="1030" max="1030" width="12.85546875" customWidth="1"/>
    <col min="1031" max="1031" width="13.28515625" customWidth="1"/>
    <col min="1032" max="1032" width="15" customWidth="1"/>
    <col min="1033" max="1034" width="13.42578125" customWidth="1"/>
    <col min="1035" max="1037" width="15.5703125" customWidth="1"/>
    <col min="1038" max="1038" width="13.7109375" customWidth="1"/>
    <col min="1282" max="1282" width="25.28515625" customWidth="1"/>
    <col min="1283" max="1283" width="12.42578125" customWidth="1"/>
    <col min="1284" max="1285" width="13.140625" customWidth="1"/>
    <col min="1286" max="1286" width="12.85546875" customWidth="1"/>
    <col min="1287" max="1287" width="13.28515625" customWidth="1"/>
    <col min="1288" max="1288" width="15" customWidth="1"/>
    <col min="1289" max="1290" width="13.42578125" customWidth="1"/>
    <col min="1291" max="1293" width="15.5703125" customWidth="1"/>
    <col min="1294" max="1294" width="13.7109375" customWidth="1"/>
    <col min="1538" max="1538" width="25.28515625" customWidth="1"/>
    <col min="1539" max="1539" width="12.42578125" customWidth="1"/>
    <col min="1540" max="1541" width="13.140625" customWidth="1"/>
    <col min="1542" max="1542" width="12.85546875" customWidth="1"/>
    <col min="1543" max="1543" width="13.28515625" customWidth="1"/>
    <col min="1544" max="1544" width="15" customWidth="1"/>
    <col min="1545" max="1546" width="13.42578125" customWidth="1"/>
    <col min="1547" max="1549" width="15.5703125" customWidth="1"/>
    <col min="1550" max="1550" width="13.7109375" customWidth="1"/>
    <col min="1794" max="1794" width="25.28515625" customWidth="1"/>
    <col min="1795" max="1795" width="12.42578125" customWidth="1"/>
    <col min="1796" max="1797" width="13.140625" customWidth="1"/>
    <col min="1798" max="1798" width="12.85546875" customWidth="1"/>
    <col min="1799" max="1799" width="13.28515625" customWidth="1"/>
    <col min="1800" max="1800" width="15" customWidth="1"/>
    <col min="1801" max="1802" width="13.42578125" customWidth="1"/>
    <col min="1803" max="1805" width="15.5703125" customWidth="1"/>
    <col min="1806" max="1806" width="13.7109375" customWidth="1"/>
    <col min="2050" max="2050" width="25.28515625" customWidth="1"/>
    <col min="2051" max="2051" width="12.42578125" customWidth="1"/>
    <col min="2052" max="2053" width="13.140625" customWidth="1"/>
    <col min="2054" max="2054" width="12.85546875" customWidth="1"/>
    <col min="2055" max="2055" width="13.28515625" customWidth="1"/>
    <col min="2056" max="2056" width="15" customWidth="1"/>
    <col min="2057" max="2058" width="13.42578125" customWidth="1"/>
    <col min="2059" max="2061" width="15.5703125" customWidth="1"/>
    <col min="2062" max="2062" width="13.7109375" customWidth="1"/>
    <col min="2306" max="2306" width="25.28515625" customWidth="1"/>
    <col min="2307" max="2307" width="12.42578125" customWidth="1"/>
    <col min="2308" max="2309" width="13.140625" customWidth="1"/>
    <col min="2310" max="2310" width="12.85546875" customWidth="1"/>
    <col min="2311" max="2311" width="13.28515625" customWidth="1"/>
    <col min="2312" max="2312" width="15" customWidth="1"/>
    <col min="2313" max="2314" width="13.42578125" customWidth="1"/>
    <col min="2315" max="2317" width="15.5703125" customWidth="1"/>
    <col min="2318" max="2318" width="13.7109375" customWidth="1"/>
    <col min="2562" max="2562" width="25.28515625" customWidth="1"/>
    <col min="2563" max="2563" width="12.42578125" customWidth="1"/>
    <col min="2564" max="2565" width="13.140625" customWidth="1"/>
    <col min="2566" max="2566" width="12.85546875" customWidth="1"/>
    <col min="2567" max="2567" width="13.28515625" customWidth="1"/>
    <col min="2568" max="2568" width="15" customWidth="1"/>
    <col min="2569" max="2570" width="13.42578125" customWidth="1"/>
    <col min="2571" max="2573" width="15.5703125" customWidth="1"/>
    <col min="2574" max="2574" width="13.7109375" customWidth="1"/>
    <col min="2818" max="2818" width="25.28515625" customWidth="1"/>
    <col min="2819" max="2819" width="12.42578125" customWidth="1"/>
    <col min="2820" max="2821" width="13.140625" customWidth="1"/>
    <col min="2822" max="2822" width="12.85546875" customWidth="1"/>
    <col min="2823" max="2823" width="13.28515625" customWidth="1"/>
    <col min="2824" max="2824" width="15" customWidth="1"/>
    <col min="2825" max="2826" width="13.42578125" customWidth="1"/>
    <col min="2827" max="2829" width="15.5703125" customWidth="1"/>
    <col min="2830" max="2830" width="13.7109375" customWidth="1"/>
    <col min="3074" max="3074" width="25.28515625" customWidth="1"/>
    <col min="3075" max="3075" width="12.42578125" customWidth="1"/>
    <col min="3076" max="3077" width="13.140625" customWidth="1"/>
    <col min="3078" max="3078" width="12.85546875" customWidth="1"/>
    <col min="3079" max="3079" width="13.28515625" customWidth="1"/>
    <col min="3080" max="3080" width="15" customWidth="1"/>
    <col min="3081" max="3082" width="13.42578125" customWidth="1"/>
    <col min="3083" max="3085" width="15.5703125" customWidth="1"/>
    <col min="3086" max="3086" width="13.7109375" customWidth="1"/>
    <col min="3330" max="3330" width="25.28515625" customWidth="1"/>
    <col min="3331" max="3331" width="12.42578125" customWidth="1"/>
    <col min="3332" max="3333" width="13.140625" customWidth="1"/>
    <col min="3334" max="3334" width="12.85546875" customWidth="1"/>
    <col min="3335" max="3335" width="13.28515625" customWidth="1"/>
    <col min="3336" max="3336" width="15" customWidth="1"/>
    <col min="3337" max="3338" width="13.42578125" customWidth="1"/>
    <col min="3339" max="3341" width="15.5703125" customWidth="1"/>
    <col min="3342" max="3342" width="13.7109375" customWidth="1"/>
    <col min="3586" max="3586" width="25.28515625" customWidth="1"/>
    <col min="3587" max="3587" width="12.42578125" customWidth="1"/>
    <col min="3588" max="3589" width="13.140625" customWidth="1"/>
    <col min="3590" max="3590" width="12.85546875" customWidth="1"/>
    <col min="3591" max="3591" width="13.28515625" customWidth="1"/>
    <col min="3592" max="3592" width="15" customWidth="1"/>
    <col min="3593" max="3594" width="13.42578125" customWidth="1"/>
    <col min="3595" max="3597" width="15.5703125" customWidth="1"/>
    <col min="3598" max="3598" width="13.7109375" customWidth="1"/>
    <col min="3842" max="3842" width="25.28515625" customWidth="1"/>
    <col min="3843" max="3843" width="12.42578125" customWidth="1"/>
    <col min="3844" max="3845" width="13.140625" customWidth="1"/>
    <col min="3846" max="3846" width="12.85546875" customWidth="1"/>
    <col min="3847" max="3847" width="13.28515625" customWidth="1"/>
    <col min="3848" max="3848" width="15" customWidth="1"/>
    <col min="3849" max="3850" width="13.42578125" customWidth="1"/>
    <col min="3851" max="3853" width="15.5703125" customWidth="1"/>
    <col min="3854" max="3854" width="13.7109375" customWidth="1"/>
    <col min="4098" max="4098" width="25.28515625" customWidth="1"/>
    <col min="4099" max="4099" width="12.42578125" customWidth="1"/>
    <col min="4100" max="4101" width="13.140625" customWidth="1"/>
    <col min="4102" max="4102" width="12.85546875" customWidth="1"/>
    <col min="4103" max="4103" width="13.28515625" customWidth="1"/>
    <col min="4104" max="4104" width="15" customWidth="1"/>
    <col min="4105" max="4106" width="13.42578125" customWidth="1"/>
    <col min="4107" max="4109" width="15.5703125" customWidth="1"/>
    <col min="4110" max="4110" width="13.7109375" customWidth="1"/>
    <col min="4354" max="4354" width="25.28515625" customWidth="1"/>
    <col min="4355" max="4355" width="12.42578125" customWidth="1"/>
    <col min="4356" max="4357" width="13.140625" customWidth="1"/>
    <col min="4358" max="4358" width="12.85546875" customWidth="1"/>
    <col min="4359" max="4359" width="13.28515625" customWidth="1"/>
    <col min="4360" max="4360" width="15" customWidth="1"/>
    <col min="4361" max="4362" width="13.42578125" customWidth="1"/>
    <col min="4363" max="4365" width="15.5703125" customWidth="1"/>
    <col min="4366" max="4366" width="13.7109375" customWidth="1"/>
    <col min="4610" max="4610" width="25.28515625" customWidth="1"/>
    <col min="4611" max="4611" width="12.42578125" customWidth="1"/>
    <col min="4612" max="4613" width="13.140625" customWidth="1"/>
    <col min="4614" max="4614" width="12.85546875" customWidth="1"/>
    <col min="4615" max="4615" width="13.28515625" customWidth="1"/>
    <col min="4616" max="4616" width="15" customWidth="1"/>
    <col min="4617" max="4618" width="13.42578125" customWidth="1"/>
    <col min="4619" max="4621" width="15.5703125" customWidth="1"/>
    <col min="4622" max="4622" width="13.7109375" customWidth="1"/>
    <col min="4866" max="4866" width="25.28515625" customWidth="1"/>
    <col min="4867" max="4867" width="12.42578125" customWidth="1"/>
    <col min="4868" max="4869" width="13.140625" customWidth="1"/>
    <col min="4870" max="4870" width="12.85546875" customWidth="1"/>
    <col min="4871" max="4871" width="13.28515625" customWidth="1"/>
    <col min="4872" max="4872" width="15" customWidth="1"/>
    <col min="4873" max="4874" width="13.42578125" customWidth="1"/>
    <col min="4875" max="4877" width="15.5703125" customWidth="1"/>
    <col min="4878" max="4878" width="13.7109375" customWidth="1"/>
    <col min="5122" max="5122" width="25.28515625" customWidth="1"/>
    <col min="5123" max="5123" width="12.42578125" customWidth="1"/>
    <col min="5124" max="5125" width="13.140625" customWidth="1"/>
    <col min="5126" max="5126" width="12.85546875" customWidth="1"/>
    <col min="5127" max="5127" width="13.28515625" customWidth="1"/>
    <col min="5128" max="5128" width="15" customWidth="1"/>
    <col min="5129" max="5130" width="13.42578125" customWidth="1"/>
    <col min="5131" max="5133" width="15.5703125" customWidth="1"/>
    <col min="5134" max="5134" width="13.7109375" customWidth="1"/>
    <col min="5378" max="5378" width="25.28515625" customWidth="1"/>
    <col min="5379" max="5379" width="12.42578125" customWidth="1"/>
    <col min="5380" max="5381" width="13.140625" customWidth="1"/>
    <col min="5382" max="5382" width="12.85546875" customWidth="1"/>
    <col min="5383" max="5383" width="13.28515625" customWidth="1"/>
    <col min="5384" max="5384" width="15" customWidth="1"/>
    <col min="5385" max="5386" width="13.42578125" customWidth="1"/>
    <col min="5387" max="5389" width="15.5703125" customWidth="1"/>
    <col min="5390" max="5390" width="13.7109375" customWidth="1"/>
    <col min="5634" max="5634" width="25.28515625" customWidth="1"/>
    <col min="5635" max="5635" width="12.42578125" customWidth="1"/>
    <col min="5636" max="5637" width="13.140625" customWidth="1"/>
    <col min="5638" max="5638" width="12.85546875" customWidth="1"/>
    <col min="5639" max="5639" width="13.28515625" customWidth="1"/>
    <col min="5640" max="5640" width="15" customWidth="1"/>
    <col min="5641" max="5642" width="13.42578125" customWidth="1"/>
    <col min="5643" max="5645" width="15.5703125" customWidth="1"/>
    <col min="5646" max="5646" width="13.7109375" customWidth="1"/>
    <col min="5890" max="5890" width="25.28515625" customWidth="1"/>
    <col min="5891" max="5891" width="12.42578125" customWidth="1"/>
    <col min="5892" max="5893" width="13.140625" customWidth="1"/>
    <col min="5894" max="5894" width="12.85546875" customWidth="1"/>
    <col min="5895" max="5895" width="13.28515625" customWidth="1"/>
    <col min="5896" max="5896" width="15" customWidth="1"/>
    <col min="5897" max="5898" width="13.42578125" customWidth="1"/>
    <col min="5899" max="5901" width="15.5703125" customWidth="1"/>
    <col min="5902" max="5902" width="13.7109375" customWidth="1"/>
    <col min="6146" max="6146" width="25.28515625" customWidth="1"/>
    <col min="6147" max="6147" width="12.42578125" customWidth="1"/>
    <col min="6148" max="6149" width="13.140625" customWidth="1"/>
    <col min="6150" max="6150" width="12.85546875" customWidth="1"/>
    <col min="6151" max="6151" width="13.28515625" customWidth="1"/>
    <col min="6152" max="6152" width="15" customWidth="1"/>
    <col min="6153" max="6154" width="13.42578125" customWidth="1"/>
    <col min="6155" max="6157" width="15.5703125" customWidth="1"/>
    <col min="6158" max="6158" width="13.7109375" customWidth="1"/>
    <col min="6402" max="6402" width="25.28515625" customWidth="1"/>
    <col min="6403" max="6403" width="12.42578125" customWidth="1"/>
    <col min="6404" max="6405" width="13.140625" customWidth="1"/>
    <col min="6406" max="6406" width="12.85546875" customWidth="1"/>
    <col min="6407" max="6407" width="13.28515625" customWidth="1"/>
    <col min="6408" max="6408" width="15" customWidth="1"/>
    <col min="6409" max="6410" width="13.42578125" customWidth="1"/>
    <col min="6411" max="6413" width="15.5703125" customWidth="1"/>
    <col min="6414" max="6414" width="13.7109375" customWidth="1"/>
    <col min="6658" max="6658" width="25.28515625" customWidth="1"/>
    <col min="6659" max="6659" width="12.42578125" customWidth="1"/>
    <col min="6660" max="6661" width="13.140625" customWidth="1"/>
    <col min="6662" max="6662" width="12.85546875" customWidth="1"/>
    <col min="6663" max="6663" width="13.28515625" customWidth="1"/>
    <col min="6664" max="6664" width="15" customWidth="1"/>
    <col min="6665" max="6666" width="13.42578125" customWidth="1"/>
    <col min="6667" max="6669" width="15.5703125" customWidth="1"/>
    <col min="6670" max="6670" width="13.7109375" customWidth="1"/>
    <col min="6914" max="6914" width="25.28515625" customWidth="1"/>
    <col min="6915" max="6915" width="12.42578125" customWidth="1"/>
    <col min="6916" max="6917" width="13.140625" customWidth="1"/>
    <col min="6918" max="6918" width="12.85546875" customWidth="1"/>
    <col min="6919" max="6919" width="13.28515625" customWidth="1"/>
    <col min="6920" max="6920" width="15" customWidth="1"/>
    <col min="6921" max="6922" width="13.42578125" customWidth="1"/>
    <col min="6923" max="6925" width="15.5703125" customWidth="1"/>
    <col min="6926" max="6926" width="13.7109375" customWidth="1"/>
    <col min="7170" max="7170" width="25.28515625" customWidth="1"/>
    <col min="7171" max="7171" width="12.42578125" customWidth="1"/>
    <col min="7172" max="7173" width="13.140625" customWidth="1"/>
    <col min="7174" max="7174" width="12.85546875" customWidth="1"/>
    <col min="7175" max="7175" width="13.28515625" customWidth="1"/>
    <col min="7176" max="7176" width="15" customWidth="1"/>
    <col min="7177" max="7178" width="13.42578125" customWidth="1"/>
    <col min="7179" max="7181" width="15.5703125" customWidth="1"/>
    <col min="7182" max="7182" width="13.7109375" customWidth="1"/>
    <col min="7426" max="7426" width="25.28515625" customWidth="1"/>
    <col min="7427" max="7427" width="12.42578125" customWidth="1"/>
    <col min="7428" max="7429" width="13.140625" customWidth="1"/>
    <col min="7430" max="7430" width="12.85546875" customWidth="1"/>
    <col min="7431" max="7431" width="13.28515625" customWidth="1"/>
    <col min="7432" max="7432" width="15" customWidth="1"/>
    <col min="7433" max="7434" width="13.42578125" customWidth="1"/>
    <col min="7435" max="7437" width="15.5703125" customWidth="1"/>
    <col min="7438" max="7438" width="13.7109375" customWidth="1"/>
    <col min="7682" max="7682" width="25.28515625" customWidth="1"/>
    <col min="7683" max="7683" width="12.42578125" customWidth="1"/>
    <col min="7684" max="7685" width="13.140625" customWidth="1"/>
    <col min="7686" max="7686" width="12.85546875" customWidth="1"/>
    <col min="7687" max="7687" width="13.28515625" customWidth="1"/>
    <col min="7688" max="7688" width="15" customWidth="1"/>
    <col min="7689" max="7690" width="13.42578125" customWidth="1"/>
    <col min="7691" max="7693" width="15.5703125" customWidth="1"/>
    <col min="7694" max="7694" width="13.7109375" customWidth="1"/>
    <col min="7938" max="7938" width="25.28515625" customWidth="1"/>
    <col min="7939" max="7939" width="12.42578125" customWidth="1"/>
    <col min="7940" max="7941" width="13.140625" customWidth="1"/>
    <col min="7942" max="7942" width="12.85546875" customWidth="1"/>
    <col min="7943" max="7943" width="13.28515625" customWidth="1"/>
    <col min="7944" max="7944" width="15" customWidth="1"/>
    <col min="7945" max="7946" width="13.42578125" customWidth="1"/>
    <col min="7947" max="7949" width="15.5703125" customWidth="1"/>
    <col min="7950" max="7950" width="13.7109375" customWidth="1"/>
    <col min="8194" max="8194" width="25.28515625" customWidth="1"/>
    <col min="8195" max="8195" width="12.42578125" customWidth="1"/>
    <col min="8196" max="8197" width="13.140625" customWidth="1"/>
    <col min="8198" max="8198" width="12.85546875" customWidth="1"/>
    <col min="8199" max="8199" width="13.28515625" customWidth="1"/>
    <col min="8200" max="8200" width="15" customWidth="1"/>
    <col min="8201" max="8202" width="13.42578125" customWidth="1"/>
    <col min="8203" max="8205" width="15.5703125" customWidth="1"/>
    <col min="8206" max="8206" width="13.7109375" customWidth="1"/>
    <col min="8450" max="8450" width="25.28515625" customWidth="1"/>
    <col min="8451" max="8451" width="12.42578125" customWidth="1"/>
    <col min="8452" max="8453" width="13.140625" customWidth="1"/>
    <col min="8454" max="8454" width="12.85546875" customWidth="1"/>
    <col min="8455" max="8455" width="13.28515625" customWidth="1"/>
    <col min="8456" max="8456" width="15" customWidth="1"/>
    <col min="8457" max="8458" width="13.42578125" customWidth="1"/>
    <col min="8459" max="8461" width="15.5703125" customWidth="1"/>
    <col min="8462" max="8462" width="13.7109375" customWidth="1"/>
    <col min="8706" max="8706" width="25.28515625" customWidth="1"/>
    <col min="8707" max="8707" width="12.42578125" customWidth="1"/>
    <col min="8708" max="8709" width="13.140625" customWidth="1"/>
    <col min="8710" max="8710" width="12.85546875" customWidth="1"/>
    <col min="8711" max="8711" width="13.28515625" customWidth="1"/>
    <col min="8712" max="8712" width="15" customWidth="1"/>
    <col min="8713" max="8714" width="13.42578125" customWidth="1"/>
    <col min="8715" max="8717" width="15.5703125" customWidth="1"/>
    <col min="8718" max="8718" width="13.7109375" customWidth="1"/>
    <col min="8962" max="8962" width="25.28515625" customWidth="1"/>
    <col min="8963" max="8963" width="12.42578125" customWidth="1"/>
    <col min="8964" max="8965" width="13.140625" customWidth="1"/>
    <col min="8966" max="8966" width="12.85546875" customWidth="1"/>
    <col min="8967" max="8967" width="13.28515625" customWidth="1"/>
    <col min="8968" max="8968" width="15" customWidth="1"/>
    <col min="8969" max="8970" width="13.42578125" customWidth="1"/>
    <col min="8971" max="8973" width="15.5703125" customWidth="1"/>
    <col min="8974" max="8974" width="13.7109375" customWidth="1"/>
    <col min="9218" max="9218" width="25.28515625" customWidth="1"/>
    <col min="9219" max="9219" width="12.42578125" customWidth="1"/>
    <col min="9220" max="9221" width="13.140625" customWidth="1"/>
    <col min="9222" max="9222" width="12.85546875" customWidth="1"/>
    <col min="9223" max="9223" width="13.28515625" customWidth="1"/>
    <col min="9224" max="9224" width="15" customWidth="1"/>
    <col min="9225" max="9226" width="13.42578125" customWidth="1"/>
    <col min="9227" max="9229" width="15.5703125" customWidth="1"/>
    <col min="9230" max="9230" width="13.7109375" customWidth="1"/>
    <col min="9474" max="9474" width="25.28515625" customWidth="1"/>
    <col min="9475" max="9475" width="12.42578125" customWidth="1"/>
    <col min="9476" max="9477" width="13.140625" customWidth="1"/>
    <col min="9478" max="9478" width="12.85546875" customWidth="1"/>
    <col min="9479" max="9479" width="13.28515625" customWidth="1"/>
    <col min="9480" max="9480" width="15" customWidth="1"/>
    <col min="9481" max="9482" width="13.42578125" customWidth="1"/>
    <col min="9483" max="9485" width="15.5703125" customWidth="1"/>
    <col min="9486" max="9486" width="13.7109375" customWidth="1"/>
    <col min="9730" max="9730" width="25.28515625" customWidth="1"/>
    <col min="9731" max="9731" width="12.42578125" customWidth="1"/>
    <col min="9732" max="9733" width="13.140625" customWidth="1"/>
    <col min="9734" max="9734" width="12.85546875" customWidth="1"/>
    <col min="9735" max="9735" width="13.28515625" customWidth="1"/>
    <col min="9736" max="9736" width="15" customWidth="1"/>
    <col min="9737" max="9738" width="13.42578125" customWidth="1"/>
    <col min="9739" max="9741" width="15.5703125" customWidth="1"/>
    <col min="9742" max="9742" width="13.7109375" customWidth="1"/>
    <col min="9986" max="9986" width="25.28515625" customWidth="1"/>
    <col min="9987" max="9987" width="12.42578125" customWidth="1"/>
    <col min="9988" max="9989" width="13.140625" customWidth="1"/>
    <col min="9990" max="9990" width="12.85546875" customWidth="1"/>
    <col min="9991" max="9991" width="13.28515625" customWidth="1"/>
    <col min="9992" max="9992" width="15" customWidth="1"/>
    <col min="9993" max="9994" width="13.42578125" customWidth="1"/>
    <col min="9995" max="9997" width="15.5703125" customWidth="1"/>
    <col min="9998" max="9998" width="13.7109375" customWidth="1"/>
    <col min="10242" max="10242" width="25.28515625" customWidth="1"/>
    <col min="10243" max="10243" width="12.42578125" customWidth="1"/>
    <col min="10244" max="10245" width="13.140625" customWidth="1"/>
    <col min="10246" max="10246" width="12.85546875" customWidth="1"/>
    <col min="10247" max="10247" width="13.28515625" customWidth="1"/>
    <col min="10248" max="10248" width="15" customWidth="1"/>
    <col min="10249" max="10250" width="13.42578125" customWidth="1"/>
    <col min="10251" max="10253" width="15.5703125" customWidth="1"/>
    <col min="10254" max="10254" width="13.7109375" customWidth="1"/>
    <col min="10498" max="10498" width="25.28515625" customWidth="1"/>
    <col min="10499" max="10499" width="12.42578125" customWidth="1"/>
    <col min="10500" max="10501" width="13.140625" customWidth="1"/>
    <col min="10502" max="10502" width="12.85546875" customWidth="1"/>
    <col min="10503" max="10503" width="13.28515625" customWidth="1"/>
    <col min="10504" max="10504" width="15" customWidth="1"/>
    <col min="10505" max="10506" width="13.42578125" customWidth="1"/>
    <col min="10507" max="10509" width="15.5703125" customWidth="1"/>
    <col min="10510" max="10510" width="13.7109375" customWidth="1"/>
    <col min="10754" max="10754" width="25.28515625" customWidth="1"/>
    <col min="10755" max="10755" width="12.42578125" customWidth="1"/>
    <col min="10756" max="10757" width="13.140625" customWidth="1"/>
    <col min="10758" max="10758" width="12.85546875" customWidth="1"/>
    <col min="10759" max="10759" width="13.28515625" customWidth="1"/>
    <col min="10760" max="10760" width="15" customWidth="1"/>
    <col min="10761" max="10762" width="13.42578125" customWidth="1"/>
    <col min="10763" max="10765" width="15.5703125" customWidth="1"/>
    <col min="10766" max="10766" width="13.7109375" customWidth="1"/>
    <col min="11010" max="11010" width="25.28515625" customWidth="1"/>
    <col min="11011" max="11011" width="12.42578125" customWidth="1"/>
    <col min="11012" max="11013" width="13.140625" customWidth="1"/>
    <col min="11014" max="11014" width="12.85546875" customWidth="1"/>
    <col min="11015" max="11015" width="13.28515625" customWidth="1"/>
    <col min="11016" max="11016" width="15" customWidth="1"/>
    <col min="11017" max="11018" width="13.42578125" customWidth="1"/>
    <col min="11019" max="11021" width="15.5703125" customWidth="1"/>
    <col min="11022" max="11022" width="13.7109375" customWidth="1"/>
    <col min="11266" max="11266" width="25.28515625" customWidth="1"/>
    <col min="11267" max="11267" width="12.42578125" customWidth="1"/>
    <col min="11268" max="11269" width="13.140625" customWidth="1"/>
    <col min="11270" max="11270" width="12.85546875" customWidth="1"/>
    <col min="11271" max="11271" width="13.28515625" customWidth="1"/>
    <col min="11272" max="11272" width="15" customWidth="1"/>
    <col min="11273" max="11274" width="13.42578125" customWidth="1"/>
    <col min="11275" max="11277" width="15.5703125" customWidth="1"/>
    <col min="11278" max="11278" width="13.7109375" customWidth="1"/>
    <col min="11522" max="11522" width="25.28515625" customWidth="1"/>
    <col min="11523" max="11523" width="12.42578125" customWidth="1"/>
    <col min="11524" max="11525" width="13.140625" customWidth="1"/>
    <col min="11526" max="11526" width="12.85546875" customWidth="1"/>
    <col min="11527" max="11527" width="13.28515625" customWidth="1"/>
    <col min="11528" max="11528" width="15" customWidth="1"/>
    <col min="11529" max="11530" width="13.42578125" customWidth="1"/>
    <col min="11531" max="11533" width="15.5703125" customWidth="1"/>
    <col min="11534" max="11534" width="13.7109375" customWidth="1"/>
    <col min="11778" max="11778" width="25.28515625" customWidth="1"/>
    <col min="11779" max="11779" width="12.42578125" customWidth="1"/>
    <col min="11780" max="11781" width="13.140625" customWidth="1"/>
    <col min="11782" max="11782" width="12.85546875" customWidth="1"/>
    <col min="11783" max="11783" width="13.28515625" customWidth="1"/>
    <col min="11784" max="11784" width="15" customWidth="1"/>
    <col min="11785" max="11786" width="13.42578125" customWidth="1"/>
    <col min="11787" max="11789" width="15.5703125" customWidth="1"/>
    <col min="11790" max="11790" width="13.7109375" customWidth="1"/>
    <col min="12034" max="12034" width="25.28515625" customWidth="1"/>
    <col min="12035" max="12035" width="12.42578125" customWidth="1"/>
    <col min="12036" max="12037" width="13.140625" customWidth="1"/>
    <col min="12038" max="12038" width="12.85546875" customWidth="1"/>
    <col min="12039" max="12039" width="13.28515625" customWidth="1"/>
    <col min="12040" max="12040" width="15" customWidth="1"/>
    <col min="12041" max="12042" width="13.42578125" customWidth="1"/>
    <col min="12043" max="12045" width="15.5703125" customWidth="1"/>
    <col min="12046" max="12046" width="13.7109375" customWidth="1"/>
    <col min="12290" max="12290" width="25.28515625" customWidth="1"/>
    <col min="12291" max="12291" width="12.42578125" customWidth="1"/>
    <col min="12292" max="12293" width="13.140625" customWidth="1"/>
    <col min="12294" max="12294" width="12.85546875" customWidth="1"/>
    <col min="12295" max="12295" width="13.28515625" customWidth="1"/>
    <col min="12296" max="12296" width="15" customWidth="1"/>
    <col min="12297" max="12298" width="13.42578125" customWidth="1"/>
    <col min="12299" max="12301" width="15.5703125" customWidth="1"/>
    <col min="12302" max="12302" width="13.7109375" customWidth="1"/>
    <col min="12546" max="12546" width="25.28515625" customWidth="1"/>
    <col min="12547" max="12547" width="12.42578125" customWidth="1"/>
    <col min="12548" max="12549" width="13.140625" customWidth="1"/>
    <col min="12550" max="12550" width="12.85546875" customWidth="1"/>
    <col min="12551" max="12551" width="13.28515625" customWidth="1"/>
    <col min="12552" max="12552" width="15" customWidth="1"/>
    <col min="12553" max="12554" width="13.42578125" customWidth="1"/>
    <col min="12555" max="12557" width="15.5703125" customWidth="1"/>
    <col min="12558" max="12558" width="13.7109375" customWidth="1"/>
    <col min="12802" max="12802" width="25.28515625" customWidth="1"/>
    <col min="12803" max="12803" width="12.42578125" customWidth="1"/>
    <col min="12804" max="12805" width="13.140625" customWidth="1"/>
    <col min="12806" max="12806" width="12.85546875" customWidth="1"/>
    <col min="12807" max="12807" width="13.28515625" customWidth="1"/>
    <col min="12808" max="12808" width="15" customWidth="1"/>
    <col min="12809" max="12810" width="13.42578125" customWidth="1"/>
    <col min="12811" max="12813" width="15.5703125" customWidth="1"/>
    <col min="12814" max="12814" width="13.7109375" customWidth="1"/>
    <col min="13058" max="13058" width="25.28515625" customWidth="1"/>
    <col min="13059" max="13059" width="12.42578125" customWidth="1"/>
    <col min="13060" max="13061" width="13.140625" customWidth="1"/>
    <col min="13062" max="13062" width="12.85546875" customWidth="1"/>
    <col min="13063" max="13063" width="13.28515625" customWidth="1"/>
    <col min="13064" max="13064" width="15" customWidth="1"/>
    <col min="13065" max="13066" width="13.42578125" customWidth="1"/>
    <col min="13067" max="13069" width="15.5703125" customWidth="1"/>
    <col min="13070" max="13070" width="13.7109375" customWidth="1"/>
    <col min="13314" max="13314" width="25.28515625" customWidth="1"/>
    <col min="13315" max="13315" width="12.42578125" customWidth="1"/>
    <col min="13316" max="13317" width="13.140625" customWidth="1"/>
    <col min="13318" max="13318" width="12.85546875" customWidth="1"/>
    <col min="13319" max="13319" width="13.28515625" customWidth="1"/>
    <col min="13320" max="13320" width="15" customWidth="1"/>
    <col min="13321" max="13322" width="13.42578125" customWidth="1"/>
    <col min="13323" max="13325" width="15.5703125" customWidth="1"/>
    <col min="13326" max="13326" width="13.7109375" customWidth="1"/>
    <col min="13570" max="13570" width="25.28515625" customWidth="1"/>
    <col min="13571" max="13571" width="12.42578125" customWidth="1"/>
    <col min="13572" max="13573" width="13.140625" customWidth="1"/>
    <col min="13574" max="13574" width="12.85546875" customWidth="1"/>
    <col min="13575" max="13575" width="13.28515625" customWidth="1"/>
    <col min="13576" max="13576" width="15" customWidth="1"/>
    <col min="13577" max="13578" width="13.42578125" customWidth="1"/>
    <col min="13579" max="13581" width="15.5703125" customWidth="1"/>
    <col min="13582" max="13582" width="13.7109375" customWidth="1"/>
    <col min="13826" max="13826" width="25.28515625" customWidth="1"/>
    <col min="13827" max="13827" width="12.42578125" customWidth="1"/>
    <col min="13828" max="13829" width="13.140625" customWidth="1"/>
    <col min="13830" max="13830" width="12.85546875" customWidth="1"/>
    <col min="13831" max="13831" width="13.28515625" customWidth="1"/>
    <col min="13832" max="13832" width="15" customWidth="1"/>
    <col min="13833" max="13834" width="13.42578125" customWidth="1"/>
    <col min="13835" max="13837" width="15.5703125" customWidth="1"/>
    <col min="13838" max="13838" width="13.7109375" customWidth="1"/>
    <col min="14082" max="14082" width="25.28515625" customWidth="1"/>
    <col min="14083" max="14083" width="12.42578125" customWidth="1"/>
    <col min="14084" max="14085" width="13.140625" customWidth="1"/>
    <col min="14086" max="14086" width="12.85546875" customWidth="1"/>
    <col min="14087" max="14087" width="13.28515625" customWidth="1"/>
    <col min="14088" max="14088" width="15" customWidth="1"/>
    <col min="14089" max="14090" width="13.42578125" customWidth="1"/>
    <col min="14091" max="14093" width="15.5703125" customWidth="1"/>
    <col min="14094" max="14094" width="13.7109375" customWidth="1"/>
    <col min="14338" max="14338" width="25.28515625" customWidth="1"/>
    <col min="14339" max="14339" width="12.42578125" customWidth="1"/>
    <col min="14340" max="14341" width="13.140625" customWidth="1"/>
    <col min="14342" max="14342" width="12.85546875" customWidth="1"/>
    <col min="14343" max="14343" width="13.28515625" customWidth="1"/>
    <col min="14344" max="14344" width="15" customWidth="1"/>
    <col min="14345" max="14346" width="13.42578125" customWidth="1"/>
    <col min="14347" max="14349" width="15.5703125" customWidth="1"/>
    <col min="14350" max="14350" width="13.7109375" customWidth="1"/>
    <col min="14594" max="14594" width="25.28515625" customWidth="1"/>
    <col min="14595" max="14595" width="12.42578125" customWidth="1"/>
    <col min="14596" max="14597" width="13.140625" customWidth="1"/>
    <col min="14598" max="14598" width="12.85546875" customWidth="1"/>
    <col min="14599" max="14599" width="13.28515625" customWidth="1"/>
    <col min="14600" max="14600" width="15" customWidth="1"/>
    <col min="14601" max="14602" width="13.42578125" customWidth="1"/>
    <col min="14603" max="14605" width="15.5703125" customWidth="1"/>
    <col min="14606" max="14606" width="13.7109375" customWidth="1"/>
    <col min="14850" max="14850" width="25.28515625" customWidth="1"/>
    <col min="14851" max="14851" width="12.42578125" customWidth="1"/>
    <col min="14852" max="14853" width="13.140625" customWidth="1"/>
    <col min="14854" max="14854" width="12.85546875" customWidth="1"/>
    <col min="14855" max="14855" width="13.28515625" customWidth="1"/>
    <col min="14856" max="14856" width="15" customWidth="1"/>
    <col min="14857" max="14858" width="13.42578125" customWidth="1"/>
    <col min="14859" max="14861" width="15.5703125" customWidth="1"/>
    <col min="14862" max="14862" width="13.7109375" customWidth="1"/>
    <col min="15106" max="15106" width="25.28515625" customWidth="1"/>
    <col min="15107" max="15107" width="12.42578125" customWidth="1"/>
    <col min="15108" max="15109" width="13.140625" customWidth="1"/>
    <col min="15110" max="15110" width="12.85546875" customWidth="1"/>
    <col min="15111" max="15111" width="13.28515625" customWidth="1"/>
    <col min="15112" max="15112" width="15" customWidth="1"/>
    <col min="15113" max="15114" width="13.42578125" customWidth="1"/>
    <col min="15115" max="15117" width="15.5703125" customWidth="1"/>
    <col min="15118" max="15118" width="13.7109375" customWidth="1"/>
    <col min="15362" max="15362" width="25.28515625" customWidth="1"/>
    <col min="15363" max="15363" width="12.42578125" customWidth="1"/>
    <col min="15364" max="15365" width="13.140625" customWidth="1"/>
    <col min="15366" max="15366" width="12.85546875" customWidth="1"/>
    <col min="15367" max="15367" width="13.28515625" customWidth="1"/>
    <col min="15368" max="15368" width="15" customWidth="1"/>
    <col min="15369" max="15370" width="13.42578125" customWidth="1"/>
    <col min="15371" max="15373" width="15.5703125" customWidth="1"/>
    <col min="15374" max="15374" width="13.7109375" customWidth="1"/>
    <col min="15618" max="15618" width="25.28515625" customWidth="1"/>
    <col min="15619" max="15619" width="12.42578125" customWidth="1"/>
    <col min="15620" max="15621" width="13.140625" customWidth="1"/>
    <col min="15622" max="15622" width="12.85546875" customWidth="1"/>
    <col min="15623" max="15623" width="13.28515625" customWidth="1"/>
    <col min="15624" max="15624" width="15" customWidth="1"/>
    <col min="15625" max="15626" width="13.42578125" customWidth="1"/>
    <col min="15627" max="15629" width="15.5703125" customWidth="1"/>
    <col min="15630" max="15630" width="13.7109375" customWidth="1"/>
    <col min="15874" max="15874" width="25.28515625" customWidth="1"/>
    <col min="15875" max="15875" width="12.42578125" customWidth="1"/>
    <col min="15876" max="15877" width="13.140625" customWidth="1"/>
    <col min="15878" max="15878" width="12.85546875" customWidth="1"/>
    <col min="15879" max="15879" width="13.28515625" customWidth="1"/>
    <col min="15880" max="15880" width="15" customWidth="1"/>
    <col min="15881" max="15882" width="13.42578125" customWidth="1"/>
    <col min="15883" max="15885" width="15.5703125" customWidth="1"/>
    <col min="15886" max="15886" width="13.7109375" customWidth="1"/>
    <col min="16130" max="16130" width="25.28515625" customWidth="1"/>
    <col min="16131" max="16131" width="12.42578125" customWidth="1"/>
    <col min="16132" max="16133" width="13.140625" customWidth="1"/>
    <col min="16134" max="16134" width="12.85546875" customWidth="1"/>
    <col min="16135" max="16135" width="13.28515625" customWidth="1"/>
    <col min="16136" max="16136" width="15" customWidth="1"/>
    <col min="16137" max="16138" width="13.42578125" customWidth="1"/>
    <col min="16139" max="16141" width="15.5703125" customWidth="1"/>
    <col min="16142" max="16142" width="13.7109375" customWidth="1"/>
  </cols>
  <sheetData>
    <row r="1" spans="1:15" ht="15.75">
      <c r="A1" s="1520" t="s">
        <v>418</v>
      </c>
      <c r="B1" s="1520"/>
      <c r="C1" s="1520"/>
      <c r="D1" s="1520"/>
      <c r="E1" s="1520"/>
      <c r="F1" s="1520"/>
      <c r="G1" s="1520"/>
      <c r="H1" s="1520"/>
      <c r="I1" s="1520"/>
      <c r="J1" s="1520"/>
      <c r="K1" s="1520"/>
      <c r="L1" s="1520"/>
      <c r="M1" s="1520"/>
      <c r="N1" s="1520"/>
    </row>
    <row r="2" spans="1:15" ht="15.75">
      <c r="B2" s="4"/>
      <c r="C2" s="4"/>
      <c r="D2" s="4"/>
      <c r="E2" s="4"/>
      <c r="F2" s="4"/>
      <c r="G2" s="4"/>
      <c r="H2" s="4"/>
      <c r="I2" s="3"/>
      <c r="J2" s="3"/>
      <c r="K2" s="3"/>
      <c r="L2" s="3"/>
      <c r="M2" s="3"/>
      <c r="N2" s="3"/>
    </row>
    <row r="3" spans="1:15" ht="15.75">
      <c r="A3" s="1520">
        <v>2023</v>
      </c>
      <c r="B3" s="1520"/>
      <c r="C3" s="1520"/>
      <c r="D3" s="1520"/>
      <c r="E3" s="1520"/>
      <c r="F3" s="1520"/>
      <c r="G3" s="1520"/>
      <c r="H3" s="1520"/>
      <c r="I3" s="1520"/>
      <c r="J3" s="1520"/>
      <c r="K3" s="1520"/>
      <c r="L3" s="1520"/>
      <c r="M3" s="1520"/>
      <c r="N3" s="1520"/>
    </row>
    <row r="4" spans="1:15" ht="15.75">
      <c r="B4" s="4"/>
      <c r="C4" s="4"/>
      <c r="D4" s="4"/>
      <c r="E4" s="4"/>
      <c r="F4" s="4"/>
      <c r="G4" s="4"/>
      <c r="H4" s="4"/>
      <c r="I4" s="3"/>
      <c r="J4" s="3"/>
      <c r="K4" s="3"/>
      <c r="L4" s="3"/>
      <c r="M4" s="3"/>
      <c r="N4" s="3"/>
    </row>
    <row r="7" spans="1:15" ht="37.5" customHeight="1">
      <c r="A7" s="1239" t="s">
        <v>398</v>
      </c>
      <c r="B7" s="1239" t="s">
        <v>399</v>
      </c>
      <c r="C7" s="1232" t="s">
        <v>350</v>
      </c>
      <c r="D7" s="1239" t="s">
        <v>404</v>
      </c>
      <c r="E7" s="1240" t="s">
        <v>405</v>
      </c>
      <c r="F7" s="1239" t="s">
        <v>406</v>
      </c>
      <c r="G7" s="1240" t="s">
        <v>407</v>
      </c>
      <c r="H7" s="1239" t="s">
        <v>408</v>
      </c>
      <c r="I7" s="1239" t="s">
        <v>266</v>
      </c>
      <c r="J7" s="1239" t="s">
        <v>409</v>
      </c>
      <c r="K7" s="1239" t="s">
        <v>265</v>
      </c>
      <c r="L7" s="1239" t="s">
        <v>1284</v>
      </c>
      <c r="M7" s="1239" t="s">
        <v>1285</v>
      </c>
      <c r="N7" s="1239" t="s">
        <v>410</v>
      </c>
    </row>
    <row r="8" spans="1:15" s="6" customFormat="1" ht="23.25" customHeight="1">
      <c r="A8" s="31"/>
      <c r="B8" s="36" t="s">
        <v>412</v>
      </c>
      <c r="C8" s="32">
        <v>4</v>
      </c>
      <c r="D8" s="33">
        <v>1</v>
      </c>
      <c r="E8" s="34">
        <v>1</v>
      </c>
      <c r="F8" s="33"/>
      <c r="G8" s="34"/>
      <c r="H8" s="33">
        <v>1</v>
      </c>
      <c r="I8" s="34"/>
      <c r="J8" s="33"/>
      <c r="K8" s="33"/>
      <c r="L8" s="33"/>
      <c r="M8" s="33"/>
      <c r="N8" s="52">
        <f>SUM(C8:M8)</f>
        <v>7</v>
      </c>
      <c r="O8" s="1497"/>
    </row>
    <row r="9" spans="1:15" s="6" customFormat="1" ht="23.25" customHeight="1">
      <c r="A9" s="33" t="s">
        <v>400</v>
      </c>
      <c r="B9" s="36" t="s">
        <v>413</v>
      </c>
      <c r="C9" s="32">
        <v>97</v>
      </c>
      <c r="D9" s="33">
        <v>300</v>
      </c>
      <c r="E9" s="34">
        <v>243</v>
      </c>
      <c r="F9" s="33">
        <v>45</v>
      </c>
      <c r="G9" s="34">
        <v>24</v>
      </c>
      <c r="H9" s="33">
        <v>121</v>
      </c>
      <c r="I9" s="34">
        <v>47</v>
      </c>
      <c r="J9" s="33">
        <v>55</v>
      </c>
      <c r="K9" s="33">
        <v>38</v>
      </c>
      <c r="L9" s="33">
        <v>33</v>
      </c>
      <c r="M9" s="33">
        <v>35</v>
      </c>
      <c r="N9" s="52">
        <f t="shared" ref="N9:N21" si="0">SUM(C9:M9)</f>
        <v>1038</v>
      </c>
      <c r="O9" s="1497"/>
    </row>
    <row r="10" spans="1:15" s="6" customFormat="1" ht="23.25" customHeight="1">
      <c r="A10" s="33">
        <v>18.834</v>
      </c>
      <c r="B10" s="36" t="s">
        <v>414</v>
      </c>
      <c r="C10" s="32">
        <v>13</v>
      </c>
      <c r="D10" s="33">
        <v>326</v>
      </c>
      <c r="E10" s="34">
        <v>285</v>
      </c>
      <c r="F10" s="33">
        <v>61</v>
      </c>
      <c r="G10" s="34">
        <v>34</v>
      </c>
      <c r="H10" s="33">
        <v>192</v>
      </c>
      <c r="I10" s="758">
        <v>32</v>
      </c>
      <c r="J10" s="759">
        <v>38</v>
      </c>
      <c r="K10" s="759">
        <v>29</v>
      </c>
      <c r="L10" s="759">
        <v>12</v>
      </c>
      <c r="M10" s="759">
        <v>11</v>
      </c>
      <c r="N10" s="52">
        <f t="shared" si="0"/>
        <v>1033</v>
      </c>
      <c r="O10" s="1497"/>
    </row>
    <row r="11" spans="1:15" s="6" customFormat="1" ht="23.25" customHeight="1">
      <c r="A11" s="33"/>
      <c r="B11" s="36" t="s">
        <v>353</v>
      </c>
      <c r="C11" s="32">
        <v>35</v>
      </c>
      <c r="D11" s="33">
        <v>105</v>
      </c>
      <c r="E11" s="34">
        <v>78</v>
      </c>
      <c r="F11" s="33">
        <v>10</v>
      </c>
      <c r="G11" s="34">
        <v>7</v>
      </c>
      <c r="H11" s="33">
        <v>33</v>
      </c>
      <c r="I11" s="758">
        <v>19</v>
      </c>
      <c r="J11" s="759">
        <v>26</v>
      </c>
      <c r="K11" s="759">
        <v>17</v>
      </c>
      <c r="L11" s="759">
        <v>7</v>
      </c>
      <c r="M11" s="759">
        <v>8</v>
      </c>
      <c r="N11" s="52">
        <f t="shared" si="0"/>
        <v>345</v>
      </c>
      <c r="O11" s="1497"/>
    </row>
    <row r="12" spans="1:15" s="6" customFormat="1" ht="23.25" customHeight="1">
      <c r="A12" s="33"/>
      <c r="B12" s="36" t="s">
        <v>354</v>
      </c>
      <c r="C12" s="32">
        <v>6</v>
      </c>
      <c r="D12" s="33">
        <v>81</v>
      </c>
      <c r="E12" s="34">
        <v>68</v>
      </c>
      <c r="F12" s="33">
        <v>27</v>
      </c>
      <c r="G12" s="34">
        <v>16</v>
      </c>
      <c r="H12" s="33">
        <v>146</v>
      </c>
      <c r="I12" s="34">
        <v>2</v>
      </c>
      <c r="J12" s="33">
        <v>3</v>
      </c>
      <c r="K12" s="33">
        <v>2</v>
      </c>
      <c r="L12" s="33"/>
      <c r="M12" s="33">
        <v>4</v>
      </c>
      <c r="N12" s="52">
        <f t="shared" si="0"/>
        <v>355</v>
      </c>
      <c r="O12" s="1497"/>
    </row>
    <row r="13" spans="1:15" s="6" customFormat="1" ht="23.25" customHeight="1">
      <c r="A13" s="40"/>
      <c r="B13" s="39" t="s">
        <v>401</v>
      </c>
      <c r="C13" s="38">
        <f t="shared" ref="C13:N13" si="1">SUM(C8:C12)</f>
        <v>155</v>
      </c>
      <c r="D13" s="38">
        <f t="shared" si="1"/>
        <v>813</v>
      </c>
      <c r="E13" s="38">
        <f t="shared" si="1"/>
        <v>675</v>
      </c>
      <c r="F13" s="38">
        <f t="shared" si="1"/>
        <v>143</v>
      </c>
      <c r="G13" s="38">
        <f t="shared" si="1"/>
        <v>81</v>
      </c>
      <c r="H13" s="38">
        <f t="shared" si="1"/>
        <v>493</v>
      </c>
      <c r="I13" s="38">
        <f t="shared" si="1"/>
        <v>100</v>
      </c>
      <c r="J13" s="38">
        <f t="shared" si="1"/>
        <v>122</v>
      </c>
      <c r="K13" s="38">
        <f t="shared" si="1"/>
        <v>86</v>
      </c>
      <c r="L13" s="38">
        <f t="shared" si="1"/>
        <v>52</v>
      </c>
      <c r="M13" s="38">
        <f t="shared" si="1"/>
        <v>58</v>
      </c>
      <c r="N13" s="53">
        <f t="shared" si="1"/>
        <v>2778</v>
      </c>
      <c r="O13" s="1497"/>
    </row>
    <row r="14" spans="1:15" s="6" customFormat="1" ht="23.25" customHeight="1">
      <c r="A14" s="43" t="s">
        <v>402</v>
      </c>
      <c r="B14" s="42" t="s">
        <v>355</v>
      </c>
      <c r="C14" s="41"/>
      <c r="D14" s="43">
        <v>77</v>
      </c>
      <c r="E14" s="754">
        <v>64</v>
      </c>
      <c r="F14" s="43"/>
      <c r="G14" s="754"/>
      <c r="H14" s="43">
        <v>6</v>
      </c>
      <c r="I14" s="754"/>
      <c r="J14" s="43"/>
      <c r="K14" s="43"/>
      <c r="L14" s="43"/>
      <c r="M14" s="43"/>
      <c r="N14" s="52">
        <f t="shared" si="0"/>
        <v>147</v>
      </c>
      <c r="O14" s="1497"/>
    </row>
    <row r="15" spans="1:15" s="6" customFormat="1" ht="23.25" customHeight="1">
      <c r="A15" s="33">
        <v>15.076000000000001</v>
      </c>
      <c r="B15" s="36" t="s">
        <v>356</v>
      </c>
      <c r="C15" s="32"/>
      <c r="D15" s="33"/>
      <c r="E15" s="34"/>
      <c r="F15" s="33"/>
      <c r="G15" s="34"/>
      <c r="H15" s="33"/>
      <c r="I15" s="34"/>
      <c r="J15" s="33"/>
      <c r="K15" s="33"/>
      <c r="L15" s="33"/>
      <c r="M15" s="33"/>
      <c r="N15" s="52">
        <f t="shared" si="0"/>
        <v>0</v>
      </c>
      <c r="O15" s="1497"/>
    </row>
    <row r="16" spans="1:15" s="6" customFormat="1" ht="23.25" customHeight="1">
      <c r="A16" s="40"/>
      <c r="B16" s="39" t="s">
        <v>401</v>
      </c>
      <c r="C16" s="38">
        <f t="shared" ref="C16:N16" si="2">SUM(C14:C15)</f>
        <v>0</v>
      </c>
      <c r="D16" s="38">
        <f t="shared" si="2"/>
        <v>77</v>
      </c>
      <c r="E16" s="38">
        <f t="shared" si="2"/>
        <v>64</v>
      </c>
      <c r="F16" s="38">
        <f t="shared" si="2"/>
        <v>0</v>
      </c>
      <c r="G16" s="38">
        <f t="shared" si="2"/>
        <v>0</v>
      </c>
      <c r="H16" s="38">
        <f t="shared" si="2"/>
        <v>6</v>
      </c>
      <c r="I16" s="38">
        <f t="shared" si="2"/>
        <v>0</v>
      </c>
      <c r="J16" s="38">
        <f t="shared" si="2"/>
        <v>0</v>
      </c>
      <c r="K16" s="38">
        <f t="shared" si="2"/>
        <v>0</v>
      </c>
      <c r="L16" s="38">
        <f t="shared" si="2"/>
        <v>0</v>
      </c>
      <c r="M16" s="38">
        <f t="shared" si="2"/>
        <v>0</v>
      </c>
      <c r="N16" s="53">
        <f t="shared" si="2"/>
        <v>147</v>
      </c>
      <c r="O16" s="1497"/>
    </row>
    <row r="17" spans="1:17" s="6" customFormat="1" ht="23.25" customHeight="1">
      <c r="A17" s="48"/>
      <c r="B17" s="45" t="s">
        <v>403</v>
      </c>
      <c r="C17" s="41"/>
      <c r="D17" s="43"/>
      <c r="E17" s="754"/>
      <c r="F17" s="43"/>
      <c r="G17" s="754"/>
      <c r="H17" s="43"/>
      <c r="I17" s="754"/>
      <c r="J17" s="43"/>
      <c r="K17" s="43"/>
      <c r="L17" s="43"/>
      <c r="M17" s="43"/>
      <c r="N17" s="52">
        <f t="shared" si="0"/>
        <v>0</v>
      </c>
      <c r="O17" s="1497"/>
    </row>
    <row r="18" spans="1:17" s="6" customFormat="1" ht="23.25" customHeight="1">
      <c r="A18" s="33" t="s">
        <v>400</v>
      </c>
      <c r="B18" s="46" t="s">
        <v>415</v>
      </c>
      <c r="C18" s="32">
        <v>51</v>
      </c>
      <c r="D18" s="33">
        <v>134</v>
      </c>
      <c r="E18" s="34">
        <v>91</v>
      </c>
      <c r="F18" s="33">
        <v>7</v>
      </c>
      <c r="G18" s="34">
        <v>5</v>
      </c>
      <c r="H18" s="33">
        <v>13</v>
      </c>
      <c r="I18" s="34">
        <v>13</v>
      </c>
      <c r="J18" s="33">
        <v>16</v>
      </c>
      <c r="K18" s="33">
        <v>12</v>
      </c>
      <c r="L18" s="33">
        <v>11</v>
      </c>
      <c r="M18" s="33">
        <v>9</v>
      </c>
      <c r="N18" s="52">
        <f t="shared" si="0"/>
        <v>362</v>
      </c>
      <c r="O18" s="1497"/>
    </row>
    <row r="19" spans="1:17" s="6" customFormat="1" ht="23.25" customHeight="1">
      <c r="A19" s="33">
        <v>19.664000000000001</v>
      </c>
      <c r="B19" s="46" t="s">
        <v>411</v>
      </c>
      <c r="C19" s="32">
        <v>11</v>
      </c>
      <c r="D19" s="33">
        <v>22</v>
      </c>
      <c r="E19" s="34">
        <v>22</v>
      </c>
      <c r="F19" s="33"/>
      <c r="G19" s="34"/>
      <c r="H19" s="33">
        <v>1</v>
      </c>
      <c r="I19" s="34">
        <v>8</v>
      </c>
      <c r="J19" s="33">
        <v>8</v>
      </c>
      <c r="K19" s="33">
        <v>6</v>
      </c>
      <c r="L19" s="33">
        <v>1</v>
      </c>
      <c r="M19" s="33"/>
      <c r="N19" s="52">
        <f t="shared" si="0"/>
        <v>79</v>
      </c>
      <c r="O19" s="1497"/>
      <c r="Q19" s="94"/>
    </row>
    <row r="20" spans="1:17" ht="23.25" customHeight="1">
      <c r="A20" s="31"/>
      <c r="B20" s="46" t="s">
        <v>416</v>
      </c>
      <c r="C20" s="32">
        <v>3</v>
      </c>
      <c r="D20" s="33">
        <v>5</v>
      </c>
      <c r="E20" s="34">
        <v>5</v>
      </c>
      <c r="F20" s="33">
        <v>1</v>
      </c>
      <c r="G20" s="34">
        <v>1</v>
      </c>
      <c r="H20" s="33">
        <v>2</v>
      </c>
      <c r="I20" s="34">
        <v>1</v>
      </c>
      <c r="J20" s="33">
        <v>1</v>
      </c>
      <c r="K20" s="33">
        <v>2</v>
      </c>
      <c r="L20" s="33">
        <v>1</v>
      </c>
      <c r="M20" s="33">
        <v>1</v>
      </c>
      <c r="N20" s="52">
        <f t="shared" si="0"/>
        <v>23</v>
      </c>
      <c r="O20" s="1497"/>
    </row>
    <row r="21" spans="1:17" ht="23.25" customHeight="1">
      <c r="A21" s="31"/>
      <c r="B21" s="46" t="s">
        <v>417</v>
      </c>
      <c r="C21" s="32">
        <v>1</v>
      </c>
      <c r="D21" s="32">
        <v>2</v>
      </c>
      <c r="E21" s="32">
        <v>1</v>
      </c>
      <c r="F21" s="32"/>
      <c r="G21" s="32"/>
      <c r="H21" s="32"/>
      <c r="I21" s="32"/>
      <c r="J21" s="32"/>
      <c r="K21" s="32"/>
      <c r="L21" s="32"/>
      <c r="M21" s="32"/>
      <c r="N21" s="52">
        <f t="shared" si="0"/>
        <v>4</v>
      </c>
      <c r="O21" s="1497"/>
    </row>
    <row r="22" spans="1:17" ht="23.25" customHeight="1">
      <c r="A22" s="49"/>
      <c r="B22" s="47" t="s">
        <v>401</v>
      </c>
      <c r="C22" s="38">
        <f>SUM(C18:C21)</f>
        <v>66</v>
      </c>
      <c r="D22" s="38">
        <f t="shared" ref="D22:K22" si="3">SUM(D18:D21)</f>
        <v>163</v>
      </c>
      <c r="E22" s="38">
        <f t="shared" si="3"/>
        <v>119</v>
      </c>
      <c r="F22" s="38">
        <f t="shared" si="3"/>
        <v>8</v>
      </c>
      <c r="G22" s="38">
        <f t="shared" si="3"/>
        <v>6</v>
      </c>
      <c r="H22" s="38">
        <f t="shared" si="3"/>
        <v>16</v>
      </c>
      <c r="I22" s="38">
        <f t="shared" si="3"/>
        <v>22</v>
      </c>
      <c r="J22" s="38">
        <f t="shared" si="3"/>
        <v>25</v>
      </c>
      <c r="K22" s="38">
        <f t="shared" si="3"/>
        <v>20</v>
      </c>
      <c r="L22" s="38">
        <f>SUM(L18:L21)</f>
        <v>13</v>
      </c>
      <c r="M22" s="38">
        <f>SUM(M18:M21)</f>
        <v>10</v>
      </c>
      <c r="N22" s="53">
        <f>SUM(N17:N21)</f>
        <v>468</v>
      </c>
      <c r="O22" s="1497"/>
    </row>
    <row r="23" spans="1:17" ht="23.25" customHeight="1">
      <c r="A23" s="51"/>
      <c r="B23" s="50" t="s">
        <v>357</v>
      </c>
      <c r="C23" s="35">
        <f t="shared" ref="C23:N23" si="4">+C13+C16+C22</f>
        <v>221</v>
      </c>
      <c r="D23" s="35">
        <f t="shared" si="4"/>
        <v>1053</v>
      </c>
      <c r="E23" s="35">
        <f t="shared" si="4"/>
        <v>858</v>
      </c>
      <c r="F23" s="35">
        <f t="shared" si="4"/>
        <v>151</v>
      </c>
      <c r="G23" s="35">
        <f t="shared" si="4"/>
        <v>87</v>
      </c>
      <c r="H23" s="35">
        <f t="shared" si="4"/>
        <v>515</v>
      </c>
      <c r="I23" s="35">
        <f t="shared" si="4"/>
        <v>122</v>
      </c>
      <c r="J23" s="35">
        <f t="shared" si="4"/>
        <v>147</v>
      </c>
      <c r="K23" s="35">
        <f t="shared" si="4"/>
        <v>106</v>
      </c>
      <c r="L23" s="35">
        <f>+L13+L16+L22</f>
        <v>65</v>
      </c>
      <c r="M23" s="35">
        <f>+M13+M16+M22</f>
        <v>68</v>
      </c>
      <c r="N23" s="55">
        <f t="shared" si="4"/>
        <v>3393</v>
      </c>
    </row>
    <row r="25" spans="1:17">
      <c r="N25" s="88"/>
    </row>
  </sheetData>
  <mergeCells count="2">
    <mergeCell ref="A1:N1"/>
    <mergeCell ref="A3:N3"/>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24"/>
  <sheetViews>
    <sheetView showGridLines="0" zoomScale="75" workbookViewId="0">
      <selection sqref="A1:XFD3"/>
    </sheetView>
  </sheetViews>
  <sheetFormatPr baseColWidth="10" defaultRowHeight="12.75"/>
  <cols>
    <col min="1" max="1" width="15.7109375" customWidth="1"/>
    <col min="2" max="2" width="27.28515625" customWidth="1"/>
    <col min="3" max="3" width="12.42578125" customWidth="1"/>
    <col min="4" max="5" width="13.28515625" customWidth="1"/>
    <col min="6" max="6" width="12.7109375" customWidth="1"/>
    <col min="7" max="8" width="13.28515625" customWidth="1"/>
    <col min="9" max="9" width="15" customWidth="1"/>
    <col min="10" max="13" width="13.42578125" customWidth="1"/>
    <col min="14" max="17" width="15.42578125" customWidth="1"/>
  </cols>
  <sheetData>
    <row r="1" spans="1:17" s="1496" customFormat="1" ht="15.75">
      <c r="A1" s="1521" t="s">
        <v>419</v>
      </c>
      <c r="B1" s="1521"/>
      <c r="C1" s="1521"/>
      <c r="D1" s="1521"/>
      <c r="E1" s="1521"/>
      <c r="F1" s="1521"/>
      <c r="G1" s="1521"/>
      <c r="H1" s="1521"/>
      <c r="I1" s="1521"/>
      <c r="J1" s="1521"/>
      <c r="K1" s="1521"/>
      <c r="L1" s="1521"/>
      <c r="M1" s="1521"/>
      <c r="N1" s="1521"/>
      <c r="O1" s="1521"/>
      <c r="P1" s="1521"/>
      <c r="Q1" s="1521"/>
    </row>
    <row r="2" spans="1:17" s="1496" customFormat="1" ht="15.75" customHeight="1">
      <c r="A2" s="1521" t="s">
        <v>1275</v>
      </c>
      <c r="B2" s="1521"/>
      <c r="C2" s="1521"/>
      <c r="D2" s="1521"/>
      <c r="E2" s="1521"/>
      <c r="F2" s="1521"/>
      <c r="G2" s="1521"/>
      <c r="H2" s="1521"/>
      <c r="I2" s="1521"/>
      <c r="J2" s="1521"/>
      <c r="K2" s="1521"/>
      <c r="L2" s="1521"/>
      <c r="M2" s="1521"/>
      <c r="N2" s="1521"/>
      <c r="O2" s="1521"/>
      <c r="P2" s="1521"/>
      <c r="Q2" s="1521"/>
    </row>
    <row r="3" spans="1:17" s="1496" customFormat="1" ht="15.75">
      <c r="A3" s="1521">
        <v>2023</v>
      </c>
      <c r="B3" s="1521"/>
      <c r="C3" s="1521"/>
      <c r="D3" s="1521"/>
      <c r="E3" s="1521"/>
      <c r="F3" s="1521"/>
      <c r="G3" s="1521"/>
      <c r="H3" s="1521"/>
      <c r="I3" s="1521"/>
      <c r="J3" s="1521"/>
      <c r="K3" s="1521"/>
      <c r="L3" s="1521"/>
      <c r="M3" s="1521"/>
      <c r="N3" s="1521"/>
      <c r="O3" s="1521"/>
      <c r="P3" s="1521"/>
      <c r="Q3" s="1521"/>
    </row>
    <row r="4" spans="1:17" ht="15.75">
      <c r="B4" s="4"/>
      <c r="C4" s="4"/>
      <c r="D4" s="4"/>
      <c r="E4" s="4"/>
      <c r="F4" s="4"/>
      <c r="G4" s="4"/>
      <c r="H4" s="4"/>
      <c r="I4" s="4"/>
      <c r="J4" s="3"/>
      <c r="K4" s="3"/>
      <c r="L4" s="3"/>
      <c r="M4" s="3"/>
      <c r="N4" s="3"/>
      <c r="O4" s="3"/>
      <c r="P4" s="3"/>
      <c r="Q4" s="3"/>
    </row>
    <row r="7" spans="1:17" ht="64.150000000000006" customHeight="1">
      <c r="A7" s="1239" t="s">
        <v>437</v>
      </c>
      <c r="B7" s="1241" t="s">
        <v>443</v>
      </c>
      <c r="C7" s="1232" t="s">
        <v>382</v>
      </c>
      <c r="D7" s="1239" t="s">
        <v>1481</v>
      </c>
      <c r="E7" s="1239" t="s">
        <v>433</v>
      </c>
      <c r="F7" s="1240" t="s">
        <v>434</v>
      </c>
      <c r="G7" s="1239" t="s">
        <v>387</v>
      </c>
      <c r="H7" s="1239" t="s">
        <v>1482</v>
      </c>
      <c r="I7" s="1240" t="s">
        <v>435</v>
      </c>
      <c r="J7" s="1239" t="s">
        <v>371</v>
      </c>
      <c r="K7" s="1239" t="s">
        <v>351</v>
      </c>
      <c r="L7" s="1239" t="s">
        <v>436</v>
      </c>
      <c r="M7" s="1239" t="s">
        <v>374</v>
      </c>
      <c r="N7" s="1240" t="s">
        <v>376</v>
      </c>
      <c r="O7" s="1239" t="s">
        <v>1403</v>
      </c>
      <c r="P7" s="1239" t="s">
        <v>1483</v>
      </c>
      <c r="Q7" s="1239" t="s">
        <v>410</v>
      </c>
    </row>
    <row r="8" spans="1:17" s="6" customFormat="1" ht="23.25" customHeight="1">
      <c r="A8" s="33"/>
      <c r="B8" s="36" t="s">
        <v>355</v>
      </c>
      <c r="C8" s="43">
        <v>13</v>
      </c>
      <c r="D8" s="43"/>
      <c r="E8" s="43">
        <v>10</v>
      </c>
      <c r="F8" s="43">
        <v>10</v>
      </c>
      <c r="G8" s="43">
        <v>7</v>
      </c>
      <c r="H8" s="43">
        <v>2</v>
      </c>
      <c r="I8" s="43">
        <v>11</v>
      </c>
      <c r="J8" s="43">
        <v>2</v>
      </c>
      <c r="K8" s="43">
        <v>13</v>
      </c>
      <c r="L8" s="43">
        <v>10</v>
      </c>
      <c r="M8" s="43">
        <v>6</v>
      </c>
      <c r="N8" s="43">
        <v>9</v>
      </c>
      <c r="O8" s="33">
        <v>1</v>
      </c>
      <c r="P8" s="33"/>
      <c r="Q8" s="52">
        <f>SUM(C8:P8)</f>
        <v>94</v>
      </c>
    </row>
    <row r="9" spans="1:17" s="6" customFormat="1" ht="23.25" customHeight="1">
      <c r="A9" s="33" t="s">
        <v>440</v>
      </c>
      <c r="B9" s="36" t="s">
        <v>421</v>
      </c>
      <c r="C9" s="33">
        <v>8</v>
      </c>
      <c r="D9" s="33"/>
      <c r="E9" s="33">
        <v>6</v>
      </c>
      <c r="F9" s="33">
        <v>7</v>
      </c>
      <c r="G9" s="33">
        <v>7</v>
      </c>
      <c r="H9" s="33"/>
      <c r="I9" s="33">
        <v>6</v>
      </c>
      <c r="J9" s="33">
        <v>2</v>
      </c>
      <c r="K9" s="33">
        <v>6</v>
      </c>
      <c r="L9" s="33">
        <v>6</v>
      </c>
      <c r="M9" s="33">
        <v>3</v>
      </c>
      <c r="N9" s="33">
        <v>7</v>
      </c>
      <c r="O9" s="33">
        <v>1</v>
      </c>
      <c r="P9" s="33"/>
      <c r="Q9" s="52">
        <f>SUM(C9:P9)</f>
        <v>59</v>
      </c>
    </row>
    <row r="10" spans="1:17" s="6" customFormat="1" ht="23.25" customHeight="1">
      <c r="A10" s="33"/>
      <c r="B10" s="623" t="s">
        <v>1042</v>
      </c>
      <c r="C10" s="33">
        <v>2</v>
      </c>
      <c r="D10" s="33"/>
      <c r="E10" s="33">
        <v>2</v>
      </c>
      <c r="F10" s="33">
        <v>1</v>
      </c>
      <c r="G10" s="33">
        <v>1</v>
      </c>
      <c r="H10" s="33">
        <v>1</v>
      </c>
      <c r="I10" s="33">
        <v>1</v>
      </c>
      <c r="J10" s="33">
        <v>1</v>
      </c>
      <c r="K10" s="33">
        <v>2</v>
      </c>
      <c r="L10" s="33">
        <v>2</v>
      </c>
      <c r="M10" s="33">
        <v>1</v>
      </c>
      <c r="N10" s="33">
        <v>1</v>
      </c>
      <c r="O10" s="33"/>
      <c r="P10" s="33"/>
      <c r="Q10" s="52">
        <f>SUM(C10:P10)</f>
        <v>15</v>
      </c>
    </row>
    <row r="11" spans="1:17" s="6" customFormat="1" ht="23.25" customHeight="1">
      <c r="A11" s="40" t="s">
        <v>441</v>
      </c>
      <c r="B11" s="39" t="s">
        <v>401</v>
      </c>
      <c r="C11" s="38">
        <f>SUM(C8:C10)</f>
        <v>23</v>
      </c>
      <c r="D11" s="38">
        <f>SUM(D8:D10)</f>
        <v>0</v>
      </c>
      <c r="E11" s="38">
        <f t="shared" ref="E11:P11" si="0">SUM(E8:E10)</f>
        <v>18</v>
      </c>
      <c r="F11" s="38">
        <f t="shared" si="0"/>
        <v>18</v>
      </c>
      <c r="G11" s="38">
        <f t="shared" si="0"/>
        <v>15</v>
      </c>
      <c r="H11" s="38">
        <f t="shared" si="0"/>
        <v>3</v>
      </c>
      <c r="I11" s="38">
        <f t="shared" si="0"/>
        <v>18</v>
      </c>
      <c r="J11" s="38">
        <f t="shared" si="0"/>
        <v>5</v>
      </c>
      <c r="K11" s="38">
        <f t="shared" si="0"/>
        <v>21</v>
      </c>
      <c r="L11" s="38">
        <f t="shared" si="0"/>
        <v>18</v>
      </c>
      <c r="M11" s="38">
        <f t="shared" si="0"/>
        <v>10</v>
      </c>
      <c r="N11" s="38">
        <f t="shared" si="0"/>
        <v>17</v>
      </c>
      <c r="O11" s="38">
        <f t="shared" si="0"/>
        <v>2</v>
      </c>
      <c r="P11" s="38">
        <f t="shared" si="0"/>
        <v>0</v>
      </c>
      <c r="Q11" s="40">
        <f>SUM(Q8:Q10)</f>
        <v>168</v>
      </c>
    </row>
    <row r="12" spans="1:17" s="6" customFormat="1" ht="23.25" customHeight="1">
      <c r="A12" s="43"/>
      <c r="B12" s="42" t="s">
        <v>424</v>
      </c>
      <c r="C12" s="43">
        <v>17</v>
      </c>
      <c r="D12" s="43"/>
      <c r="E12" s="43">
        <v>8</v>
      </c>
      <c r="F12" s="43">
        <v>6</v>
      </c>
      <c r="G12" s="43">
        <v>5</v>
      </c>
      <c r="H12" s="43"/>
      <c r="I12" s="43">
        <v>9</v>
      </c>
      <c r="J12" s="43">
        <v>3</v>
      </c>
      <c r="K12" s="43">
        <v>11</v>
      </c>
      <c r="L12" s="43">
        <v>9</v>
      </c>
      <c r="M12" s="43">
        <v>4</v>
      </c>
      <c r="N12" s="43">
        <v>9</v>
      </c>
      <c r="O12" s="43">
        <v>1</v>
      </c>
      <c r="P12" s="43"/>
      <c r="Q12" s="54">
        <f t="shared" ref="Q12:Q23" si="1">SUM(C12:P12)</f>
        <v>82</v>
      </c>
    </row>
    <row r="13" spans="1:17" s="6" customFormat="1" ht="23.25" customHeight="1">
      <c r="A13" s="33"/>
      <c r="B13" s="36" t="s">
        <v>423</v>
      </c>
      <c r="C13" s="33">
        <v>7</v>
      </c>
      <c r="D13" s="33"/>
      <c r="E13" s="33">
        <v>5</v>
      </c>
      <c r="F13" s="33">
        <v>3</v>
      </c>
      <c r="G13" s="33">
        <v>3</v>
      </c>
      <c r="H13" s="33"/>
      <c r="I13" s="33">
        <v>8</v>
      </c>
      <c r="J13" s="33">
        <v>2</v>
      </c>
      <c r="K13" s="33">
        <v>4</v>
      </c>
      <c r="L13" s="33">
        <v>6</v>
      </c>
      <c r="M13" s="33">
        <v>3</v>
      </c>
      <c r="N13" s="33">
        <v>5</v>
      </c>
      <c r="O13" s="33">
        <v>1</v>
      </c>
      <c r="P13" s="33"/>
      <c r="Q13" s="52">
        <f t="shared" si="1"/>
        <v>47</v>
      </c>
    </row>
    <row r="14" spans="1:17" s="6" customFormat="1" ht="23.25" customHeight="1">
      <c r="A14" s="33"/>
      <c r="B14" s="36" t="s">
        <v>422</v>
      </c>
      <c r="C14" s="33">
        <v>7</v>
      </c>
      <c r="D14" s="33"/>
      <c r="E14" s="33">
        <v>5</v>
      </c>
      <c r="F14" s="33">
        <v>4</v>
      </c>
      <c r="G14" s="33">
        <v>4</v>
      </c>
      <c r="H14" s="33"/>
      <c r="I14" s="33">
        <v>5</v>
      </c>
      <c r="J14" s="33">
        <v>2</v>
      </c>
      <c r="K14" s="33">
        <v>4</v>
      </c>
      <c r="L14" s="33">
        <v>6</v>
      </c>
      <c r="M14" s="33">
        <v>3</v>
      </c>
      <c r="N14" s="33">
        <v>5</v>
      </c>
      <c r="O14" s="33">
        <v>1</v>
      </c>
      <c r="P14" s="33"/>
      <c r="Q14" s="52">
        <f t="shared" si="1"/>
        <v>46</v>
      </c>
    </row>
    <row r="15" spans="1:17" s="6" customFormat="1" ht="23.25" customHeight="1">
      <c r="A15" s="33" t="s">
        <v>440</v>
      </c>
      <c r="B15" s="36" t="s">
        <v>425</v>
      </c>
      <c r="C15" s="33">
        <v>6</v>
      </c>
      <c r="D15" s="33"/>
      <c r="E15" s="33">
        <v>5</v>
      </c>
      <c r="F15" s="33">
        <v>4</v>
      </c>
      <c r="G15" s="33">
        <v>2</v>
      </c>
      <c r="H15" s="33"/>
      <c r="I15" s="33">
        <v>5</v>
      </c>
      <c r="J15" s="33">
        <v>2</v>
      </c>
      <c r="K15" s="33">
        <v>5</v>
      </c>
      <c r="L15" s="33">
        <v>2</v>
      </c>
      <c r="M15" s="33">
        <v>2</v>
      </c>
      <c r="N15" s="33">
        <v>5</v>
      </c>
      <c r="O15" s="33">
        <v>1</v>
      </c>
      <c r="P15" s="33"/>
      <c r="Q15" s="52">
        <f t="shared" si="1"/>
        <v>39</v>
      </c>
    </row>
    <row r="16" spans="1:17" s="6" customFormat="1" ht="23.25" customHeight="1">
      <c r="A16" s="33" t="s">
        <v>442</v>
      </c>
      <c r="B16" s="36" t="s">
        <v>426</v>
      </c>
      <c r="C16" s="33">
        <v>10</v>
      </c>
      <c r="D16" s="33"/>
      <c r="E16" s="33">
        <v>4</v>
      </c>
      <c r="F16" s="33">
        <v>5</v>
      </c>
      <c r="G16" s="33">
        <v>4</v>
      </c>
      <c r="H16" s="33"/>
      <c r="I16" s="33">
        <v>5</v>
      </c>
      <c r="J16" s="33">
        <v>1</v>
      </c>
      <c r="K16" s="33">
        <v>4</v>
      </c>
      <c r="L16" s="33">
        <v>5</v>
      </c>
      <c r="M16" s="33">
        <v>4</v>
      </c>
      <c r="N16" s="33">
        <v>4</v>
      </c>
      <c r="O16" s="33">
        <v>1</v>
      </c>
      <c r="P16" s="33"/>
      <c r="Q16" s="52">
        <f t="shared" si="1"/>
        <v>47</v>
      </c>
    </row>
    <row r="17" spans="1:17" s="6" customFormat="1" ht="23.25" customHeight="1">
      <c r="A17" s="33"/>
      <c r="B17" s="36" t="s">
        <v>427</v>
      </c>
      <c r="C17" s="33">
        <v>11</v>
      </c>
      <c r="D17" s="33"/>
      <c r="E17" s="33">
        <v>6</v>
      </c>
      <c r="F17" s="33">
        <v>8</v>
      </c>
      <c r="G17" s="33">
        <v>5</v>
      </c>
      <c r="H17" s="33"/>
      <c r="I17" s="33">
        <v>5</v>
      </c>
      <c r="J17" s="33">
        <v>2</v>
      </c>
      <c r="K17" s="33">
        <v>10</v>
      </c>
      <c r="L17" s="33">
        <v>7</v>
      </c>
      <c r="M17" s="33">
        <v>3</v>
      </c>
      <c r="N17" s="33">
        <v>5</v>
      </c>
      <c r="O17" s="33">
        <v>1</v>
      </c>
      <c r="P17" s="33"/>
      <c r="Q17" s="52">
        <f t="shared" si="1"/>
        <v>63</v>
      </c>
    </row>
    <row r="18" spans="1:17" s="6" customFormat="1" ht="23.25" customHeight="1">
      <c r="A18" s="33"/>
      <c r="B18" s="36" t="s">
        <v>428</v>
      </c>
      <c r="C18" s="33">
        <v>18</v>
      </c>
      <c r="D18" s="33">
        <v>3</v>
      </c>
      <c r="E18" s="33">
        <v>12</v>
      </c>
      <c r="F18" s="33">
        <v>13</v>
      </c>
      <c r="G18" s="33">
        <v>5</v>
      </c>
      <c r="H18" s="33">
        <v>2</v>
      </c>
      <c r="I18" s="33">
        <v>10</v>
      </c>
      <c r="J18" s="33">
        <v>3</v>
      </c>
      <c r="K18" s="33">
        <v>11</v>
      </c>
      <c r="L18" s="33">
        <v>12</v>
      </c>
      <c r="M18" s="33">
        <v>9</v>
      </c>
      <c r="N18" s="33">
        <v>11</v>
      </c>
      <c r="O18" s="33"/>
      <c r="P18" s="33">
        <v>8</v>
      </c>
      <c r="Q18" s="52">
        <f t="shared" si="1"/>
        <v>117</v>
      </c>
    </row>
    <row r="19" spans="1:17" s="6" customFormat="1" ht="23.25" customHeight="1">
      <c r="A19" s="40"/>
      <c r="B19" s="39" t="s">
        <v>401</v>
      </c>
      <c r="C19" s="38">
        <f t="shared" ref="C19:K19" si="2">SUM(C12:C18)</f>
        <v>76</v>
      </c>
      <c r="D19" s="38">
        <f>SUM(D12:D18)</f>
        <v>3</v>
      </c>
      <c r="E19" s="38">
        <f t="shared" si="2"/>
        <v>45</v>
      </c>
      <c r="F19" s="38">
        <f t="shared" si="2"/>
        <v>43</v>
      </c>
      <c r="G19" s="38">
        <f t="shared" si="2"/>
        <v>28</v>
      </c>
      <c r="H19" s="38">
        <f t="shared" si="2"/>
        <v>2</v>
      </c>
      <c r="I19" s="38">
        <f t="shared" si="2"/>
        <v>47</v>
      </c>
      <c r="J19" s="38">
        <f t="shared" si="2"/>
        <v>15</v>
      </c>
      <c r="K19" s="38">
        <f t="shared" si="2"/>
        <v>49</v>
      </c>
      <c r="L19" s="38">
        <f>SUM(L12:L18)</f>
        <v>47</v>
      </c>
      <c r="M19" s="38">
        <f>SUM(M12:M18)</f>
        <v>28</v>
      </c>
      <c r="N19" s="38">
        <f>SUM(N12:N18)</f>
        <v>44</v>
      </c>
      <c r="O19" s="38">
        <f>SUM(O12:O18)</f>
        <v>6</v>
      </c>
      <c r="P19" s="38">
        <f>SUM(P12:P18)</f>
        <v>8</v>
      </c>
      <c r="Q19" s="1003">
        <f t="shared" si="1"/>
        <v>441</v>
      </c>
    </row>
    <row r="20" spans="1:17" s="6" customFormat="1" ht="23.25" customHeight="1">
      <c r="A20" s="44"/>
      <c r="B20" s="42" t="s">
        <v>429</v>
      </c>
      <c r="C20" s="43">
        <v>74</v>
      </c>
      <c r="D20" s="43">
        <v>1</v>
      </c>
      <c r="E20" s="43">
        <v>47</v>
      </c>
      <c r="F20" s="43">
        <v>43</v>
      </c>
      <c r="G20" s="43">
        <v>27</v>
      </c>
      <c r="H20" s="43">
        <v>1</v>
      </c>
      <c r="I20" s="43">
        <v>49</v>
      </c>
      <c r="J20" s="43">
        <v>13</v>
      </c>
      <c r="K20" s="43">
        <v>39</v>
      </c>
      <c r="L20" s="43">
        <v>50</v>
      </c>
      <c r="M20" s="43">
        <v>26</v>
      </c>
      <c r="N20" s="43">
        <v>40</v>
      </c>
      <c r="O20" s="43">
        <v>4</v>
      </c>
      <c r="P20" s="43">
        <v>3</v>
      </c>
      <c r="Q20" s="52">
        <f t="shared" si="1"/>
        <v>417</v>
      </c>
    </row>
    <row r="21" spans="1:17" s="6" customFormat="1" ht="23.25" customHeight="1">
      <c r="A21" s="32" t="s">
        <v>438</v>
      </c>
      <c r="B21" s="36" t="s">
        <v>430</v>
      </c>
      <c r="C21" s="33"/>
      <c r="D21" s="33"/>
      <c r="E21" s="33">
        <v>4</v>
      </c>
      <c r="F21" s="33"/>
      <c r="G21" s="33">
        <v>3</v>
      </c>
      <c r="H21" s="33">
        <v>1</v>
      </c>
      <c r="I21" s="33">
        <v>1</v>
      </c>
      <c r="J21" s="33"/>
      <c r="K21" s="33">
        <v>1</v>
      </c>
      <c r="L21" s="33"/>
      <c r="M21" s="33">
        <v>1</v>
      </c>
      <c r="N21" s="33">
        <v>1</v>
      </c>
      <c r="O21" s="33"/>
      <c r="P21" s="33"/>
      <c r="Q21" s="52">
        <f t="shared" si="1"/>
        <v>12</v>
      </c>
    </row>
    <row r="22" spans="1:17" s="6" customFormat="1" ht="23.25" customHeight="1">
      <c r="A22" s="32" t="s">
        <v>439</v>
      </c>
      <c r="B22" s="36" t="s">
        <v>431</v>
      </c>
      <c r="C22" s="33">
        <v>6</v>
      </c>
      <c r="D22" s="33"/>
      <c r="E22" s="33">
        <v>13</v>
      </c>
      <c r="F22" s="33">
        <v>8</v>
      </c>
      <c r="G22" s="33">
        <v>3</v>
      </c>
      <c r="H22" s="33"/>
      <c r="I22" s="33">
        <v>3</v>
      </c>
      <c r="J22" s="33">
        <v>2</v>
      </c>
      <c r="K22" s="33">
        <v>8</v>
      </c>
      <c r="L22" s="33">
        <v>9</v>
      </c>
      <c r="M22" s="33">
        <v>2</v>
      </c>
      <c r="N22" s="33">
        <v>10</v>
      </c>
      <c r="O22" s="33"/>
      <c r="P22" s="33"/>
      <c r="Q22" s="52">
        <f t="shared" si="1"/>
        <v>64</v>
      </c>
    </row>
    <row r="23" spans="1:17" ht="23.25" customHeight="1">
      <c r="A23" s="37"/>
      <c r="B23" s="39" t="s">
        <v>432</v>
      </c>
      <c r="C23" s="40">
        <v>26</v>
      </c>
      <c r="D23" s="40"/>
      <c r="E23" s="40">
        <v>18</v>
      </c>
      <c r="F23" s="40">
        <v>18</v>
      </c>
      <c r="G23" s="40">
        <v>6</v>
      </c>
      <c r="H23" s="40"/>
      <c r="I23" s="40">
        <v>5</v>
      </c>
      <c r="J23" s="40">
        <v>2</v>
      </c>
      <c r="K23" s="40">
        <v>14</v>
      </c>
      <c r="L23" s="40">
        <v>14</v>
      </c>
      <c r="M23" s="40">
        <v>10</v>
      </c>
      <c r="N23" s="40">
        <v>8</v>
      </c>
      <c r="O23" s="40">
        <v>2</v>
      </c>
      <c r="P23" s="40">
        <v>1</v>
      </c>
      <c r="Q23" s="52">
        <f t="shared" si="1"/>
        <v>124</v>
      </c>
    </row>
    <row r="24" spans="1:17" ht="23.25" customHeight="1">
      <c r="A24" s="51"/>
      <c r="B24" s="50" t="s">
        <v>357</v>
      </c>
      <c r="C24" s="35">
        <f t="shared" ref="C24:Q24" si="3">+C11+C19+C20+C21+C22+C23</f>
        <v>205</v>
      </c>
      <c r="D24" s="35">
        <f>+D11+D19+D20+D21+D22+D23</f>
        <v>4</v>
      </c>
      <c r="E24" s="35">
        <f t="shared" si="3"/>
        <v>145</v>
      </c>
      <c r="F24" s="35">
        <f t="shared" si="3"/>
        <v>130</v>
      </c>
      <c r="G24" s="35">
        <f t="shared" si="3"/>
        <v>82</v>
      </c>
      <c r="H24" s="35">
        <f t="shared" si="3"/>
        <v>7</v>
      </c>
      <c r="I24" s="35">
        <f t="shared" si="3"/>
        <v>123</v>
      </c>
      <c r="J24" s="35">
        <f t="shared" si="3"/>
        <v>37</v>
      </c>
      <c r="K24" s="35">
        <f t="shared" si="3"/>
        <v>132</v>
      </c>
      <c r="L24" s="35">
        <f t="shared" si="3"/>
        <v>138</v>
      </c>
      <c r="M24" s="35">
        <f t="shared" si="3"/>
        <v>77</v>
      </c>
      <c r="N24" s="35">
        <f t="shared" si="3"/>
        <v>120</v>
      </c>
      <c r="O24" s="35">
        <f t="shared" si="3"/>
        <v>14</v>
      </c>
      <c r="P24" s="35">
        <f t="shared" si="3"/>
        <v>12</v>
      </c>
      <c r="Q24" s="55">
        <f t="shared" si="3"/>
        <v>1226</v>
      </c>
    </row>
  </sheetData>
  <mergeCells count="3">
    <mergeCell ref="A1:Q1"/>
    <mergeCell ref="A3:Q3"/>
    <mergeCell ref="A2:Q2"/>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sheetPr>
  <dimension ref="A1:M19"/>
  <sheetViews>
    <sheetView showGridLines="0" zoomScaleNormal="100" workbookViewId="0">
      <selection activeCell="R45" sqref="R45"/>
    </sheetView>
  </sheetViews>
  <sheetFormatPr baseColWidth="10" defaultRowHeight="12.75"/>
  <cols>
    <col min="2" max="2" width="34" customWidth="1"/>
  </cols>
  <sheetData>
    <row r="1" spans="1:13" ht="25.5" customHeight="1">
      <c r="A1" s="1523"/>
      <c r="B1" s="1523"/>
      <c r="C1" s="1523"/>
      <c r="D1" s="1523"/>
      <c r="E1" s="1523"/>
      <c r="F1" s="1523"/>
      <c r="G1" s="1523"/>
      <c r="H1" s="1523"/>
      <c r="I1" s="1523"/>
      <c r="J1" s="1523"/>
      <c r="K1" s="1523"/>
      <c r="L1" s="1523"/>
    </row>
    <row r="4" spans="1:13" ht="26.25" customHeight="1">
      <c r="B4" s="706"/>
      <c r="C4" s="1522"/>
      <c r="D4" s="1522"/>
      <c r="E4" s="1522"/>
      <c r="F4" s="1522"/>
      <c r="G4" s="1522"/>
      <c r="H4" s="1522"/>
      <c r="I4" s="1522"/>
      <c r="J4" s="1522"/>
      <c r="K4" s="1522"/>
      <c r="L4" s="1522"/>
      <c r="M4" s="1522"/>
    </row>
    <row r="6" spans="1:13" ht="24.75" customHeight="1">
      <c r="B6" s="706"/>
      <c r="C6" s="1522"/>
      <c r="D6" s="1522"/>
      <c r="E6" s="1522"/>
      <c r="F6" s="1522"/>
      <c r="G6" s="1522"/>
      <c r="H6" s="1522"/>
      <c r="I6" s="1522"/>
      <c r="J6" s="1522"/>
      <c r="K6" s="1522"/>
      <c r="L6" s="1522"/>
      <c r="M6" s="1522"/>
    </row>
    <row r="9" spans="1:13" ht="29.25" customHeight="1">
      <c r="B9" s="706"/>
      <c r="C9" s="1522"/>
      <c r="D9" s="1522"/>
      <c r="E9" s="1522"/>
      <c r="F9" s="1522"/>
      <c r="G9" s="1522"/>
      <c r="H9" s="1522"/>
      <c r="I9" s="1522"/>
      <c r="J9" s="1522"/>
      <c r="K9" s="1522"/>
      <c r="L9" s="1522"/>
      <c r="M9" s="1522"/>
    </row>
    <row r="10" spans="1:13" ht="23.25">
      <c r="A10" s="131"/>
      <c r="B10" s="1"/>
      <c r="C10" s="1"/>
      <c r="D10" s="1"/>
      <c r="E10" s="1"/>
      <c r="F10" s="1"/>
      <c r="G10" s="1"/>
    </row>
    <row r="11" spans="1:13" ht="33.75" customHeight="1">
      <c r="A11" s="131"/>
      <c r="B11" s="706"/>
      <c r="C11" s="1522"/>
      <c r="D11" s="1522"/>
      <c r="E11" s="1522"/>
      <c r="F11" s="1522"/>
      <c r="G11" s="1522"/>
      <c r="H11" s="1522"/>
      <c r="I11" s="1522"/>
      <c r="J11" s="1522"/>
      <c r="K11" s="1522"/>
      <c r="L11" s="1522"/>
      <c r="M11" s="1522"/>
    </row>
    <row r="12" spans="1:13" ht="23.25">
      <c r="A12" s="131"/>
      <c r="B12" s="1"/>
      <c r="C12" s="1"/>
      <c r="D12" s="1"/>
      <c r="E12" s="1"/>
      <c r="F12" s="1"/>
      <c r="G12" s="1"/>
    </row>
    <row r="13" spans="1:13" ht="32.25" customHeight="1">
      <c r="A13" s="131"/>
      <c r="B13" s="706"/>
      <c r="C13" s="1522"/>
      <c r="D13" s="1522"/>
      <c r="E13" s="1522"/>
      <c r="F13" s="1522"/>
      <c r="G13" s="1522"/>
      <c r="H13" s="1522"/>
      <c r="I13" s="1522"/>
      <c r="J13" s="1522"/>
      <c r="K13" s="1522"/>
      <c r="L13" s="1522"/>
      <c r="M13" s="1522"/>
    </row>
    <row r="14" spans="1:13" ht="23.25">
      <c r="A14" s="131"/>
      <c r="B14" s="1"/>
      <c r="C14" s="1"/>
      <c r="D14" s="1"/>
      <c r="E14" s="1"/>
      <c r="F14" s="1"/>
      <c r="G14" s="1"/>
    </row>
    <row r="15" spans="1:13" ht="23.25">
      <c r="A15" s="131"/>
      <c r="B15" s="1"/>
      <c r="C15" s="1"/>
      <c r="D15" s="1"/>
      <c r="E15" s="1"/>
      <c r="F15" s="1"/>
      <c r="G15" s="1"/>
    </row>
    <row r="16" spans="1:13" ht="23.25">
      <c r="A16" s="131"/>
      <c r="B16" s="1"/>
      <c r="C16" s="1"/>
      <c r="D16" s="1"/>
      <c r="E16" s="1"/>
      <c r="F16" s="1"/>
      <c r="G16" s="1"/>
    </row>
    <row r="17" spans="1:7" ht="23.25">
      <c r="A17" s="131"/>
      <c r="B17" s="1"/>
      <c r="C17" s="1"/>
      <c r="D17" s="1"/>
      <c r="E17" s="1"/>
      <c r="F17" s="1"/>
      <c r="G17" s="1"/>
    </row>
    <row r="18" spans="1:7" ht="23.25">
      <c r="A18" s="131"/>
      <c r="B18" s="1"/>
      <c r="C18" s="1"/>
      <c r="D18" s="1"/>
      <c r="E18" s="1"/>
      <c r="F18" s="1"/>
      <c r="G18" s="1"/>
    </row>
    <row r="19" spans="1:7">
      <c r="A19" s="1"/>
      <c r="B19" s="1"/>
      <c r="C19" s="1"/>
      <c r="D19" s="1"/>
      <c r="E19" s="1"/>
      <c r="F19" s="1"/>
      <c r="G19" s="1"/>
    </row>
  </sheetData>
  <mergeCells count="6">
    <mergeCell ref="C13:M13"/>
    <mergeCell ref="A1:L1"/>
    <mergeCell ref="C4:M4"/>
    <mergeCell ref="C6:M6"/>
    <mergeCell ref="C9:M9"/>
    <mergeCell ref="C11:M11"/>
  </mergeCells>
  <printOptions gridLinesSet="0"/>
  <pageMargins left="1.1023622047244095" right="0.70866141732283461" top="0.74803149606299213" bottom="0.74803149606299213" header="0.31496062992125984" footer="0.31496062992125984"/>
  <pageSetup paperSize="14" scale="58" orientation="portrait" verticalDpi="300" r:id="rId1"/>
  <headerFooter alignWithMargins="0"/>
  <rowBreaks count="1" manualBreakCount="1">
    <brk id="67" max="16383" man="1"/>
  </rowBreaks>
  <colBreaks count="1" manualBreakCount="1">
    <brk id="11" max="70"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E24"/>
  <sheetViews>
    <sheetView zoomScaleNormal="100" workbookViewId="0">
      <selection activeCell="J20" sqref="J20"/>
    </sheetView>
  </sheetViews>
  <sheetFormatPr baseColWidth="10" defaultRowHeight="12.75"/>
  <cols>
    <col min="1" max="1" width="5.7109375" customWidth="1"/>
    <col min="2" max="3" width="7" customWidth="1"/>
    <col min="4" max="5" width="5.7109375" customWidth="1"/>
    <col min="6" max="31" width="4.5703125" customWidth="1"/>
  </cols>
  <sheetData>
    <row r="1" spans="1:31">
      <c r="A1" s="87"/>
      <c r="B1" s="87" t="s">
        <v>613</v>
      </c>
      <c r="C1" s="140"/>
      <c r="D1" s="140"/>
      <c r="E1" s="140"/>
      <c r="F1" s="140"/>
      <c r="G1" s="140"/>
      <c r="H1" s="140"/>
      <c r="I1" s="140"/>
      <c r="J1" s="86"/>
      <c r="K1" s="86"/>
      <c r="L1" s="86"/>
      <c r="M1" s="86"/>
      <c r="N1" s="86"/>
      <c r="O1" s="86"/>
      <c r="P1" s="86"/>
      <c r="Q1" s="86"/>
      <c r="R1" s="86"/>
      <c r="S1" s="86"/>
      <c r="T1" s="86"/>
      <c r="U1" s="86"/>
      <c r="V1" s="86"/>
      <c r="W1" s="86"/>
      <c r="X1" s="86"/>
      <c r="Y1" s="86"/>
      <c r="Z1" s="86"/>
      <c r="AA1" s="86"/>
      <c r="AB1" s="86"/>
      <c r="AC1" s="86"/>
      <c r="AD1" s="86"/>
      <c r="AE1" s="86"/>
    </row>
    <row r="2" spans="1:31">
      <c r="A2" s="140"/>
      <c r="B2" s="140"/>
      <c r="C2" s="140"/>
      <c r="D2" s="177"/>
      <c r="E2" s="140"/>
      <c r="F2" s="140"/>
      <c r="G2" s="140"/>
      <c r="H2" s="140"/>
      <c r="I2" s="140"/>
      <c r="J2" s="86"/>
      <c r="K2" s="86"/>
      <c r="L2" s="86"/>
      <c r="M2" s="86"/>
      <c r="N2" s="86"/>
      <c r="O2" s="86"/>
      <c r="P2" s="86"/>
      <c r="Q2" s="86"/>
      <c r="R2" s="86"/>
      <c r="S2" s="86"/>
      <c r="T2" s="86"/>
      <c r="U2" s="86"/>
      <c r="V2" s="86"/>
      <c r="W2" s="86"/>
      <c r="X2" s="86"/>
      <c r="Y2" s="86"/>
      <c r="Z2" s="86"/>
      <c r="AA2" s="86"/>
      <c r="AB2" s="86"/>
      <c r="AC2" s="86"/>
      <c r="AD2" s="86"/>
      <c r="AE2" s="86"/>
    </row>
    <row r="3" spans="1:31">
      <c r="A3" s="87" t="str">
        <f>+'7'!A3</f>
        <v>AÑOS   2014  - 2023</v>
      </c>
      <c r="B3" s="140"/>
      <c r="C3" s="140"/>
      <c r="D3" s="140"/>
      <c r="E3" s="140"/>
      <c r="F3" s="140"/>
      <c r="G3" s="140"/>
      <c r="H3" s="140"/>
      <c r="I3" s="140"/>
      <c r="J3" s="86"/>
      <c r="K3" s="86"/>
      <c r="L3" s="86"/>
      <c r="M3" s="86"/>
      <c r="N3" s="86"/>
      <c r="O3" s="86"/>
      <c r="P3" s="86"/>
      <c r="Q3" s="86"/>
      <c r="R3" s="86"/>
      <c r="S3" s="86"/>
      <c r="T3" s="86"/>
      <c r="U3" s="86"/>
      <c r="V3" s="86"/>
      <c r="W3" s="86"/>
      <c r="X3" s="86"/>
      <c r="Y3" s="86"/>
      <c r="Z3" s="86"/>
      <c r="AA3" s="86"/>
      <c r="AB3" s="86"/>
      <c r="AC3" s="86"/>
      <c r="AD3" s="86"/>
      <c r="AE3" s="86"/>
    </row>
    <row r="4" spans="1:31">
      <c r="A4" s="86"/>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row>
    <row r="5" spans="1:31">
      <c r="A5" s="1"/>
      <c r="B5" s="86"/>
      <c r="C5" s="86"/>
      <c r="D5" s="86"/>
      <c r="E5" s="86"/>
      <c r="F5" s="86"/>
      <c r="G5" s="86"/>
      <c r="H5" s="86"/>
      <c r="I5" s="86"/>
      <c r="J5" s="178"/>
      <c r="K5" s="86"/>
      <c r="L5" s="86"/>
      <c r="M5" s="86"/>
      <c r="N5" s="86"/>
      <c r="O5" s="86"/>
      <c r="P5" s="86"/>
      <c r="Q5" s="86"/>
      <c r="R5" s="86"/>
      <c r="S5" s="86"/>
      <c r="T5" s="86"/>
      <c r="U5" s="86"/>
      <c r="V5" s="86"/>
      <c r="W5" s="86"/>
      <c r="X5" s="86"/>
      <c r="Y5" s="86"/>
      <c r="Z5" s="86"/>
      <c r="AA5" s="86"/>
      <c r="AB5" s="86"/>
      <c r="AC5" s="86"/>
      <c r="AD5" s="86"/>
      <c r="AE5" s="86"/>
    </row>
    <row r="6" spans="1:31" s="179" customFormat="1" ht="20.25" customHeight="1">
      <c r="A6" s="1007"/>
      <c r="B6" s="1008"/>
      <c r="C6" s="1009"/>
      <c r="D6" s="1008"/>
      <c r="E6" s="1009"/>
      <c r="F6" s="1008"/>
      <c r="G6" s="1009"/>
      <c r="H6" s="1010"/>
      <c r="I6" s="1011"/>
      <c r="J6" s="1012" t="s">
        <v>596</v>
      </c>
      <c r="K6" s="1012"/>
      <c r="L6" s="1012"/>
      <c r="M6" s="1012"/>
      <c r="N6" s="1012"/>
      <c r="O6" s="1012"/>
      <c r="P6" s="1012"/>
      <c r="Q6" s="1012"/>
      <c r="R6" s="1012"/>
      <c r="S6" s="1012"/>
      <c r="T6" s="1012"/>
      <c r="U6" s="1012"/>
      <c r="V6" s="1012"/>
      <c r="W6" s="1012"/>
      <c r="X6" s="1012"/>
      <c r="Y6" s="1012"/>
      <c r="Z6" s="1012"/>
      <c r="AA6" s="1012"/>
      <c r="AB6" s="1012"/>
      <c r="AC6" s="1012"/>
      <c r="AD6" s="1011"/>
      <c r="AE6" s="1013"/>
    </row>
    <row r="7" spans="1:31">
      <c r="A7" s="1014"/>
      <c r="B7" s="1015"/>
      <c r="C7" s="1016"/>
      <c r="D7" s="1015"/>
      <c r="E7" s="1016"/>
      <c r="F7" s="1017" t="s">
        <v>604</v>
      </c>
      <c r="G7" s="1017"/>
      <c r="H7" s="1018" t="s">
        <v>605</v>
      </c>
      <c r="I7" s="1019"/>
      <c r="J7" s="1020"/>
      <c r="K7" s="1021"/>
      <c r="L7" s="1020"/>
      <c r="M7" s="1021"/>
      <c r="N7" s="1020"/>
      <c r="O7" s="1021"/>
      <c r="P7" s="1020"/>
      <c r="Q7" s="1021"/>
      <c r="R7" s="1018" t="s">
        <v>605</v>
      </c>
      <c r="S7" s="1019"/>
      <c r="T7" s="1020"/>
      <c r="U7" s="1021"/>
      <c r="V7" s="1020"/>
      <c r="W7" s="1021"/>
      <c r="X7" s="1020"/>
      <c r="Y7" s="1021"/>
      <c r="Z7" s="1022"/>
      <c r="AA7" s="1021"/>
      <c r="AB7" s="1020"/>
      <c r="AC7" s="1021"/>
      <c r="AD7" s="1020"/>
      <c r="AE7" s="1021"/>
    </row>
    <row r="8" spans="1:31" ht="17.25" customHeight="1">
      <c r="A8" s="1023" t="s">
        <v>597</v>
      </c>
      <c r="B8" s="1024" t="s">
        <v>602</v>
      </c>
      <c r="C8" s="1024"/>
      <c r="D8" s="1024" t="s">
        <v>603</v>
      </c>
      <c r="E8" s="1025"/>
      <c r="F8" s="1024" t="s">
        <v>606</v>
      </c>
      <c r="G8" s="1025"/>
      <c r="H8" s="1024" t="s">
        <v>587</v>
      </c>
      <c r="I8" s="1025"/>
      <c r="J8" s="1024" t="s">
        <v>587</v>
      </c>
      <c r="K8" s="1025"/>
      <c r="L8" s="1026" t="s">
        <v>384</v>
      </c>
      <c r="M8" s="1027"/>
      <c r="N8" s="1024" t="s">
        <v>608</v>
      </c>
      <c r="O8" s="1025"/>
      <c r="P8" s="1024" t="s">
        <v>387</v>
      </c>
      <c r="Q8" s="1025"/>
      <c r="R8" s="1024" t="s">
        <v>609</v>
      </c>
      <c r="S8" s="1025"/>
      <c r="T8" s="1024" t="s">
        <v>609</v>
      </c>
      <c r="U8" s="1025"/>
      <c r="V8" s="1024" t="s">
        <v>351</v>
      </c>
      <c r="W8" s="1025"/>
      <c r="X8" s="1024" t="s">
        <v>369</v>
      </c>
      <c r="Y8" s="1025"/>
      <c r="Z8" s="1024" t="s">
        <v>374</v>
      </c>
      <c r="AA8" s="1025"/>
      <c r="AB8" s="1024" t="s">
        <v>610</v>
      </c>
      <c r="AC8" s="1025"/>
      <c r="AD8" s="1024" t="s">
        <v>376</v>
      </c>
      <c r="AE8" s="1025"/>
    </row>
    <row r="9" spans="1:31" ht="18.75" customHeight="1">
      <c r="A9" s="1028"/>
      <c r="B9" s="1029" t="s">
        <v>614</v>
      </c>
      <c r="C9" s="1030" t="s">
        <v>615</v>
      </c>
      <c r="D9" s="1029" t="s">
        <v>614</v>
      </c>
      <c r="E9" s="1030" t="s">
        <v>615</v>
      </c>
      <c r="F9" s="1029" t="s">
        <v>614</v>
      </c>
      <c r="G9" s="1030" t="s">
        <v>615</v>
      </c>
      <c r="H9" s="1029" t="s">
        <v>614</v>
      </c>
      <c r="I9" s="1030" t="s">
        <v>615</v>
      </c>
      <c r="J9" s="1029" t="s">
        <v>614</v>
      </c>
      <c r="K9" s="1030" t="s">
        <v>615</v>
      </c>
      <c r="L9" s="1029" t="s">
        <v>614</v>
      </c>
      <c r="M9" s="1031" t="s">
        <v>615</v>
      </c>
      <c r="N9" s="1029" t="s">
        <v>614</v>
      </c>
      <c r="O9" s="1031" t="s">
        <v>615</v>
      </c>
      <c r="P9" s="1029" t="s">
        <v>614</v>
      </c>
      <c r="Q9" s="1031" t="s">
        <v>615</v>
      </c>
      <c r="R9" s="1029" t="s">
        <v>614</v>
      </c>
      <c r="S9" s="1030" t="s">
        <v>615</v>
      </c>
      <c r="T9" s="1029" t="s">
        <v>614</v>
      </c>
      <c r="U9" s="1031" t="s">
        <v>615</v>
      </c>
      <c r="V9" s="1029" t="s">
        <v>614</v>
      </c>
      <c r="W9" s="1031" t="s">
        <v>615</v>
      </c>
      <c r="X9" s="1029" t="s">
        <v>614</v>
      </c>
      <c r="Y9" s="1031" t="s">
        <v>615</v>
      </c>
      <c r="Z9" s="1029" t="s">
        <v>614</v>
      </c>
      <c r="AA9" s="1031" t="s">
        <v>615</v>
      </c>
      <c r="AB9" s="1029" t="s">
        <v>614</v>
      </c>
      <c r="AC9" s="1031" t="s">
        <v>615</v>
      </c>
      <c r="AD9" s="1029" t="s">
        <v>614</v>
      </c>
      <c r="AE9" s="1031" t="s">
        <v>615</v>
      </c>
    </row>
    <row r="10" spans="1:31">
      <c r="A10" s="141"/>
      <c r="B10" s="142"/>
      <c r="C10" s="180"/>
      <c r="D10" s="142"/>
      <c r="E10" s="180"/>
      <c r="F10" s="142"/>
      <c r="G10" s="180"/>
      <c r="H10" s="185"/>
      <c r="I10" s="185"/>
      <c r="J10" s="142"/>
      <c r="K10" s="180"/>
      <c r="L10" s="142"/>
      <c r="M10" s="180"/>
      <c r="N10" s="142"/>
      <c r="O10" s="180"/>
      <c r="P10" s="142"/>
      <c r="Q10" s="180"/>
      <c r="R10" s="185"/>
      <c r="S10" s="185"/>
      <c r="T10" s="142"/>
      <c r="U10" s="180"/>
      <c r="V10" s="142"/>
      <c r="W10" s="180"/>
      <c r="X10" s="142"/>
      <c r="Y10" s="180"/>
      <c r="Z10" s="142"/>
      <c r="AA10" s="180"/>
      <c r="AB10" s="142"/>
      <c r="AC10" s="180"/>
      <c r="AD10" s="185"/>
      <c r="AE10" s="180"/>
    </row>
    <row r="11" spans="1:31" ht="26.25" customHeight="1">
      <c r="A11" s="186">
        <v>2014</v>
      </c>
      <c r="B11" s="190">
        <v>243858</v>
      </c>
      <c r="C11" s="187">
        <v>13.709424933086876</v>
      </c>
      <c r="D11" s="152">
        <v>24246</v>
      </c>
      <c r="E11" s="187">
        <v>13.28662974657532</v>
      </c>
      <c r="F11" s="152">
        <v>3753</v>
      </c>
      <c r="G11" s="187">
        <v>14.24510075571531</v>
      </c>
      <c r="H11" s="153">
        <v>1561</v>
      </c>
      <c r="I11" s="197">
        <v>14.417659554816662</v>
      </c>
      <c r="J11" s="152">
        <v>1024</v>
      </c>
      <c r="K11" s="187">
        <v>15.635974958008857</v>
      </c>
      <c r="L11" s="152">
        <v>254</v>
      </c>
      <c r="M11" s="187">
        <v>13.672085262138014</v>
      </c>
      <c r="N11" s="152">
        <v>151</v>
      </c>
      <c r="O11" s="187">
        <v>10.506540495407737</v>
      </c>
      <c r="P11" s="152">
        <v>132</v>
      </c>
      <c r="Q11" s="187">
        <v>13.428280773143438</v>
      </c>
      <c r="R11" s="153">
        <v>2192</v>
      </c>
      <c r="S11" s="197">
        <v>14.124712447402844</v>
      </c>
      <c r="T11" s="152">
        <v>1101</v>
      </c>
      <c r="U11" s="187">
        <v>14.294245949314499</v>
      </c>
      <c r="V11" s="152">
        <v>194</v>
      </c>
      <c r="W11" s="187">
        <v>11.622334052240594</v>
      </c>
      <c r="X11" s="152">
        <v>193</v>
      </c>
      <c r="Y11" s="187">
        <v>7.7525607551717215</v>
      </c>
      <c r="Z11" s="152">
        <v>115</v>
      </c>
      <c r="AA11" s="187">
        <v>15.930184236043775</v>
      </c>
      <c r="AB11" s="152">
        <v>392</v>
      </c>
      <c r="AC11" s="187">
        <v>15.746133761799557</v>
      </c>
      <c r="AD11" s="152">
        <v>197</v>
      </c>
      <c r="AE11" s="187">
        <v>13.893786585795896</v>
      </c>
    </row>
    <row r="12" spans="1:31" ht="26.25" customHeight="1">
      <c r="A12" s="186">
        <v>2015</v>
      </c>
      <c r="B12" s="190">
        <v>244670</v>
      </c>
      <c r="C12" s="187">
        <v>13.614392138007101</v>
      </c>
      <c r="D12" s="152">
        <v>23598</v>
      </c>
      <c r="E12" s="187">
        <v>12.792955038167982</v>
      </c>
      <c r="F12" s="152">
        <v>3859</v>
      </c>
      <c r="G12" s="187">
        <v>14.488128669900433</v>
      </c>
      <c r="H12" s="153">
        <v>1578</v>
      </c>
      <c r="I12" s="197">
        <v>14.415303242072953</v>
      </c>
      <c r="J12" s="152">
        <v>969</v>
      </c>
      <c r="K12" s="187">
        <v>14.719509045890234</v>
      </c>
      <c r="L12" s="152">
        <v>241</v>
      </c>
      <c r="M12" s="187">
        <v>12.756047213253586</v>
      </c>
      <c r="N12" s="152">
        <v>221</v>
      </c>
      <c r="O12" s="187">
        <v>15.042199836645793</v>
      </c>
      <c r="P12" s="152">
        <v>147</v>
      </c>
      <c r="Q12" s="187">
        <v>14.625410406924683</v>
      </c>
      <c r="R12" s="153">
        <v>2281</v>
      </c>
      <c r="S12" s="197">
        <v>14.538941544658963</v>
      </c>
      <c r="T12" s="152">
        <v>1189</v>
      </c>
      <c r="U12" s="187">
        <v>15.2486726344679</v>
      </c>
      <c r="V12" s="152">
        <v>223</v>
      </c>
      <c r="W12" s="187">
        <v>13.250935884485116</v>
      </c>
      <c r="X12" s="152">
        <v>222</v>
      </c>
      <c r="Y12" s="187">
        <v>8.8340628730600876</v>
      </c>
      <c r="Z12" s="152">
        <v>110</v>
      </c>
      <c r="AA12" s="187">
        <v>15.122353588122079</v>
      </c>
      <c r="AB12" s="152">
        <v>353</v>
      </c>
      <c r="AC12" s="187">
        <v>14.046955829685634</v>
      </c>
      <c r="AD12" s="152">
        <v>184</v>
      </c>
      <c r="AE12" s="187">
        <v>12.841091492776886</v>
      </c>
    </row>
    <row r="13" spans="1:31" ht="26.25" customHeight="1">
      <c r="A13" s="186">
        <v>2016</v>
      </c>
      <c r="B13" s="190">
        <v>230850</v>
      </c>
      <c r="C13" s="187">
        <v>12.707003471706372</v>
      </c>
      <c r="D13" s="152">
        <v>17897</v>
      </c>
      <c r="E13" s="187">
        <v>9.6007304215534433</v>
      </c>
      <c r="F13" s="152">
        <v>3291</v>
      </c>
      <c r="G13" s="187">
        <v>12.223340600730205</v>
      </c>
      <c r="H13" s="153">
        <v>1357</v>
      </c>
      <c r="I13" s="197">
        <v>12.262122060976271</v>
      </c>
      <c r="J13" s="152">
        <v>852</v>
      </c>
      <c r="K13" s="187">
        <v>12.877871825876664</v>
      </c>
      <c r="L13" s="152">
        <v>199</v>
      </c>
      <c r="M13" s="187">
        <v>10.362964120189554</v>
      </c>
      <c r="N13" s="152">
        <v>190</v>
      </c>
      <c r="O13" s="187">
        <v>12.647274179591292</v>
      </c>
      <c r="P13" s="152">
        <v>116</v>
      </c>
      <c r="Q13" s="187">
        <v>11.284046692607003</v>
      </c>
      <c r="R13" s="153">
        <v>1934</v>
      </c>
      <c r="S13" s="197">
        <v>12.196275532404634</v>
      </c>
      <c r="T13" s="152">
        <v>1040</v>
      </c>
      <c r="U13" s="187">
        <v>13.178402625543294</v>
      </c>
      <c r="V13" s="152">
        <v>177</v>
      </c>
      <c r="W13" s="187">
        <v>10.434475033897305</v>
      </c>
      <c r="X13" s="152">
        <v>196</v>
      </c>
      <c r="Y13" s="187">
        <v>7.7277924535741045</v>
      </c>
      <c r="Z13" s="152">
        <v>88</v>
      </c>
      <c r="AA13" s="187">
        <v>12.008733624454148</v>
      </c>
      <c r="AB13" s="152">
        <v>278</v>
      </c>
      <c r="AC13" s="187">
        <v>10.960848480069393</v>
      </c>
      <c r="AD13" s="152">
        <v>155</v>
      </c>
      <c r="AE13" s="187">
        <v>10.706638115631691</v>
      </c>
    </row>
    <row r="14" spans="1:31" ht="26.25" customHeight="1">
      <c r="A14" s="186">
        <v>2017</v>
      </c>
      <c r="B14" s="190">
        <v>219333</v>
      </c>
      <c r="C14" s="187">
        <v>11.907851332458014</v>
      </c>
      <c r="D14" s="152">
        <v>20333</v>
      </c>
      <c r="E14" s="187">
        <v>10.781315285469166</v>
      </c>
      <c r="F14" s="152">
        <v>2979</v>
      </c>
      <c r="G14" s="187">
        <v>10.933995955265679</v>
      </c>
      <c r="H14" s="153">
        <v>1198</v>
      </c>
      <c r="I14" s="197">
        <v>10.696715090582783</v>
      </c>
      <c r="J14" s="152">
        <v>717</v>
      </c>
      <c r="K14" s="187">
        <v>10.770293817220454</v>
      </c>
      <c r="L14" s="152">
        <v>170</v>
      </c>
      <c r="M14" s="187">
        <v>8.6996571311601265</v>
      </c>
      <c r="N14" s="152">
        <v>177</v>
      </c>
      <c r="O14" s="187">
        <v>11.515190943985427</v>
      </c>
      <c r="P14" s="152">
        <v>134</v>
      </c>
      <c r="Q14" s="187">
        <v>12.746123846666032</v>
      </c>
      <c r="R14" s="153">
        <v>1781</v>
      </c>
      <c r="S14" s="197">
        <v>11.099616094131724</v>
      </c>
      <c r="T14" s="152">
        <v>950</v>
      </c>
      <c r="U14" s="187">
        <v>11.880791886044445</v>
      </c>
      <c r="V14" s="152">
        <v>170</v>
      </c>
      <c r="W14" s="187">
        <v>9.9322271558775412</v>
      </c>
      <c r="X14" s="152">
        <v>143</v>
      </c>
      <c r="Y14" s="187">
        <v>5.5802700382424097</v>
      </c>
      <c r="Z14" s="152">
        <v>70</v>
      </c>
      <c r="AA14" s="187">
        <v>9.4671355152826617</v>
      </c>
      <c r="AB14" s="152">
        <v>291</v>
      </c>
      <c r="AC14" s="187">
        <v>11.355654413486302</v>
      </c>
      <c r="AD14" s="152">
        <v>157</v>
      </c>
      <c r="AE14" s="187">
        <v>10.721846616130573</v>
      </c>
    </row>
    <row r="15" spans="1:31" ht="26.25" customHeight="1">
      <c r="A15" s="186">
        <v>2018</v>
      </c>
      <c r="B15" s="190">
        <v>221731</v>
      </c>
      <c r="C15" s="187">
        <v>11.824767264106343</v>
      </c>
      <c r="D15" s="152">
        <v>21333</v>
      </c>
      <c r="E15" s="187">
        <v>11.166859036267558</v>
      </c>
      <c r="F15" s="152">
        <v>3112</v>
      </c>
      <c r="G15" s="187">
        <v>11.273156701225123</v>
      </c>
      <c r="H15" s="153">
        <v>1149</v>
      </c>
      <c r="I15" s="197">
        <v>10.124775298720525</v>
      </c>
      <c r="J15" s="152">
        <v>717</v>
      </c>
      <c r="K15" s="187">
        <v>10.690164154403542</v>
      </c>
      <c r="L15" s="152">
        <v>171</v>
      </c>
      <c r="M15" s="187">
        <v>8.5908063300678208</v>
      </c>
      <c r="N15" s="152">
        <v>139</v>
      </c>
      <c r="O15" s="187">
        <v>8.8287601626016272</v>
      </c>
      <c r="P15" s="152">
        <v>122</v>
      </c>
      <c r="Q15" s="187">
        <v>11.334076551467856</v>
      </c>
      <c r="R15" s="153">
        <v>1963</v>
      </c>
      <c r="S15" s="197">
        <v>12.074798548317649</v>
      </c>
      <c r="T15" s="152">
        <v>1026</v>
      </c>
      <c r="U15" s="187">
        <v>12.647928994082839</v>
      </c>
      <c r="V15" s="152">
        <v>216</v>
      </c>
      <c r="W15" s="187">
        <v>12.491325468424705</v>
      </c>
      <c r="X15" s="152">
        <v>162</v>
      </c>
      <c r="Y15" s="187">
        <v>6.2487945998071357</v>
      </c>
      <c r="Z15" s="152">
        <v>88</v>
      </c>
      <c r="AA15" s="187">
        <v>11.777301927194861</v>
      </c>
      <c r="AB15" s="152">
        <v>299</v>
      </c>
      <c r="AC15" s="187">
        <v>11.533269045323047</v>
      </c>
      <c r="AD15" s="152">
        <v>172</v>
      </c>
      <c r="AE15" s="187">
        <v>11.597329917065606</v>
      </c>
    </row>
    <row r="16" spans="1:31" ht="26.25" customHeight="1">
      <c r="A16" s="186">
        <v>2019</v>
      </c>
      <c r="B16" s="190">
        <v>208713</v>
      </c>
      <c r="C16" s="187">
        <v>10.923255381631735</v>
      </c>
      <c r="D16" s="152">
        <v>19434</v>
      </c>
      <c r="E16" s="187">
        <v>10.041049778992537</v>
      </c>
      <c r="F16" s="152">
        <v>3103</v>
      </c>
      <c r="G16" s="187">
        <v>11.09335506958819</v>
      </c>
      <c r="H16" s="153">
        <v>1198</v>
      </c>
      <c r="I16" s="197">
        <v>10.419565822432508</v>
      </c>
      <c r="J16" s="152">
        <v>728</v>
      </c>
      <c r="K16" s="187">
        <v>10.771939688975039</v>
      </c>
      <c r="L16" s="152">
        <v>188</v>
      </c>
      <c r="M16" s="187">
        <v>9.2720457683961328</v>
      </c>
      <c r="N16" s="152">
        <v>163</v>
      </c>
      <c r="O16" s="187">
        <v>10.119823679145714</v>
      </c>
      <c r="P16" s="152">
        <v>119</v>
      </c>
      <c r="Q16" s="187">
        <v>10.80835603996367</v>
      </c>
      <c r="R16" s="153">
        <v>1905</v>
      </c>
      <c r="S16" s="197">
        <v>11.563605902598624</v>
      </c>
      <c r="T16" s="152">
        <v>1041</v>
      </c>
      <c r="U16" s="187">
        <v>12.647001652249976</v>
      </c>
      <c r="V16" s="152">
        <v>170</v>
      </c>
      <c r="W16" s="187">
        <v>9.7304103943678086</v>
      </c>
      <c r="X16" s="152">
        <v>147</v>
      </c>
      <c r="Y16" s="187">
        <v>5.6038426349496797</v>
      </c>
      <c r="Z16" s="152">
        <v>73</v>
      </c>
      <c r="AA16" s="187">
        <v>9.6650337614193038</v>
      </c>
      <c r="AB16" s="152">
        <v>312</v>
      </c>
      <c r="AC16" s="187">
        <v>11.893870082342177</v>
      </c>
      <c r="AD16" s="152">
        <v>162</v>
      </c>
      <c r="AE16" s="187">
        <v>10.783465353125209</v>
      </c>
    </row>
    <row r="17" spans="1:31" ht="26.25" customHeight="1">
      <c r="A17" s="186">
        <v>2020</v>
      </c>
      <c r="B17" s="190">
        <v>196041</v>
      </c>
      <c r="C17" s="187">
        <v>10.255224257865368</v>
      </c>
      <c r="D17" s="152">
        <v>18431</v>
      </c>
      <c r="E17" s="187">
        <v>9.4027558834182745</v>
      </c>
      <c r="F17" s="152">
        <v>2610</v>
      </c>
      <c r="G17" s="187">
        <v>9.2107027660340339</v>
      </c>
      <c r="H17" s="153">
        <v>976</v>
      </c>
      <c r="I17" s="197">
        <v>8.3790489436045359</v>
      </c>
      <c r="J17" s="152">
        <v>590</v>
      </c>
      <c r="K17" s="187">
        <v>8.6646204455670919</v>
      </c>
      <c r="L17" s="152">
        <v>161</v>
      </c>
      <c r="M17" s="187">
        <v>7.7992539844014921</v>
      </c>
      <c r="N17" s="152">
        <v>133</v>
      </c>
      <c r="O17" s="187">
        <v>8.0694090522994788</v>
      </c>
      <c r="P17" s="152">
        <v>92</v>
      </c>
      <c r="Q17" s="187">
        <v>8.1683388084879702</v>
      </c>
      <c r="R17" s="153">
        <v>1634</v>
      </c>
      <c r="S17" s="197">
        <v>9.7911735626329506</v>
      </c>
      <c r="T17" s="152">
        <v>870</v>
      </c>
      <c r="U17" s="187">
        <v>10.419910412724267</v>
      </c>
      <c r="V17" s="152">
        <v>176</v>
      </c>
      <c r="W17" s="187">
        <v>9.9744970246528766</v>
      </c>
      <c r="X17" s="152">
        <v>136</v>
      </c>
      <c r="Y17" s="187">
        <v>5.1256925338258013</v>
      </c>
      <c r="Z17" s="152">
        <v>64</v>
      </c>
      <c r="AA17" s="187">
        <v>8.3846456177125646</v>
      </c>
      <c r="AB17" s="152">
        <v>261</v>
      </c>
      <c r="AC17" s="187">
        <v>9.8368069950627532</v>
      </c>
      <c r="AD17" s="152">
        <v>127</v>
      </c>
      <c r="AE17" s="187">
        <v>8.3481233155853563</v>
      </c>
    </row>
    <row r="18" spans="1:31" ht="26.25" customHeight="1">
      <c r="A18" s="186">
        <v>2021</v>
      </c>
      <c r="B18" s="190">
        <v>177273</v>
      </c>
      <c r="C18" s="187">
        <v>9.1774224009184415</v>
      </c>
      <c r="D18" s="152">
        <v>13720</v>
      </c>
      <c r="E18" s="187">
        <v>6.9314879004614083</v>
      </c>
      <c r="F18" s="152">
        <f>+J18+L18+N18+P18+T18+V18+X18+Z18+AB18+AD18</f>
        <v>2201</v>
      </c>
      <c r="G18" s="187">
        <v>7.6905875035814866</v>
      </c>
      <c r="H18" s="153">
        <f>+J18+L18+N18+P18</f>
        <v>868</v>
      </c>
      <c r="I18" s="197">
        <v>7.379195429659605</v>
      </c>
      <c r="J18" s="152">
        <v>501</v>
      </c>
      <c r="K18" s="187">
        <v>7.3244543208432624</v>
      </c>
      <c r="L18" s="152">
        <v>159</v>
      </c>
      <c r="M18" s="187">
        <v>7.5887743413516606</v>
      </c>
      <c r="N18" s="152">
        <v>123</v>
      </c>
      <c r="O18" s="187">
        <v>7.319685789097834</v>
      </c>
      <c r="P18" s="152">
        <v>85</v>
      </c>
      <c r="Q18" s="187">
        <v>7.4099904106006456</v>
      </c>
      <c r="R18" s="153">
        <f>+T18+V18+X18+Z18+AB18+AD18</f>
        <v>1333</v>
      </c>
      <c r="S18" s="197">
        <v>7.9078817792437377</v>
      </c>
      <c r="T18" s="152">
        <v>692</v>
      </c>
      <c r="U18" s="187">
        <v>8.1946829297175672</v>
      </c>
      <c r="V18" s="152">
        <v>126</v>
      </c>
      <c r="W18" s="187">
        <v>7.0914002701485819</v>
      </c>
      <c r="X18" s="152">
        <v>97</v>
      </c>
      <c r="Y18" s="187">
        <v>3.6248131539611359</v>
      </c>
      <c r="Z18" s="152">
        <v>68</v>
      </c>
      <c r="AA18" s="187">
        <v>8.8380556277618911</v>
      </c>
      <c r="AB18" s="152">
        <v>230</v>
      </c>
      <c r="AC18" s="187">
        <v>8.5949177877428991</v>
      </c>
      <c r="AD18" s="152">
        <v>120</v>
      </c>
      <c r="AE18" s="187">
        <v>7.8125</v>
      </c>
    </row>
    <row r="19" spans="1:31" ht="26.25" customHeight="1">
      <c r="A19" s="186">
        <v>2022</v>
      </c>
      <c r="B19" s="190">
        <v>198583</v>
      </c>
      <c r="C19" s="187">
        <f>+B19/'7'!B19*1000</f>
        <v>10.187304444466333</v>
      </c>
      <c r="D19" s="152">
        <v>15369</v>
      </c>
      <c r="E19" s="187">
        <f>+D19/'7'!C19*1000</f>
        <v>7.7016824535538788</v>
      </c>
      <c r="F19" s="152">
        <f>+J19+L19+N19+P19+T19+V19+X19+Z19+AB19+AD19</f>
        <v>2402</v>
      </c>
      <c r="G19" s="187">
        <f>+F19/'7'!D19*1000</f>
        <v>8.323543986222143</v>
      </c>
      <c r="H19" s="153">
        <f>+J19+L19+N19+P19</f>
        <v>950</v>
      </c>
      <c r="I19" s="197">
        <f>+H19/'7'!E19*1000</f>
        <v>8.010928593112288</v>
      </c>
      <c r="J19" s="152">
        <v>567</v>
      </c>
      <c r="K19" s="187">
        <f>+J19/'7'!F19*1000</f>
        <v>8.2650651584501915</v>
      </c>
      <c r="L19" s="152">
        <v>150</v>
      </c>
      <c r="M19" s="187">
        <f>+L19/'7'!G19*1000</f>
        <v>7.066804861961745</v>
      </c>
      <c r="N19" s="152">
        <v>139</v>
      </c>
      <c r="O19" s="187">
        <f>+N19/'7'!H19*1000</f>
        <v>8.1300813008130088</v>
      </c>
      <c r="P19" s="152">
        <v>94</v>
      </c>
      <c r="Q19" s="187">
        <f>+P19/'7'!I19*1000</f>
        <v>8.0596758981394157</v>
      </c>
      <c r="R19" s="153">
        <f>+T19+V19+X19+Z19+AB19+AD19</f>
        <v>1452</v>
      </c>
      <c r="S19" s="197">
        <f>+R19/'7'!J19*1000</f>
        <v>8.5416286744592362</v>
      </c>
      <c r="T19" s="152">
        <v>739</v>
      </c>
      <c r="U19" s="187">
        <f>+T19/'7'!K19*1000</f>
        <v>8.6665884836402025</v>
      </c>
      <c r="V19" s="152">
        <f>+'39'!N20</f>
        <v>134</v>
      </c>
      <c r="W19" s="187">
        <f>+V19/'7'!L19*1000</f>
        <v>7.5019594670249692</v>
      </c>
      <c r="X19" s="152">
        <v>130</v>
      </c>
      <c r="Y19" s="187">
        <f>+X19/'7'!O19*1000</f>
        <v>4.8244637422994137</v>
      </c>
      <c r="Z19" s="152">
        <v>66</v>
      </c>
      <c r="AA19" s="187">
        <f>+Z19/'7'!N19*1000</f>
        <v>8.5216268560361534</v>
      </c>
      <c r="AB19" s="152">
        <v>261</v>
      </c>
      <c r="AC19" s="187">
        <f>+AB19/'7'!O19*1000</f>
        <v>9.6860387441549758</v>
      </c>
      <c r="AD19" s="152">
        <v>122</v>
      </c>
      <c r="AE19" s="187">
        <f>+AD19/'7'!P19*1000</f>
        <v>7.8801188476940958</v>
      </c>
    </row>
    <row r="20" spans="1:31" ht="26.25" customHeight="1">
      <c r="A20" s="186">
        <v>2023</v>
      </c>
      <c r="B20" s="190">
        <v>174789</v>
      </c>
      <c r="C20" s="187">
        <f>+B20/'7'!B20*1000</f>
        <v>8.756573918125591</v>
      </c>
      <c r="D20" s="152">
        <v>16896</v>
      </c>
      <c r="E20" s="187">
        <f>+D20/'7'!C20*1000</f>
        <v>8.4024210669224786</v>
      </c>
      <c r="F20" s="152">
        <f>+J20+L20+N20+P20+T20+V20+X20+Z20+AB20+AD20</f>
        <v>2267</v>
      </c>
      <c r="G20" s="187">
        <f>+F20/'7'!D20*1000</f>
        <v>7.7940473693800865</v>
      </c>
      <c r="H20" s="153">
        <f>+J20+L20+N20+P20</f>
        <v>854</v>
      </c>
      <c r="I20" s="197">
        <f>+H20/'7'!E20*1000</f>
        <v>7.1454867967468791</v>
      </c>
      <c r="J20" s="152">
        <f>+'39'!B20</f>
        <v>520</v>
      </c>
      <c r="K20" s="187">
        <f>+J20/'7'!F20*1000</f>
        <v>7.5594580450078501</v>
      </c>
      <c r="L20" s="152">
        <f>+'39'!D20</f>
        <v>144</v>
      </c>
      <c r="M20" s="187">
        <f>+L20/'7'!G20*1000</f>
        <v>6.6998557669939052</v>
      </c>
      <c r="N20" s="152">
        <f>+'39'!F20</f>
        <v>131</v>
      </c>
      <c r="O20" s="187">
        <f>+N20/'7'!H20*1000</f>
        <v>7.5339314469749254</v>
      </c>
      <c r="P20" s="152">
        <f>+'39'!H20</f>
        <v>59</v>
      </c>
      <c r="Q20" s="187">
        <f>+P20/'7'!I20*1000</f>
        <v>4.9801637545370134</v>
      </c>
      <c r="R20" s="153">
        <f>+T20+V20+X20+Z20+AB20+AD20</f>
        <v>1413</v>
      </c>
      <c r="S20" s="197">
        <f>+R20/'7'!J20*1000</f>
        <v>8.2464239233835421</v>
      </c>
      <c r="T20" s="152">
        <f>+'39'!L20</f>
        <v>762</v>
      </c>
      <c r="U20" s="187">
        <f>+T20/'7'!K20*1000</f>
        <v>8.8540819409263083</v>
      </c>
      <c r="V20" s="152">
        <f>+'39'!N20</f>
        <v>134</v>
      </c>
      <c r="W20" s="187">
        <f>+V20/'7'!L20*1000</f>
        <v>7.4672610755084978</v>
      </c>
      <c r="X20" s="152">
        <f>+'39'!P20</f>
        <v>135</v>
      </c>
      <c r="Y20" s="187">
        <f>+X20/'7'!O20*1000</f>
        <v>4.9780596629669231</v>
      </c>
      <c r="Z20" s="152">
        <f>+'39'!R20</f>
        <v>46</v>
      </c>
      <c r="AA20" s="187">
        <f>+Z20/'7'!N20*1000</f>
        <v>5.9019758788811902</v>
      </c>
      <c r="AB20" s="152">
        <f>+'39'!T20</f>
        <v>232</v>
      </c>
      <c r="AC20" s="187">
        <f>+AB20/'7'!O20*1000</f>
        <v>8.5548877170987119</v>
      </c>
      <c r="AD20" s="152">
        <f>+'39'!V20</f>
        <v>104</v>
      </c>
      <c r="AE20" s="187">
        <f>+AD20/'7'!P20*1000</f>
        <v>6.666666666666667</v>
      </c>
    </row>
    <row r="21" spans="1:31">
      <c r="A21" s="192"/>
      <c r="B21" s="155"/>
      <c r="C21" s="193"/>
      <c r="D21" s="155"/>
      <c r="E21" s="193"/>
      <c r="F21" s="160"/>
      <c r="G21" s="193"/>
      <c r="H21" s="194"/>
      <c r="I21" s="194"/>
      <c r="J21" s="155"/>
      <c r="K21" s="193"/>
      <c r="L21" s="155"/>
      <c r="M21" s="193"/>
      <c r="N21" s="155"/>
      <c r="O21" s="193"/>
      <c r="P21" s="155"/>
      <c r="Q21" s="193"/>
      <c r="R21" s="194"/>
      <c r="S21" s="194"/>
      <c r="T21" s="155"/>
      <c r="U21" s="193"/>
      <c r="V21" s="155"/>
      <c r="W21" s="193"/>
      <c r="X21" s="155"/>
      <c r="Y21" s="193"/>
      <c r="Z21" s="155"/>
      <c r="AA21" s="193"/>
      <c r="AB21" s="155"/>
      <c r="AC21" s="193"/>
      <c r="AD21" s="194"/>
      <c r="AE21" s="193"/>
    </row>
    <row r="22" spans="1:31">
      <c r="A22" s="161"/>
      <c r="B22" s="165" t="s">
        <v>1497</v>
      </c>
      <c r="D22" s="165"/>
      <c r="E22" s="161"/>
      <c r="F22" s="161"/>
      <c r="G22" s="161"/>
      <c r="H22" s="161"/>
      <c r="I22" s="161"/>
      <c r="J22" s="161"/>
      <c r="K22" s="1"/>
      <c r="L22" s="1"/>
      <c r="M22" s="1"/>
      <c r="N22" s="1"/>
      <c r="O22" s="1"/>
      <c r="P22" s="1"/>
      <c r="Q22" s="1"/>
      <c r="R22" s="1"/>
      <c r="S22" s="1"/>
      <c r="T22" s="1"/>
      <c r="U22" s="1"/>
      <c r="V22" s="1"/>
      <c r="W22" s="1"/>
      <c r="X22" s="1"/>
      <c r="Y22" s="1"/>
      <c r="Z22" s="1"/>
      <c r="AA22" s="1"/>
      <c r="AB22" s="1"/>
      <c r="AC22" s="1"/>
      <c r="AD22" s="1"/>
      <c r="AE22" s="1"/>
    </row>
    <row r="23" spans="1:31">
      <c r="A23" s="161"/>
      <c r="B23" s="161"/>
      <c r="C23" s="165" t="s">
        <v>1063</v>
      </c>
      <c r="D23" s="165"/>
      <c r="E23" s="161"/>
      <c r="F23" s="161"/>
      <c r="G23" s="161"/>
      <c r="H23" s="161"/>
      <c r="I23" s="161"/>
      <c r="J23" s="161"/>
      <c r="K23" s="1"/>
      <c r="L23" s="1"/>
      <c r="M23" s="1"/>
      <c r="N23" s="1"/>
      <c r="O23" s="1"/>
      <c r="P23" s="1"/>
      <c r="Q23" s="1"/>
      <c r="R23" s="1"/>
      <c r="S23" s="1"/>
      <c r="T23" s="1"/>
      <c r="U23" s="1"/>
      <c r="V23" s="1"/>
      <c r="W23" s="1"/>
      <c r="X23" s="1"/>
      <c r="Y23" s="1"/>
      <c r="Z23" s="1"/>
      <c r="AA23" s="1"/>
      <c r="AB23" s="1"/>
      <c r="AC23" s="1"/>
      <c r="AD23" s="1"/>
      <c r="AE23" s="1"/>
    </row>
    <row r="24" spans="1:31">
      <c r="A24" s="1"/>
      <c r="B24" s="1"/>
      <c r="C24" s="1"/>
      <c r="D24" s="1"/>
      <c r="E24" s="1"/>
      <c r="F24" s="176"/>
      <c r="G24" s="1"/>
      <c r="H24" s="1"/>
      <c r="I24" s="1"/>
      <c r="J24" s="176"/>
      <c r="K24" s="1"/>
      <c r="L24" s="1"/>
      <c r="M24" s="176"/>
      <c r="N24" s="176"/>
      <c r="O24" s="176"/>
      <c r="P24" s="176"/>
      <c r="Q24" s="176"/>
      <c r="R24" s="176"/>
      <c r="S24" s="176"/>
      <c r="T24" s="176"/>
      <c r="U24" s="176"/>
      <c r="V24" s="176"/>
      <c r="W24" s="176"/>
      <c r="X24" s="176"/>
      <c r="Y24" s="176"/>
      <c r="Z24" s="176"/>
      <c r="AA24" s="176"/>
      <c r="AB24" s="176"/>
      <c r="AC24" s="176"/>
      <c r="AD24" s="176"/>
      <c r="AE24" s="176"/>
    </row>
  </sheetData>
  <phoneticPr fontId="18" type="noConversion"/>
  <pageMargins left="0.59055118110236227" right="0.59055118110236227" top="1.5748031496062993" bottom="0.78740157480314965" header="0.51181102362204722" footer="0.51181102362204722"/>
  <pageSetup paperSize="14"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T23"/>
  <sheetViews>
    <sheetView showGridLines="0" zoomScale="94" zoomScaleNormal="94" workbookViewId="0">
      <selection activeCell="I39" sqref="I39"/>
    </sheetView>
  </sheetViews>
  <sheetFormatPr baseColWidth="10" defaultRowHeight="12.75"/>
  <cols>
    <col min="1" max="1" width="5.42578125" customWidth="1"/>
    <col min="2" max="2" width="19.42578125" customWidth="1"/>
    <col min="3" max="3" width="15.5703125" customWidth="1"/>
    <col min="4" max="4" width="13.7109375" customWidth="1"/>
    <col min="5" max="5" width="15.28515625" customWidth="1"/>
    <col min="6" max="6" width="11.42578125" customWidth="1"/>
  </cols>
  <sheetData>
    <row r="3" spans="1:7" ht="14.25">
      <c r="G3" s="704"/>
    </row>
    <row r="4" spans="1:7" ht="23.25">
      <c r="A4" s="1515"/>
      <c r="B4" s="1515"/>
      <c r="C4" s="1515"/>
      <c r="D4" s="1515"/>
      <c r="E4" s="1515"/>
      <c r="F4" s="1515"/>
    </row>
    <row r="5" spans="1:7" ht="15">
      <c r="A5" s="697"/>
      <c r="B5" s="133"/>
      <c r="C5" s="134"/>
      <c r="D5" s="134"/>
      <c r="E5" s="134"/>
      <c r="F5" s="135"/>
    </row>
    <row r="6" spans="1:7" ht="15">
      <c r="A6" s="697"/>
      <c r="B6" s="133"/>
      <c r="C6" s="134"/>
      <c r="D6" s="134"/>
      <c r="E6" s="134"/>
      <c r="F6" s="135"/>
    </row>
    <row r="7" spans="1:7" ht="15">
      <c r="A7" s="698"/>
      <c r="B7" s="133"/>
      <c r="C7" s="134"/>
      <c r="D7" s="134"/>
      <c r="E7" s="134"/>
      <c r="F7" s="135"/>
    </row>
    <row r="8" spans="1:7" ht="23.25">
      <c r="A8" s="136"/>
      <c r="B8" s="137"/>
      <c r="C8" s="137"/>
      <c r="D8" s="137"/>
      <c r="E8" s="137"/>
      <c r="F8" s="1"/>
    </row>
    <row r="9" spans="1:7" ht="79.5" customHeight="1">
      <c r="A9" s="136"/>
      <c r="B9" s="1514"/>
      <c r="C9" s="1514"/>
      <c r="D9" s="1514"/>
      <c r="E9" s="1514"/>
      <c r="F9" s="1514"/>
    </row>
    <row r="10" spans="1:7" ht="13.5" customHeight="1">
      <c r="A10" s="131"/>
      <c r="B10" s="701"/>
      <c r="C10" s="137"/>
      <c r="D10" s="137"/>
      <c r="E10" s="137"/>
      <c r="F10" s="1"/>
    </row>
    <row r="11" spans="1:7" ht="127.5" customHeight="1">
      <c r="A11" s="137"/>
      <c r="B11" s="1514"/>
      <c r="C11" s="1514"/>
      <c r="D11" s="1514"/>
      <c r="E11" s="1514"/>
      <c r="F11" s="1514"/>
    </row>
    <row r="12" spans="1:7">
      <c r="A12" s="2"/>
      <c r="B12" s="2"/>
      <c r="C12" s="2"/>
      <c r="D12" s="2"/>
      <c r="E12" s="2"/>
    </row>
    <row r="13" spans="1:7">
      <c r="A13" s="2"/>
      <c r="B13" s="2"/>
      <c r="C13" s="2"/>
      <c r="D13" s="2"/>
      <c r="E13" s="2"/>
    </row>
    <row r="15" spans="1:7" ht="21" customHeight="1">
      <c r="B15" s="702"/>
    </row>
    <row r="16" spans="1:7" ht="57.75" customHeight="1">
      <c r="B16" s="1514"/>
      <c r="C16" s="1514"/>
      <c r="D16" s="1514"/>
      <c r="E16" s="1514"/>
      <c r="F16" s="1514"/>
    </row>
    <row r="19" spans="2:20" ht="23.25" customHeight="1">
      <c r="B19" s="703"/>
    </row>
    <row r="20" spans="2:20" ht="67.5" customHeight="1">
      <c r="B20" s="1514"/>
      <c r="C20" s="1514"/>
      <c r="D20" s="1514"/>
      <c r="E20" s="1514"/>
      <c r="F20" s="1514"/>
    </row>
    <row r="22" spans="2:20" ht="60" customHeight="1"/>
    <row r="23" spans="2:20" ht="53.25" customHeight="1">
      <c r="T23" s="2"/>
    </row>
  </sheetData>
  <mergeCells count="5">
    <mergeCell ref="B16:F16"/>
    <mergeCell ref="B20:F20"/>
    <mergeCell ref="A4:F4"/>
    <mergeCell ref="B9:F9"/>
    <mergeCell ref="B11:F11"/>
  </mergeCells>
  <phoneticPr fontId="18" type="noConversion"/>
  <printOptions gridLinesSet="0"/>
  <pageMargins left="1" right="1" top="1" bottom="1" header="0.5" footer="0.5"/>
  <pageSetup paperSize="9"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E25"/>
  <sheetViews>
    <sheetView workbookViewId="0">
      <selection activeCell="G7" sqref="G7"/>
    </sheetView>
  </sheetViews>
  <sheetFormatPr baseColWidth="10" defaultRowHeight="12.75"/>
  <cols>
    <col min="1" max="1" width="6.28515625" customWidth="1"/>
    <col min="2" max="2" width="5.7109375" customWidth="1"/>
    <col min="3" max="3" width="7" customWidth="1"/>
    <col min="4" max="4" width="4.7109375" customWidth="1"/>
    <col min="5" max="7" width="6.28515625" customWidth="1"/>
    <col min="8" max="9" width="5.7109375" customWidth="1"/>
    <col min="10" max="10" width="4.28515625" customWidth="1"/>
    <col min="11" max="11" width="6" customWidth="1"/>
    <col min="12" max="12" width="3.7109375" customWidth="1"/>
    <col min="13" max="13" width="5.7109375" customWidth="1"/>
    <col min="14" max="14" width="3.7109375" customWidth="1"/>
    <col min="15" max="15" width="5.7109375" customWidth="1"/>
    <col min="16" max="16" width="4.42578125" customWidth="1"/>
    <col min="17" max="18" width="5.28515625" customWidth="1"/>
    <col min="19" max="19" width="5.7109375" customWidth="1"/>
    <col min="20" max="20" width="4.28515625" customWidth="1"/>
    <col min="21" max="21" width="6.42578125" customWidth="1"/>
    <col min="22" max="22" width="4" customWidth="1"/>
    <col min="23" max="23" width="6.42578125" customWidth="1"/>
    <col min="24" max="24" width="4" customWidth="1"/>
    <col min="25" max="25" width="6.42578125" customWidth="1"/>
    <col min="26" max="26" width="4.28515625" customWidth="1"/>
    <col min="27" max="27" width="5.7109375" customWidth="1"/>
    <col min="28" max="28" width="4.28515625" customWidth="1"/>
    <col min="29" max="29" width="5.7109375" customWidth="1"/>
    <col min="30" max="30" width="4.28515625" customWidth="1"/>
    <col min="31" max="31" width="5.7109375" customWidth="1"/>
  </cols>
  <sheetData>
    <row r="1" spans="1:31">
      <c r="A1" s="115" t="s">
        <v>616</v>
      </c>
      <c r="B1" s="115"/>
      <c r="C1" s="115"/>
      <c r="D1" s="115"/>
      <c r="E1" s="115"/>
      <c r="F1" s="115"/>
      <c r="G1" s="115"/>
      <c r="H1" s="115"/>
      <c r="I1" s="115"/>
      <c r="J1" s="115"/>
      <c r="K1" s="115"/>
      <c r="L1" s="115"/>
      <c r="M1" s="115"/>
      <c r="N1" s="115"/>
      <c r="O1" s="115"/>
      <c r="P1" s="115"/>
      <c r="Q1" s="115"/>
      <c r="R1" s="115"/>
      <c r="S1" s="86"/>
      <c r="T1" s="86"/>
      <c r="U1" s="86"/>
      <c r="V1" s="86"/>
      <c r="W1" s="86"/>
      <c r="X1" s="86"/>
      <c r="Y1" s="86"/>
      <c r="Z1" s="86"/>
      <c r="AA1" s="86"/>
      <c r="AB1" s="86"/>
      <c r="AC1" s="86"/>
      <c r="AD1" s="86"/>
      <c r="AE1" s="86"/>
    </row>
    <row r="2" spans="1:31">
      <c r="A2" s="115"/>
      <c r="B2" s="115"/>
      <c r="C2" s="115"/>
      <c r="D2" s="115"/>
      <c r="E2" s="115"/>
      <c r="F2" s="115"/>
      <c r="G2" s="115"/>
      <c r="H2" s="115"/>
      <c r="I2" s="115"/>
      <c r="J2" s="115"/>
      <c r="K2" s="115"/>
      <c r="L2" s="115"/>
      <c r="M2" s="115"/>
      <c r="N2" s="115"/>
      <c r="O2" s="115"/>
      <c r="P2" s="115"/>
      <c r="Q2" s="115"/>
      <c r="R2" s="115"/>
      <c r="S2" s="86"/>
      <c r="T2" s="86"/>
      <c r="U2" s="86"/>
      <c r="V2" s="86"/>
      <c r="W2" s="86"/>
      <c r="X2" s="86"/>
      <c r="Y2" s="86"/>
      <c r="Z2" s="86"/>
      <c r="AA2" s="86"/>
      <c r="AB2" s="86"/>
      <c r="AC2" s="86"/>
      <c r="AD2" s="86"/>
      <c r="AE2" s="86"/>
    </row>
    <row r="3" spans="1:31">
      <c r="A3" s="115" t="str">
        <f>+'18'!A3</f>
        <v>AÑOS   2014  - 2023</v>
      </c>
      <c r="B3" s="115"/>
      <c r="C3" s="115"/>
      <c r="D3" s="115"/>
      <c r="E3" s="115"/>
      <c r="F3" s="115"/>
      <c r="G3" s="115"/>
      <c r="H3" s="115"/>
      <c r="I3" s="115"/>
      <c r="J3" s="115"/>
      <c r="K3" s="115"/>
      <c r="L3" s="115"/>
      <c r="M3" s="115"/>
      <c r="N3" s="115"/>
      <c r="O3" s="115"/>
      <c r="P3" s="115"/>
      <c r="Q3" s="115"/>
      <c r="R3" s="115"/>
      <c r="S3" s="86"/>
      <c r="T3" s="86"/>
      <c r="U3" s="86"/>
      <c r="V3" s="86"/>
      <c r="W3" s="86"/>
      <c r="X3" s="86"/>
      <c r="Y3" s="86"/>
      <c r="Z3" s="86"/>
      <c r="AA3" s="86"/>
      <c r="AB3" s="86"/>
      <c r="AC3" s="86"/>
      <c r="AD3" s="86"/>
      <c r="AE3" s="86"/>
    </row>
    <row r="4" spans="1:31">
      <c r="A4" s="86"/>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row>
    <row r="5" spans="1:31">
      <c r="A5" s="1"/>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row>
    <row r="6" spans="1:31" ht="18.75" customHeight="1">
      <c r="A6" s="975"/>
      <c r="B6" s="974"/>
      <c r="C6" s="968"/>
      <c r="D6" s="974"/>
      <c r="E6" s="968"/>
      <c r="F6" s="974"/>
      <c r="G6" s="968"/>
      <c r="H6" s="1032"/>
      <c r="I6" s="1033"/>
      <c r="J6" s="967" t="s">
        <v>596</v>
      </c>
      <c r="K6" s="967"/>
      <c r="L6" s="967"/>
      <c r="M6" s="967"/>
      <c r="N6" s="967"/>
      <c r="O6" s="967"/>
      <c r="P6" s="967"/>
      <c r="Q6" s="967"/>
      <c r="R6" s="967"/>
      <c r="S6" s="967"/>
      <c r="T6" s="967"/>
      <c r="U6" s="967"/>
      <c r="V6" s="967"/>
      <c r="W6" s="967"/>
      <c r="X6" s="967"/>
      <c r="Y6" s="967"/>
      <c r="Z6" s="967"/>
      <c r="AA6" s="967"/>
      <c r="AB6" s="967"/>
      <c r="AC6" s="967"/>
      <c r="AD6" s="1033"/>
      <c r="AE6" s="1034"/>
    </row>
    <row r="7" spans="1:31">
      <c r="A7" s="969"/>
      <c r="B7" s="970"/>
      <c r="C7" s="1035"/>
      <c r="D7" s="970"/>
      <c r="E7" s="1036"/>
      <c r="F7" s="1037" t="s">
        <v>604</v>
      </c>
      <c r="G7" s="1037"/>
      <c r="H7" s="965" t="s">
        <v>605</v>
      </c>
      <c r="I7" s="1038"/>
      <c r="J7" s="1039"/>
      <c r="K7" s="1040"/>
      <c r="L7" s="1039"/>
      <c r="M7" s="1040"/>
      <c r="N7" s="1039"/>
      <c r="O7" s="1040"/>
      <c r="P7" s="1039"/>
      <c r="Q7" s="1040"/>
      <c r="R7" s="965" t="s">
        <v>605</v>
      </c>
      <c r="S7" s="1038"/>
      <c r="T7" s="1039"/>
      <c r="U7" s="1040"/>
      <c r="V7" s="1039"/>
      <c r="W7" s="1040"/>
      <c r="X7" s="1039"/>
      <c r="Y7" s="1040"/>
      <c r="Z7" s="1041"/>
      <c r="AA7" s="1040"/>
      <c r="AB7" s="1039"/>
      <c r="AC7" s="1040"/>
      <c r="AD7" s="1039"/>
      <c r="AE7" s="1040"/>
    </row>
    <row r="8" spans="1:31" ht="19.5" customHeight="1">
      <c r="A8" s="1042" t="s">
        <v>597</v>
      </c>
      <c r="B8" s="992" t="s">
        <v>602</v>
      </c>
      <c r="C8" s="992"/>
      <c r="D8" s="992" t="s">
        <v>603</v>
      </c>
      <c r="E8" s="1043"/>
      <c r="F8" s="992" t="s">
        <v>606</v>
      </c>
      <c r="G8" s="1043"/>
      <c r="H8" s="992" t="s">
        <v>587</v>
      </c>
      <c r="I8" s="1043"/>
      <c r="J8" s="992" t="s">
        <v>587</v>
      </c>
      <c r="K8" s="1043"/>
      <c r="L8" s="1044" t="s">
        <v>384</v>
      </c>
      <c r="M8" s="1045"/>
      <c r="N8" s="992" t="s">
        <v>608</v>
      </c>
      <c r="O8" s="1043"/>
      <c r="P8" s="992" t="s">
        <v>387</v>
      </c>
      <c r="Q8" s="1043"/>
      <c r="R8" s="992" t="s">
        <v>609</v>
      </c>
      <c r="S8" s="1043"/>
      <c r="T8" s="992" t="s">
        <v>609</v>
      </c>
      <c r="U8" s="1043"/>
      <c r="V8" s="992" t="s">
        <v>351</v>
      </c>
      <c r="W8" s="1043"/>
      <c r="X8" s="992" t="s">
        <v>369</v>
      </c>
      <c r="Y8" s="1043"/>
      <c r="Z8" s="992" t="s">
        <v>374</v>
      </c>
      <c r="AA8" s="1043"/>
      <c r="AB8" s="992" t="s">
        <v>610</v>
      </c>
      <c r="AC8" s="1043"/>
      <c r="AD8" s="992" t="s">
        <v>376</v>
      </c>
      <c r="AE8" s="1043"/>
    </row>
    <row r="9" spans="1:31" ht="19.5" customHeight="1">
      <c r="A9" s="1046"/>
      <c r="B9" s="1047" t="s">
        <v>614</v>
      </c>
      <c r="C9" s="1048" t="s">
        <v>615</v>
      </c>
      <c r="D9" s="1047" t="s">
        <v>614</v>
      </c>
      <c r="E9" s="1048" t="s">
        <v>615</v>
      </c>
      <c r="F9" s="1047" t="s">
        <v>614</v>
      </c>
      <c r="G9" s="1048" t="s">
        <v>615</v>
      </c>
      <c r="H9" s="1047" t="s">
        <v>614</v>
      </c>
      <c r="I9" s="1049" t="s">
        <v>615</v>
      </c>
      <c r="J9" s="1047" t="s">
        <v>614</v>
      </c>
      <c r="K9" s="1049" t="s">
        <v>615</v>
      </c>
      <c r="L9" s="1047" t="s">
        <v>614</v>
      </c>
      <c r="M9" s="1048" t="s">
        <v>615</v>
      </c>
      <c r="N9" s="1047" t="s">
        <v>614</v>
      </c>
      <c r="O9" s="1048" t="s">
        <v>615</v>
      </c>
      <c r="P9" s="1047" t="s">
        <v>614</v>
      </c>
      <c r="Q9" s="1048" t="s">
        <v>615</v>
      </c>
      <c r="R9" s="1047" t="s">
        <v>614</v>
      </c>
      <c r="S9" s="1049" t="s">
        <v>615</v>
      </c>
      <c r="T9" s="1047" t="s">
        <v>614</v>
      </c>
      <c r="U9" s="1048" t="s">
        <v>615</v>
      </c>
      <c r="V9" s="1047" t="s">
        <v>614</v>
      </c>
      <c r="W9" s="1048" t="s">
        <v>615</v>
      </c>
      <c r="X9" s="1047" t="s">
        <v>614</v>
      </c>
      <c r="Y9" s="1048" t="s">
        <v>615</v>
      </c>
      <c r="Z9" s="1047" t="s">
        <v>614</v>
      </c>
      <c r="AA9" s="1048" t="s">
        <v>615</v>
      </c>
      <c r="AB9" s="1047" t="s">
        <v>614</v>
      </c>
      <c r="AC9" s="1048" t="s">
        <v>615</v>
      </c>
      <c r="AD9" s="1047" t="s">
        <v>614</v>
      </c>
      <c r="AE9" s="1048" t="s">
        <v>615</v>
      </c>
    </row>
    <row r="10" spans="1:31">
      <c r="A10" s="141"/>
      <c r="B10" s="142"/>
      <c r="C10" s="180"/>
      <c r="D10" s="142"/>
      <c r="E10" s="180"/>
      <c r="F10" s="142"/>
      <c r="G10" s="180"/>
      <c r="H10" s="185"/>
      <c r="I10" s="185"/>
      <c r="J10" s="142"/>
      <c r="K10" s="180"/>
      <c r="L10" s="142"/>
      <c r="M10" s="180"/>
      <c r="N10" s="142"/>
      <c r="O10" s="180"/>
      <c r="P10" s="142"/>
      <c r="Q10" s="180"/>
      <c r="R10" s="195"/>
      <c r="S10" s="195"/>
      <c r="T10" s="142"/>
      <c r="U10" s="180"/>
      <c r="V10" s="142"/>
      <c r="W10" s="180"/>
      <c r="X10" s="142"/>
      <c r="Y10" s="180"/>
      <c r="Z10" s="142"/>
      <c r="AA10" s="180"/>
      <c r="AB10" s="142"/>
      <c r="AC10" s="180"/>
      <c r="AD10" s="185"/>
      <c r="AE10" s="180"/>
    </row>
    <row r="11" spans="1:31" ht="24.75" customHeight="1">
      <c r="A11" s="186">
        <f>+'18'!A11</f>
        <v>2014</v>
      </c>
      <c r="B11" s="152">
        <v>2064</v>
      </c>
      <c r="C11" s="187">
        <f>+B11/'18'!B11*1000</f>
        <v>8.4639421302561324</v>
      </c>
      <c r="D11" s="152">
        <v>151</v>
      </c>
      <c r="E11" s="187">
        <f>+D11/'18'!D11*1000</f>
        <v>6.2278313948692565</v>
      </c>
      <c r="F11" s="152">
        <v>21</v>
      </c>
      <c r="G11" s="187">
        <v>5.4418243068152368</v>
      </c>
      <c r="H11" s="153">
        <v>8</v>
      </c>
      <c r="I11" s="196">
        <v>5.0697084917617232</v>
      </c>
      <c r="J11" s="152">
        <v>8</v>
      </c>
      <c r="K11" s="196">
        <f>+J11/'18'!J11*1000</f>
        <v>7.8125</v>
      </c>
      <c r="L11" s="152">
        <v>0</v>
      </c>
      <c r="M11" s="196">
        <f>+L11/'18'!L11*1000</f>
        <v>0</v>
      </c>
      <c r="N11" s="188">
        <v>0</v>
      </c>
      <c r="O11" s="196">
        <f>+N11/'18'!N11*1000</f>
        <v>0</v>
      </c>
      <c r="P11" s="152">
        <v>0</v>
      </c>
      <c r="Q11" s="187">
        <f>+P11/'18'!P11*1000</f>
        <v>0</v>
      </c>
      <c r="R11" s="153">
        <v>13</v>
      </c>
      <c r="S11" s="187">
        <f>+R11/'18'!R11*1000</f>
        <v>5.9306569343065689</v>
      </c>
      <c r="T11" s="152">
        <v>7</v>
      </c>
      <c r="U11" s="187">
        <f>+T11/'18'!T11*1000</f>
        <v>6.3578564940962767</v>
      </c>
      <c r="V11" s="188">
        <v>2</v>
      </c>
      <c r="W11" s="187">
        <f>+V11/'18'!V11*1000</f>
        <v>10.309278350515465</v>
      </c>
      <c r="X11" s="152">
        <v>3</v>
      </c>
      <c r="Y11" s="187">
        <f>+X11/'18'!X11*1000</f>
        <v>15.544041450777202</v>
      </c>
      <c r="Z11" s="188">
        <v>0</v>
      </c>
      <c r="AA11" s="187">
        <f>+Z11/'18'!Z11*1000</f>
        <v>0</v>
      </c>
      <c r="AB11" s="152">
        <v>1</v>
      </c>
      <c r="AC11" s="187">
        <f>+AB11/'18'!AB11*1000</f>
        <v>2.5510204081632653</v>
      </c>
      <c r="AD11" s="152">
        <v>0</v>
      </c>
      <c r="AE11" s="187">
        <f>+AD11/'18'!AD11*1000</f>
        <v>0</v>
      </c>
    </row>
    <row r="12" spans="1:31" ht="24.75" customHeight="1">
      <c r="A12" s="186">
        <f>+'18'!A12</f>
        <v>2015</v>
      </c>
      <c r="B12" s="152">
        <v>2028</v>
      </c>
      <c r="C12" s="187">
        <f>+B12/'18'!B12*1000</f>
        <v>8.2887154125965576</v>
      </c>
      <c r="D12" s="152">
        <v>162</v>
      </c>
      <c r="E12" s="187">
        <f>+D12/'18'!D12*1000</f>
        <v>6.864988558352402</v>
      </c>
      <c r="F12" s="152">
        <v>28</v>
      </c>
      <c r="G12" s="187">
        <v>8.5080522637496205</v>
      </c>
      <c r="H12" s="153">
        <v>10</v>
      </c>
      <c r="I12" s="187">
        <v>7.3691967575534267</v>
      </c>
      <c r="J12" s="152">
        <v>7</v>
      </c>
      <c r="K12" s="196">
        <f>+J12/'18'!J12*1000</f>
        <v>7.2239422084623319</v>
      </c>
      <c r="L12" s="152">
        <v>0</v>
      </c>
      <c r="M12" s="196">
        <f>+L12/'18'!L12*1000</f>
        <v>0</v>
      </c>
      <c r="N12" s="188">
        <v>1</v>
      </c>
      <c r="O12" s="196">
        <f>+N12/'18'!N12*1000</f>
        <v>4.5248868778280551</v>
      </c>
      <c r="P12" s="152">
        <v>2</v>
      </c>
      <c r="Q12" s="187">
        <f>+P12/'18'!P12*1000</f>
        <v>13.605442176870747</v>
      </c>
      <c r="R12" s="153">
        <v>18</v>
      </c>
      <c r="S12" s="187">
        <f>+R12/'18'!R12*1000</f>
        <v>7.8912757562472606</v>
      </c>
      <c r="T12" s="152">
        <v>7</v>
      </c>
      <c r="U12" s="187">
        <f>+T12/'18'!T12*1000</f>
        <v>5.8873002523128681</v>
      </c>
      <c r="V12" s="188">
        <v>3</v>
      </c>
      <c r="W12" s="187">
        <f>+V12/'18'!V12*1000</f>
        <v>13.45291479820628</v>
      </c>
      <c r="X12" s="152">
        <v>2</v>
      </c>
      <c r="Y12" s="187">
        <f>+X12/'18'!X12*1000</f>
        <v>9.0090090090090094</v>
      </c>
      <c r="Z12" s="188">
        <v>0</v>
      </c>
      <c r="AA12" s="187">
        <f>+Z12/'18'!Z12*1000</f>
        <v>0</v>
      </c>
      <c r="AB12" s="152">
        <v>6</v>
      </c>
      <c r="AC12" s="187">
        <f>+AB12/'18'!AB12*1000</f>
        <v>16.997167138810202</v>
      </c>
      <c r="AD12" s="152">
        <v>0</v>
      </c>
      <c r="AE12" s="187">
        <f>+AD12/'18'!AD12*1000</f>
        <v>0</v>
      </c>
    </row>
    <row r="13" spans="1:31" ht="24.75" customHeight="1">
      <c r="A13" s="186">
        <f>+'18'!A13</f>
        <v>2016</v>
      </c>
      <c r="B13" s="152">
        <v>1992</v>
      </c>
      <c r="C13" s="187">
        <f>+B13/'18'!B13*1000</f>
        <v>8.628979857050032</v>
      </c>
      <c r="D13" s="152">
        <v>118</v>
      </c>
      <c r="E13" s="187">
        <f>+D13/'18'!D13*1000</f>
        <v>6.5932837905794264</v>
      </c>
      <c r="F13" s="152">
        <v>16</v>
      </c>
      <c r="G13" s="187">
        <v>5.3709298422289358</v>
      </c>
      <c r="H13" s="153">
        <v>7</v>
      </c>
      <c r="I13" s="187">
        <v>5.8430717863105173</v>
      </c>
      <c r="J13" s="152">
        <v>5</v>
      </c>
      <c r="K13" s="196">
        <f>+J13/'18'!J13*1000</f>
        <v>5.868544600938967</v>
      </c>
      <c r="L13" s="152">
        <v>0</v>
      </c>
      <c r="M13" s="196">
        <f>+L13/'18'!L13*1000</f>
        <v>0</v>
      </c>
      <c r="N13" s="188">
        <v>1</v>
      </c>
      <c r="O13" s="196">
        <f>+N13/'18'!N13*1000</f>
        <v>5.2631578947368416</v>
      </c>
      <c r="P13" s="152">
        <v>1</v>
      </c>
      <c r="Q13" s="187">
        <f>+P13/'18'!P13*1000</f>
        <v>8.6206896551724128</v>
      </c>
      <c r="R13" s="153">
        <v>9</v>
      </c>
      <c r="S13" s="187">
        <f>+R13/'18'!R13*1000</f>
        <v>4.6535677352637022</v>
      </c>
      <c r="T13" s="152">
        <v>4</v>
      </c>
      <c r="U13" s="187">
        <f>+T13/'18'!T13*1000</f>
        <v>3.8461538461538463</v>
      </c>
      <c r="V13" s="188">
        <v>2</v>
      </c>
      <c r="W13" s="187">
        <f>+V13/'18'!V13*1000</f>
        <v>11.299435028248588</v>
      </c>
      <c r="X13" s="152">
        <v>3</v>
      </c>
      <c r="Y13" s="187">
        <f>+X13/'18'!X13*1000</f>
        <v>15.306122448979592</v>
      </c>
      <c r="Z13" s="188">
        <v>0</v>
      </c>
      <c r="AA13" s="187">
        <f>+Z13/'18'!Z13*1000</f>
        <v>0</v>
      </c>
      <c r="AB13" s="152">
        <v>0</v>
      </c>
      <c r="AC13" s="187">
        <f>+AB13/'18'!AB13*1000</f>
        <v>0</v>
      </c>
      <c r="AD13" s="152">
        <v>0</v>
      </c>
      <c r="AE13" s="187">
        <f>+AD13/'18'!AD13*1000</f>
        <v>0</v>
      </c>
    </row>
    <row r="14" spans="1:31" ht="24.75" customHeight="1">
      <c r="A14" s="186">
        <f>+'18'!A14</f>
        <v>2017</v>
      </c>
      <c r="B14" s="152">
        <v>1806</v>
      </c>
      <c r="C14" s="187">
        <f>+B14/'18'!B14*1000</f>
        <v>8.2340550669529886</v>
      </c>
      <c r="D14" s="152">
        <v>170</v>
      </c>
      <c r="E14" s="187">
        <f>+D14/'18'!D14*1000</f>
        <v>8.3607927998819651</v>
      </c>
      <c r="F14" s="152">
        <v>15</v>
      </c>
      <c r="G14" s="187">
        <v>4.8200514138817478</v>
      </c>
      <c r="H14" s="153">
        <v>7</v>
      </c>
      <c r="I14" s="187">
        <v>6.0922541340295915</v>
      </c>
      <c r="J14" s="152">
        <v>6</v>
      </c>
      <c r="K14" s="196">
        <f>+J14/'18'!J14*1000</f>
        <v>8.3682008368200833</v>
      </c>
      <c r="L14" s="152">
        <v>1</v>
      </c>
      <c r="M14" s="196">
        <f>+L14/'18'!L14*1000</f>
        <v>5.8823529411764701</v>
      </c>
      <c r="N14" s="188">
        <v>0</v>
      </c>
      <c r="O14" s="196">
        <f>+N14/'18'!N14*1000</f>
        <v>0</v>
      </c>
      <c r="P14" s="152">
        <v>0</v>
      </c>
      <c r="Q14" s="187">
        <f>+P14/'18'!P14*1000</f>
        <v>0</v>
      </c>
      <c r="R14" s="153">
        <v>8</v>
      </c>
      <c r="S14" s="187">
        <f>+R14/'18'!R14*1000</f>
        <v>4.4918585064570467</v>
      </c>
      <c r="T14" s="152">
        <v>7</v>
      </c>
      <c r="U14" s="187">
        <f>+T14/'18'!T14*1000</f>
        <v>7.3684210526315788</v>
      </c>
      <c r="V14" s="188">
        <v>0</v>
      </c>
      <c r="W14" s="187">
        <f>+V14/'18'!V14*1000</f>
        <v>0</v>
      </c>
      <c r="X14" s="152">
        <v>0</v>
      </c>
      <c r="Y14" s="187">
        <f>+X14/'18'!X14*1000</f>
        <v>0</v>
      </c>
      <c r="Z14" s="188">
        <v>0</v>
      </c>
      <c r="AA14" s="187">
        <f>+Z14/'18'!Z14*1000</f>
        <v>0</v>
      </c>
      <c r="AB14" s="152">
        <v>1</v>
      </c>
      <c r="AC14" s="187">
        <f>+AB14/'18'!AB14*1000</f>
        <v>3.4364261168384878</v>
      </c>
      <c r="AD14" s="152">
        <v>0</v>
      </c>
      <c r="AE14" s="187">
        <f>+AD14/'18'!AD14*1000</f>
        <v>0</v>
      </c>
    </row>
    <row r="15" spans="1:31" ht="24.75" customHeight="1">
      <c r="A15" s="186">
        <f>+'18'!A15</f>
        <v>2018</v>
      </c>
      <c r="B15" s="152">
        <v>2006</v>
      </c>
      <c r="C15" s="187">
        <f>+B15/'18'!B15*1000</f>
        <v>9.0469983899409634</v>
      </c>
      <c r="D15" s="152">
        <v>153</v>
      </c>
      <c r="E15" s="187">
        <f>+D15/'18'!D15*1000</f>
        <v>7.1719870622978483</v>
      </c>
      <c r="F15" s="152">
        <v>21</v>
      </c>
      <c r="G15" s="187">
        <v>6.7676442152755403</v>
      </c>
      <c r="H15" s="153">
        <v>5</v>
      </c>
      <c r="I15" s="187">
        <v>4.1736227045075127</v>
      </c>
      <c r="J15" s="152">
        <v>3</v>
      </c>
      <c r="K15" s="196">
        <f>+J15/'18'!J15*1000</f>
        <v>4.1841004184100417</v>
      </c>
      <c r="L15" s="152">
        <v>1</v>
      </c>
      <c r="M15" s="196">
        <f>+L15/'18'!L15*1000</f>
        <v>5.8479532163742682</v>
      </c>
      <c r="N15" s="152">
        <v>0</v>
      </c>
      <c r="O15" s="196">
        <f>+N15/'18'!N15*1000</f>
        <v>0</v>
      </c>
      <c r="P15" s="152">
        <v>1</v>
      </c>
      <c r="Q15" s="187">
        <f>+P15/'18'!P15*1000</f>
        <v>8.1967213114754109</v>
      </c>
      <c r="R15" s="153">
        <v>16</v>
      </c>
      <c r="S15" s="187">
        <f>+R15/'18'!R15*1000</f>
        <v>8.1507896077432509</v>
      </c>
      <c r="T15" s="152">
        <v>8</v>
      </c>
      <c r="U15" s="187">
        <f>+T15/'18'!T15*1000</f>
        <v>7.7972709551656916</v>
      </c>
      <c r="V15" s="152">
        <v>2</v>
      </c>
      <c r="W15" s="187">
        <f>+V15/'18'!V15*1000</f>
        <v>9.2592592592592595</v>
      </c>
      <c r="X15" s="152">
        <v>0</v>
      </c>
      <c r="Y15" s="187">
        <f>+X15/'18'!X15*1000</f>
        <v>0</v>
      </c>
      <c r="Z15" s="152">
        <v>2</v>
      </c>
      <c r="AA15" s="187">
        <f>+Z15/'18'!Z15*1000</f>
        <v>22.727272727272727</v>
      </c>
      <c r="AB15" s="152">
        <v>2</v>
      </c>
      <c r="AC15" s="187">
        <f>+AB15/'18'!AB15*1000</f>
        <v>6.6889632107023411</v>
      </c>
      <c r="AD15" s="152">
        <v>2</v>
      </c>
      <c r="AE15" s="187">
        <f>+AD15/'18'!AD15*1000</f>
        <v>11.627906976744185</v>
      </c>
    </row>
    <row r="16" spans="1:31" ht="24.75" customHeight="1">
      <c r="A16" s="186">
        <f>+'18'!A16</f>
        <v>2019</v>
      </c>
      <c r="B16" s="152">
        <v>1910</v>
      </c>
      <c r="C16" s="187">
        <f>+B16/'18'!B16*1000</f>
        <v>9.1513226296397452</v>
      </c>
      <c r="D16" s="152">
        <v>138</v>
      </c>
      <c r="E16" s="187">
        <f>+D16/'18'!D16*1000</f>
        <v>7.1009570855202222</v>
      </c>
      <c r="F16" s="152">
        <v>14</v>
      </c>
      <c r="G16" s="187">
        <v>5.3639846743295019</v>
      </c>
      <c r="H16" s="153">
        <v>6</v>
      </c>
      <c r="I16" s="187">
        <v>6.1475409836065573</v>
      </c>
      <c r="J16" s="152">
        <v>5</v>
      </c>
      <c r="K16" s="196">
        <f>+J16/'18'!J16*1000</f>
        <v>6.8681318681318677</v>
      </c>
      <c r="L16" s="152">
        <v>0</v>
      </c>
      <c r="M16" s="196">
        <f>+L16/'18'!L16*1000</f>
        <v>0</v>
      </c>
      <c r="N16" s="152">
        <v>1</v>
      </c>
      <c r="O16" s="196">
        <f>+N16/'18'!N16*1000</f>
        <v>6.1349693251533743</v>
      </c>
      <c r="P16" s="152">
        <v>0</v>
      </c>
      <c r="Q16" s="187">
        <f>+P16/'18'!P16*1000</f>
        <v>0</v>
      </c>
      <c r="R16" s="153">
        <v>8</v>
      </c>
      <c r="S16" s="187">
        <f>+R16/'18'!R16*1000</f>
        <v>4.1994750656167978</v>
      </c>
      <c r="T16" s="152">
        <v>5</v>
      </c>
      <c r="U16" s="187">
        <f>+T16/'18'!T16*1000</f>
        <v>4.8030739673390972</v>
      </c>
      <c r="V16" s="152">
        <v>0</v>
      </c>
      <c r="W16" s="187">
        <f>+V16/'18'!V16*1000</f>
        <v>0</v>
      </c>
      <c r="X16" s="152">
        <v>0</v>
      </c>
      <c r="Y16" s="187">
        <f>+X16/'18'!X16*1000</f>
        <v>0</v>
      </c>
      <c r="Z16" s="152">
        <v>0</v>
      </c>
      <c r="AA16" s="187">
        <f>+Z16/'18'!Z16*1000</f>
        <v>0</v>
      </c>
      <c r="AB16" s="152">
        <v>1</v>
      </c>
      <c r="AC16" s="187">
        <f>+AB16/'18'!AB16*1000</f>
        <v>3.2051282051282048</v>
      </c>
      <c r="AD16" s="152">
        <v>2</v>
      </c>
      <c r="AE16" s="187">
        <f>+AD16/'18'!AD16*1000</f>
        <v>12.345679012345679</v>
      </c>
    </row>
    <row r="17" spans="1:31" ht="24.75" customHeight="1">
      <c r="A17" s="186">
        <f>+'18'!A17</f>
        <v>2020</v>
      </c>
      <c r="B17" s="152">
        <v>1614</v>
      </c>
      <c r="C17" s="187">
        <f>+B17/'18'!B17*1000</f>
        <v>8.2329716742926227</v>
      </c>
      <c r="D17" s="152">
        <v>149</v>
      </c>
      <c r="E17" s="187">
        <f>+D17/'18'!D17*1000</f>
        <v>8.084205957354456</v>
      </c>
      <c r="F17" s="152">
        <v>15</v>
      </c>
      <c r="G17" s="187">
        <v>6.2447960033305572</v>
      </c>
      <c r="H17" s="153">
        <v>5</v>
      </c>
      <c r="I17" s="187">
        <v>5.2631578947368416</v>
      </c>
      <c r="J17" s="152">
        <v>4</v>
      </c>
      <c r="K17" s="196">
        <f>+J17/'18'!J17*1000</f>
        <v>6.7796610169491522</v>
      </c>
      <c r="L17" s="152">
        <v>0</v>
      </c>
      <c r="M17" s="196">
        <f>+L17/'18'!L17*1000</f>
        <v>0</v>
      </c>
      <c r="N17" s="152">
        <v>0</v>
      </c>
      <c r="O17" s="196">
        <f>+N17/'18'!N17*1000</f>
        <v>0</v>
      </c>
      <c r="P17" s="152">
        <v>1</v>
      </c>
      <c r="Q17" s="187">
        <f>+P17/'18'!P17*1000</f>
        <v>10.869565217391305</v>
      </c>
      <c r="R17" s="153">
        <v>10</v>
      </c>
      <c r="S17" s="187">
        <f>+R17/'18'!R17*1000</f>
        <v>6.119951040391677</v>
      </c>
      <c r="T17" s="152">
        <v>3</v>
      </c>
      <c r="U17" s="187">
        <f>+T17/'18'!T17*1000</f>
        <v>3.4482758620689653</v>
      </c>
      <c r="V17" s="152">
        <v>1</v>
      </c>
      <c r="W17" s="187">
        <f>+V17/'18'!V17*1000</f>
        <v>5.6818181818181817</v>
      </c>
      <c r="X17" s="152">
        <v>0</v>
      </c>
      <c r="Y17" s="187">
        <f>+X17/'18'!X17*1000</f>
        <v>0</v>
      </c>
      <c r="Z17" s="152">
        <v>0</v>
      </c>
      <c r="AA17" s="187">
        <f>+Z17/'18'!Z17*1000</f>
        <v>0</v>
      </c>
      <c r="AB17" s="152">
        <v>4</v>
      </c>
      <c r="AC17" s="187">
        <f>+AB17/'18'!AB17*1000</f>
        <v>15.325670498084291</v>
      </c>
      <c r="AD17" s="152">
        <v>2</v>
      </c>
      <c r="AE17" s="187">
        <f>+AD17/'18'!AD17*1000</f>
        <v>15.748031496062993</v>
      </c>
    </row>
    <row r="18" spans="1:31" ht="24.75" customHeight="1">
      <c r="A18" s="186">
        <f>+'18'!A18</f>
        <v>2021</v>
      </c>
      <c r="B18" s="152"/>
      <c r="C18" s="187">
        <f>+B18/'18'!B18*1000</f>
        <v>0</v>
      </c>
      <c r="D18" s="152"/>
      <c r="E18" s="187">
        <f>+D18/'18'!D18*1000</f>
        <v>0</v>
      </c>
      <c r="F18" s="152">
        <v>7</v>
      </c>
      <c r="G18" s="187">
        <v>2.9142381348875936</v>
      </c>
      <c r="H18" s="153">
        <v>1</v>
      </c>
      <c r="I18" s="187">
        <v>1.0526315789473684</v>
      </c>
      <c r="J18" s="152">
        <v>1</v>
      </c>
      <c r="K18" s="196">
        <f>+J18/'18'!J18*1000</f>
        <v>1.996007984031936</v>
      </c>
      <c r="L18" s="152">
        <v>0</v>
      </c>
      <c r="M18" s="196">
        <f>+L18/'18'!L18*1000</f>
        <v>0</v>
      </c>
      <c r="N18" s="152">
        <v>0</v>
      </c>
      <c r="O18" s="196">
        <f>+N18/'18'!N18*1000</f>
        <v>0</v>
      </c>
      <c r="P18" s="152">
        <v>0</v>
      </c>
      <c r="Q18" s="187">
        <f>+P18/'18'!P18*1000</f>
        <v>0</v>
      </c>
      <c r="R18" s="153">
        <v>6</v>
      </c>
      <c r="S18" s="187">
        <f>+R18/'18'!R18*1000</f>
        <v>4.5011252813203297</v>
      </c>
      <c r="T18" s="152">
        <v>4</v>
      </c>
      <c r="U18" s="187">
        <f>+T18/'18'!T18*1000</f>
        <v>5.7803468208092479</v>
      </c>
      <c r="V18" s="152">
        <v>1</v>
      </c>
      <c r="W18" s="187">
        <f>+V18/'18'!V18*1000</f>
        <v>7.9365079365079358</v>
      </c>
      <c r="X18" s="152">
        <v>0</v>
      </c>
      <c r="Y18" s="187">
        <f>+X18/'18'!X18*1000</f>
        <v>0</v>
      </c>
      <c r="Z18" s="152">
        <v>1</v>
      </c>
      <c r="AA18" s="187">
        <f>+Z18/'18'!Z18*1000</f>
        <v>14.705882352941176</v>
      </c>
      <c r="AB18" s="152">
        <v>0</v>
      </c>
      <c r="AC18" s="187">
        <f>+AB18/'18'!AB18*1000</f>
        <v>0</v>
      </c>
      <c r="AD18" s="152">
        <v>0</v>
      </c>
      <c r="AE18" s="187">
        <f>+AD18/'18'!AD18*1000</f>
        <v>0</v>
      </c>
    </row>
    <row r="19" spans="1:31" ht="24.75" customHeight="1">
      <c r="A19" s="186">
        <f>+'18'!A19</f>
        <v>2022</v>
      </c>
      <c r="B19" s="152"/>
      <c r="C19" s="187">
        <f>+B19/'18'!B19*1000</f>
        <v>0</v>
      </c>
      <c r="D19" s="152"/>
      <c r="E19" s="187">
        <f>+D19/'18'!D19*1000</f>
        <v>0</v>
      </c>
      <c r="F19" s="152">
        <f>+H19+R19</f>
        <v>9</v>
      </c>
      <c r="G19" s="187">
        <f>+F19/'18'!F19*1000</f>
        <v>3.7468776019983348</v>
      </c>
      <c r="H19" s="153">
        <f>+J19+L19+N19+P19</f>
        <v>4</v>
      </c>
      <c r="I19" s="187">
        <f>+H19/'18'!H19*1000</f>
        <v>4.2105263157894735</v>
      </c>
      <c r="J19" s="152">
        <v>4</v>
      </c>
      <c r="K19" s="196">
        <f>+J19/'18'!J19*1000</f>
        <v>7.0546737213403876</v>
      </c>
      <c r="L19" s="152">
        <v>0</v>
      </c>
      <c r="M19" s="196">
        <f>+L19/'18'!L19*1000</f>
        <v>0</v>
      </c>
      <c r="N19" s="152">
        <v>0</v>
      </c>
      <c r="O19" s="196">
        <f>+N19/'18'!N19*1000</f>
        <v>0</v>
      </c>
      <c r="P19" s="152">
        <v>0</v>
      </c>
      <c r="Q19" s="187">
        <f>+P19/'18'!P19*1000</f>
        <v>0</v>
      </c>
      <c r="R19" s="153">
        <f>+T19+V19+X19+Z19+AB19+AD19</f>
        <v>5</v>
      </c>
      <c r="S19" s="187">
        <f>+R19/'18'!R19*1000</f>
        <v>3.443526170798898</v>
      </c>
      <c r="T19" s="152">
        <v>3</v>
      </c>
      <c r="U19" s="187">
        <f>+T19/'18'!T19*1000</f>
        <v>4.0595399188092012</v>
      </c>
      <c r="V19" s="152">
        <v>1</v>
      </c>
      <c r="W19" s="187">
        <f>+V19/'18'!V19*1000</f>
        <v>7.4626865671641793</v>
      </c>
      <c r="X19" s="152">
        <v>0</v>
      </c>
      <c r="Y19" s="187">
        <f>+X19/'18'!X19*1000</f>
        <v>0</v>
      </c>
      <c r="Z19" s="152">
        <v>0</v>
      </c>
      <c r="AA19" s="187">
        <f>+Z19/'18'!Z19*1000</f>
        <v>0</v>
      </c>
      <c r="AB19" s="152">
        <v>1</v>
      </c>
      <c r="AC19" s="187">
        <f>+AB19/'18'!AB19*1000</f>
        <v>3.8314176245210727</v>
      </c>
      <c r="AD19" s="152">
        <v>0</v>
      </c>
      <c r="AE19" s="187">
        <f>+AD19/'18'!AD19*1000</f>
        <v>0</v>
      </c>
    </row>
    <row r="20" spans="1:31" ht="24.75" customHeight="1">
      <c r="A20" s="186">
        <f>+'18'!A20</f>
        <v>2023</v>
      </c>
      <c r="B20" s="152"/>
      <c r="C20" s="187">
        <f>+B20/'18'!B20*1000</f>
        <v>0</v>
      </c>
      <c r="D20" s="152"/>
      <c r="E20" s="187">
        <f>+D20/'18'!D20*1000</f>
        <v>0</v>
      </c>
      <c r="F20" s="152">
        <f>+H20+R20</f>
        <v>13</v>
      </c>
      <c r="G20" s="187">
        <f>+F20/'18'!F20*1000</f>
        <v>5.7344508160564622</v>
      </c>
      <c r="H20" s="153">
        <f>+J20+L20+N20+P20</f>
        <v>4</v>
      </c>
      <c r="I20" s="187">
        <f>+H20/'18'!H20*1000</f>
        <v>4.6838407494145198</v>
      </c>
      <c r="J20" s="152">
        <v>3</v>
      </c>
      <c r="K20" s="196">
        <f>+J20/'18'!J20*1000</f>
        <v>5.7692307692307692</v>
      </c>
      <c r="L20" s="152">
        <v>0</v>
      </c>
      <c r="M20" s="196">
        <f>+L20/'18'!L20*1000</f>
        <v>0</v>
      </c>
      <c r="N20" s="152">
        <v>1</v>
      </c>
      <c r="O20" s="196">
        <f>+N20/'18'!N20*1000</f>
        <v>7.6335877862595414</v>
      </c>
      <c r="P20" s="152">
        <v>0</v>
      </c>
      <c r="Q20" s="187">
        <f>+P20/'18'!P20*1000</f>
        <v>0</v>
      </c>
      <c r="R20" s="153">
        <f>+T20+V20+X20+Z20+AB20+AD20</f>
        <v>9</v>
      </c>
      <c r="S20" s="187">
        <f>+R20/'18'!R20*1000</f>
        <v>6.369426751592357</v>
      </c>
      <c r="T20" s="152">
        <v>5</v>
      </c>
      <c r="U20" s="187">
        <f>+T20/'18'!T20*1000</f>
        <v>6.5616797900262469</v>
      </c>
      <c r="V20" s="152">
        <v>1</v>
      </c>
      <c r="W20" s="187">
        <f>+V20/'18'!V20*1000</f>
        <v>7.4626865671641793</v>
      </c>
      <c r="X20" s="152">
        <v>0</v>
      </c>
      <c r="Y20" s="187">
        <f>+X20/'18'!X20*1000</f>
        <v>0</v>
      </c>
      <c r="Z20" s="152">
        <v>0</v>
      </c>
      <c r="AA20" s="187">
        <f>+Z20/'18'!Z20*1000</f>
        <v>0</v>
      </c>
      <c r="AB20" s="152">
        <v>1</v>
      </c>
      <c r="AC20" s="187">
        <f>+AB20/'18'!AB20*1000</f>
        <v>4.3103448275862064</v>
      </c>
      <c r="AD20" s="152">
        <v>2</v>
      </c>
      <c r="AE20" s="187">
        <f>+AD20/'18'!AD20*1000</f>
        <v>19.230769230769234</v>
      </c>
    </row>
    <row r="21" spans="1:31">
      <c r="A21" s="192"/>
      <c r="B21" s="155"/>
      <c r="C21" s="193"/>
      <c r="D21" s="155"/>
      <c r="E21" s="193"/>
      <c r="F21" s="160"/>
      <c r="G21" s="193"/>
      <c r="H21" s="194"/>
      <c r="I21" s="194"/>
      <c r="J21" s="155"/>
      <c r="K21" s="193"/>
      <c r="L21" s="155"/>
      <c r="M21" s="193"/>
      <c r="N21" s="155"/>
      <c r="O21" s="193"/>
      <c r="P21" s="155"/>
      <c r="Q21" s="193"/>
      <c r="R21" s="1057"/>
      <c r="S21" s="194"/>
      <c r="T21" s="155"/>
      <c r="U21" s="193"/>
      <c r="V21" s="155"/>
      <c r="W21" s="193"/>
      <c r="X21" s="155"/>
      <c r="Y21" s="193"/>
      <c r="Z21" s="155"/>
      <c r="AA21" s="193"/>
      <c r="AB21" s="155"/>
      <c r="AC21" s="193"/>
      <c r="AD21" s="194"/>
      <c r="AE21" s="193"/>
    </row>
    <row r="22" spans="1:31">
      <c r="A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165" t="str">
        <f>+'18'!B22</f>
        <v>AÑO   2023  :   DATOS POR RESIDENCIA</v>
      </c>
      <c r="C23" s="165"/>
      <c r="D23" s="165"/>
      <c r="E23" s="165"/>
      <c r="F23" s="165"/>
      <c r="G23" s="165"/>
      <c r="H23" s="165"/>
      <c r="I23" s="165"/>
      <c r="J23" s="165"/>
      <c r="K23" s="161"/>
      <c r="L23" s="1"/>
      <c r="M23" s="1"/>
      <c r="N23" s="1"/>
      <c r="O23" s="1"/>
      <c r="P23" s="1"/>
      <c r="Q23" s="1"/>
      <c r="R23" s="1"/>
      <c r="S23" s="1"/>
      <c r="T23" s="1"/>
      <c r="U23" s="1"/>
      <c r="V23" s="1"/>
      <c r="W23" s="1"/>
      <c r="X23" s="1"/>
      <c r="Y23" s="1"/>
      <c r="Z23" s="1"/>
      <c r="AA23" s="1"/>
      <c r="AB23" s="1"/>
      <c r="AC23" s="1"/>
      <c r="AD23" s="1"/>
      <c r="AE23" s="1"/>
    </row>
    <row r="24" spans="1:31">
      <c r="A24" s="1"/>
      <c r="B24" s="165" t="s">
        <v>1536</v>
      </c>
      <c r="D24" s="165"/>
      <c r="E24" s="161"/>
      <c r="F24" s="161"/>
      <c r="G24" s="161"/>
      <c r="H24" s="161"/>
      <c r="I24" s="161"/>
      <c r="J24" s="161"/>
      <c r="K24" s="161"/>
      <c r="L24" s="1"/>
      <c r="M24" s="1"/>
      <c r="N24" s="1"/>
      <c r="O24" s="1"/>
      <c r="P24" s="1"/>
      <c r="Q24" s="1"/>
      <c r="R24" s="1"/>
      <c r="S24" s="1"/>
      <c r="T24" s="1"/>
      <c r="U24" s="1"/>
      <c r="V24" s="1"/>
      <c r="W24" s="1"/>
      <c r="X24" s="1"/>
      <c r="Y24" s="1"/>
      <c r="Z24" s="1"/>
      <c r="AA24" s="1"/>
      <c r="AB24" s="1"/>
      <c r="AC24" s="1"/>
      <c r="AD24" s="1"/>
      <c r="AE24" s="1"/>
    </row>
    <row r="25" spans="1:31">
      <c r="A25" s="1"/>
      <c r="B25" s="161"/>
      <c r="C25" s="161"/>
      <c r="D25" s="161"/>
      <c r="E25" s="161"/>
      <c r="F25" s="161"/>
      <c r="G25" s="161"/>
      <c r="H25" s="161"/>
      <c r="I25" s="161"/>
      <c r="J25" s="161"/>
      <c r="K25" s="161"/>
      <c r="L25" s="1"/>
      <c r="M25" s="1"/>
      <c r="N25" s="1"/>
      <c r="O25" s="1"/>
      <c r="P25" s="1"/>
      <c r="Q25" s="1"/>
      <c r="R25" s="1"/>
      <c r="S25" s="1"/>
      <c r="T25" s="1"/>
      <c r="U25" s="1"/>
      <c r="V25" s="1"/>
      <c r="W25" s="1"/>
      <c r="X25" s="1"/>
      <c r="Y25" s="1"/>
      <c r="Z25" s="1"/>
      <c r="AA25" s="1"/>
      <c r="AB25" s="1"/>
      <c r="AC25" s="1"/>
      <c r="AD25" s="1"/>
      <c r="AE25" s="1"/>
    </row>
  </sheetData>
  <phoneticPr fontId="18"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E25"/>
  <sheetViews>
    <sheetView zoomScaleNormal="100" workbookViewId="0">
      <selection activeCell="H20" sqref="H20"/>
    </sheetView>
  </sheetViews>
  <sheetFormatPr baseColWidth="10" defaultRowHeight="12.75"/>
  <cols>
    <col min="1" max="2" width="6.28515625" customWidth="1"/>
    <col min="3" max="3" width="6.7109375" customWidth="1"/>
    <col min="4" max="4" width="4.7109375" customWidth="1"/>
    <col min="5" max="5" width="5.7109375" customWidth="1"/>
    <col min="6" max="6" width="6.42578125" customWidth="1"/>
    <col min="7" max="9" width="5.7109375" customWidth="1"/>
    <col min="10" max="10" width="3.7109375" customWidth="1"/>
    <col min="11" max="11" width="5.7109375" customWidth="1"/>
    <col min="12" max="12" width="4.28515625" customWidth="1"/>
    <col min="13" max="13" width="5.7109375" customWidth="1"/>
    <col min="14" max="14" width="4.28515625" customWidth="1"/>
    <col min="15" max="15" width="5.7109375" customWidth="1"/>
    <col min="16" max="16" width="4" customWidth="1"/>
    <col min="17" max="19" width="5.7109375" customWidth="1"/>
    <col min="20" max="20" width="4" customWidth="1"/>
    <col min="21" max="21" width="5.7109375" customWidth="1"/>
    <col min="22" max="22" width="4.28515625" customWidth="1"/>
    <col min="23" max="23" width="5.7109375" customWidth="1"/>
    <col min="24" max="24" width="4.28515625" customWidth="1"/>
    <col min="25" max="25" width="5.7109375" customWidth="1"/>
    <col min="26" max="26" width="4.28515625" customWidth="1"/>
    <col min="27" max="27" width="5.7109375" customWidth="1"/>
    <col min="28" max="28" width="4" customWidth="1"/>
    <col min="29" max="29" width="5.7109375" customWidth="1"/>
    <col min="30" max="30" width="4.28515625" customWidth="1"/>
    <col min="31" max="31" width="5.7109375" customWidth="1"/>
  </cols>
  <sheetData>
    <row r="1" spans="1:31">
      <c r="A1" s="115" t="s">
        <v>617</v>
      </c>
      <c r="B1" s="115"/>
      <c r="C1" s="115"/>
      <c r="D1" s="115"/>
      <c r="E1" s="115"/>
      <c r="F1" s="115"/>
      <c r="G1" s="115"/>
      <c r="H1" s="86"/>
      <c r="I1" s="86"/>
      <c r="J1" s="86"/>
      <c r="K1" s="86"/>
      <c r="L1" s="86"/>
      <c r="M1" s="86"/>
      <c r="N1" s="86"/>
      <c r="O1" s="86"/>
      <c r="P1" s="86"/>
      <c r="Q1" s="86"/>
      <c r="R1" s="86"/>
      <c r="S1" s="86"/>
      <c r="T1" s="86"/>
      <c r="U1" s="86"/>
      <c r="V1" s="86"/>
      <c r="W1" s="86"/>
      <c r="X1" s="86"/>
      <c r="Y1" s="86"/>
      <c r="Z1" s="86"/>
      <c r="AA1" s="86"/>
      <c r="AB1" s="86"/>
      <c r="AC1" s="86"/>
      <c r="AD1" s="86"/>
      <c r="AE1" s="86"/>
    </row>
    <row r="2" spans="1:31">
      <c r="A2" s="115"/>
      <c r="B2" s="115"/>
      <c r="C2" s="115"/>
      <c r="D2" s="115"/>
      <c r="E2" s="115"/>
      <c r="F2" s="115"/>
      <c r="G2" s="115"/>
      <c r="H2" s="86"/>
      <c r="I2" s="86"/>
      <c r="J2" s="86"/>
      <c r="K2" s="86"/>
      <c r="L2" s="86"/>
      <c r="M2" s="86"/>
      <c r="N2" s="86"/>
      <c r="O2" s="86"/>
      <c r="P2" s="86"/>
      <c r="Q2" s="86"/>
      <c r="R2" s="86"/>
      <c r="S2" s="86"/>
      <c r="T2" s="86"/>
      <c r="U2" s="86"/>
      <c r="V2" s="86"/>
      <c r="W2" s="86"/>
      <c r="X2" s="86"/>
      <c r="Y2" s="86"/>
      <c r="Z2" s="86"/>
      <c r="AA2" s="86"/>
      <c r="AB2" s="86"/>
      <c r="AC2" s="86"/>
      <c r="AD2" s="86"/>
      <c r="AE2" s="86"/>
    </row>
    <row r="3" spans="1:31">
      <c r="A3" s="115" t="str">
        <f>+'19'!A3</f>
        <v>AÑOS   2014  - 2023</v>
      </c>
      <c r="B3" s="115"/>
      <c r="C3" s="115"/>
      <c r="D3" s="115"/>
      <c r="E3" s="115"/>
      <c r="F3" s="115"/>
      <c r="G3" s="115"/>
      <c r="H3" s="86"/>
      <c r="I3" s="86"/>
      <c r="J3" s="86"/>
      <c r="K3" s="86"/>
      <c r="L3" s="86"/>
      <c r="M3" s="86"/>
      <c r="N3" s="86"/>
      <c r="O3" s="86"/>
      <c r="P3" s="86"/>
      <c r="Q3" s="86"/>
      <c r="R3" s="86"/>
      <c r="S3" s="86"/>
      <c r="T3" s="86"/>
      <c r="U3" s="86"/>
      <c r="V3" s="86"/>
      <c r="W3" s="86"/>
      <c r="X3" s="86"/>
      <c r="Y3" s="86"/>
      <c r="Z3" s="86"/>
      <c r="AA3" s="86"/>
      <c r="AB3" s="86"/>
      <c r="AC3" s="86"/>
      <c r="AD3" s="86"/>
      <c r="AE3" s="86"/>
    </row>
    <row r="4" spans="1:31">
      <c r="A4" s="86"/>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row>
    <row r="5" spans="1:31">
      <c r="A5" s="1"/>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row>
    <row r="6" spans="1:31" ht="20.25" customHeight="1">
      <c r="A6" s="975"/>
      <c r="B6" s="974"/>
      <c r="C6" s="968"/>
      <c r="D6" s="974"/>
      <c r="E6" s="968"/>
      <c r="F6" s="974"/>
      <c r="G6" s="968"/>
      <c r="H6" s="1032"/>
      <c r="I6" s="1033"/>
      <c r="J6" s="967" t="s">
        <v>596</v>
      </c>
      <c r="K6" s="967"/>
      <c r="L6" s="967"/>
      <c r="M6" s="967"/>
      <c r="N6" s="967"/>
      <c r="O6" s="967"/>
      <c r="P6" s="967"/>
      <c r="Q6" s="967"/>
      <c r="R6" s="967"/>
      <c r="S6" s="967"/>
      <c r="T6" s="967"/>
      <c r="U6" s="967"/>
      <c r="V6" s="967"/>
      <c r="W6" s="967"/>
      <c r="X6" s="967"/>
      <c r="Y6" s="967"/>
      <c r="Z6" s="967"/>
      <c r="AA6" s="967"/>
      <c r="AB6" s="967"/>
      <c r="AC6" s="967"/>
      <c r="AD6" s="1033"/>
      <c r="AE6" s="1034"/>
    </row>
    <row r="7" spans="1:31">
      <c r="A7" s="969"/>
      <c r="B7" s="970"/>
      <c r="C7" s="1035"/>
      <c r="D7" s="970"/>
      <c r="E7" s="1036"/>
      <c r="F7" s="1037" t="s">
        <v>604</v>
      </c>
      <c r="G7" s="1037"/>
      <c r="H7" s="965" t="s">
        <v>605</v>
      </c>
      <c r="I7" s="1038"/>
      <c r="J7" s="1039"/>
      <c r="K7" s="1040"/>
      <c r="L7" s="1039"/>
      <c r="M7" s="1040"/>
      <c r="N7" s="1039"/>
      <c r="O7" s="1040"/>
      <c r="P7" s="1039"/>
      <c r="Q7" s="1040"/>
      <c r="R7" s="965" t="s">
        <v>605</v>
      </c>
      <c r="S7" s="1038"/>
      <c r="T7" s="1039"/>
      <c r="U7" s="1040"/>
      <c r="V7" s="1039"/>
      <c r="W7" s="1040"/>
      <c r="X7" s="1039"/>
      <c r="Y7" s="1040"/>
      <c r="Z7" s="1041"/>
      <c r="AA7" s="1040"/>
      <c r="AB7" s="1039"/>
      <c r="AC7" s="1040"/>
      <c r="AD7" s="1039"/>
      <c r="AE7" s="1040"/>
    </row>
    <row r="8" spans="1:31" ht="18" customHeight="1">
      <c r="A8" s="1042" t="s">
        <v>597</v>
      </c>
      <c r="B8" s="992" t="s">
        <v>602</v>
      </c>
      <c r="C8" s="992"/>
      <c r="D8" s="992" t="s">
        <v>603</v>
      </c>
      <c r="E8" s="1043"/>
      <c r="F8" s="992" t="s">
        <v>606</v>
      </c>
      <c r="G8" s="1043"/>
      <c r="H8" s="992" t="s">
        <v>587</v>
      </c>
      <c r="I8" s="1043"/>
      <c r="J8" s="992" t="s">
        <v>587</v>
      </c>
      <c r="K8" s="1043"/>
      <c r="L8" s="1044" t="s">
        <v>384</v>
      </c>
      <c r="M8" s="1045"/>
      <c r="N8" s="992" t="s">
        <v>608</v>
      </c>
      <c r="O8" s="1043"/>
      <c r="P8" s="992" t="s">
        <v>387</v>
      </c>
      <c r="Q8" s="1043"/>
      <c r="R8" s="992" t="s">
        <v>609</v>
      </c>
      <c r="S8" s="1043"/>
      <c r="T8" s="992" t="s">
        <v>609</v>
      </c>
      <c r="U8" s="1043"/>
      <c r="V8" s="992" t="s">
        <v>351</v>
      </c>
      <c r="W8" s="1043"/>
      <c r="X8" s="992" t="s">
        <v>369</v>
      </c>
      <c r="Y8" s="1043"/>
      <c r="Z8" s="992" t="s">
        <v>374</v>
      </c>
      <c r="AA8" s="1043"/>
      <c r="AB8" s="992" t="s">
        <v>610</v>
      </c>
      <c r="AC8" s="1043"/>
      <c r="AD8" s="992" t="s">
        <v>376</v>
      </c>
      <c r="AE8" s="1043"/>
    </row>
    <row r="9" spans="1:31" ht="20.25" customHeight="1">
      <c r="A9" s="1046"/>
      <c r="B9" s="1047" t="s">
        <v>614</v>
      </c>
      <c r="C9" s="1048" t="s">
        <v>615</v>
      </c>
      <c r="D9" s="1047" t="s">
        <v>614</v>
      </c>
      <c r="E9" s="1048" t="s">
        <v>615</v>
      </c>
      <c r="F9" s="1047" t="s">
        <v>614</v>
      </c>
      <c r="G9" s="1048" t="s">
        <v>615</v>
      </c>
      <c r="H9" s="1047" t="s">
        <v>614</v>
      </c>
      <c r="I9" s="1049" t="s">
        <v>615</v>
      </c>
      <c r="J9" s="1047" t="s">
        <v>614</v>
      </c>
      <c r="K9" s="1049" t="s">
        <v>615</v>
      </c>
      <c r="L9" s="1047" t="s">
        <v>614</v>
      </c>
      <c r="M9" s="1048" t="s">
        <v>615</v>
      </c>
      <c r="N9" s="1047" t="s">
        <v>614</v>
      </c>
      <c r="O9" s="1048" t="s">
        <v>615</v>
      </c>
      <c r="P9" s="1047" t="s">
        <v>614</v>
      </c>
      <c r="Q9" s="1048" t="s">
        <v>615</v>
      </c>
      <c r="R9" s="1047" t="s">
        <v>614</v>
      </c>
      <c r="S9" s="1049" t="s">
        <v>615</v>
      </c>
      <c r="T9" s="1047" t="s">
        <v>614</v>
      </c>
      <c r="U9" s="1048" t="s">
        <v>615</v>
      </c>
      <c r="V9" s="1047" t="s">
        <v>614</v>
      </c>
      <c r="W9" s="1048" t="s">
        <v>615</v>
      </c>
      <c r="X9" s="1047" t="s">
        <v>614</v>
      </c>
      <c r="Y9" s="1048" t="s">
        <v>615</v>
      </c>
      <c r="Z9" s="1047" t="s">
        <v>614</v>
      </c>
      <c r="AA9" s="1048" t="s">
        <v>615</v>
      </c>
      <c r="AB9" s="1047" t="s">
        <v>614</v>
      </c>
      <c r="AC9" s="1048" t="s">
        <v>615</v>
      </c>
      <c r="AD9" s="1047" t="s">
        <v>614</v>
      </c>
      <c r="AE9" s="1048" t="s">
        <v>615</v>
      </c>
    </row>
    <row r="10" spans="1:31">
      <c r="A10" s="141"/>
      <c r="B10" s="142"/>
      <c r="C10" s="180"/>
      <c r="D10" s="142"/>
      <c r="E10" s="180"/>
      <c r="F10" s="142"/>
      <c r="G10" s="180"/>
      <c r="H10" s="185"/>
      <c r="I10" s="185"/>
      <c r="J10" s="142"/>
      <c r="K10" s="180"/>
      <c r="L10" s="142"/>
      <c r="M10" s="180"/>
      <c r="N10" s="142"/>
      <c r="O10" s="180"/>
      <c r="P10" s="142"/>
      <c r="Q10" s="180"/>
      <c r="R10" s="185"/>
      <c r="S10" s="185"/>
      <c r="T10" s="142"/>
      <c r="U10" s="180"/>
      <c r="V10" s="142"/>
      <c r="W10" s="180"/>
      <c r="X10" s="142"/>
      <c r="Y10" s="180"/>
      <c r="Z10" s="142"/>
      <c r="AA10" s="180"/>
      <c r="AB10" s="142"/>
      <c r="AC10" s="180"/>
      <c r="AD10" s="185"/>
      <c r="AE10" s="180"/>
    </row>
    <row r="11" spans="1:31" ht="24.75" customHeight="1">
      <c r="A11" s="186">
        <f>+'19'!A11</f>
        <v>2014</v>
      </c>
      <c r="B11" s="152">
        <f>+'21'!B11+'19'!B11</f>
        <v>3098</v>
      </c>
      <c r="C11" s="187">
        <f>+B11/'18'!B11*1000</f>
        <v>12.704114689696462</v>
      </c>
      <c r="D11" s="152">
        <f>+'21'!D11+'19'!D11</f>
        <v>216</v>
      </c>
      <c r="E11" s="187">
        <f>+D11/'18'!D11*1000</f>
        <v>8.908685968819599</v>
      </c>
      <c r="F11" s="152">
        <v>41</v>
      </c>
      <c r="G11" s="187">
        <f>+F11/'18'!F11*1000</f>
        <v>10.924593658406609</v>
      </c>
      <c r="H11" s="198">
        <v>12</v>
      </c>
      <c r="I11" s="191">
        <f>+H11/'18'!H11*1000</f>
        <v>7.6873798846893022</v>
      </c>
      <c r="J11" s="199">
        <v>7</v>
      </c>
      <c r="K11" s="191">
        <f>+J11/'18'!J11*1000</f>
        <v>6.8359375</v>
      </c>
      <c r="L11" s="199">
        <v>1</v>
      </c>
      <c r="M11" s="191">
        <f>+L11/'18'!L11*1000</f>
        <v>3.9370078740157481</v>
      </c>
      <c r="N11" s="199">
        <v>1</v>
      </c>
      <c r="O11" s="191">
        <f>+N11/'18'!N11*1000</f>
        <v>6.6225165562913908</v>
      </c>
      <c r="P11" s="199">
        <v>3</v>
      </c>
      <c r="Q11" s="187">
        <f>+P11/'18'!P11*1000</f>
        <v>22.727272727272727</v>
      </c>
      <c r="R11" s="152">
        <v>29</v>
      </c>
      <c r="S11" s="187">
        <f>+R11/'18'!R11*1000</f>
        <v>13.229927007299269</v>
      </c>
      <c r="T11" s="199">
        <v>14</v>
      </c>
      <c r="U11" s="187">
        <f>+T11/'18'!T11*1000</f>
        <v>12.715712988192553</v>
      </c>
      <c r="V11" s="199">
        <v>5</v>
      </c>
      <c r="W11" s="187">
        <f>+V11/'18'!V11*1000</f>
        <v>25.773195876288657</v>
      </c>
      <c r="X11" s="199">
        <v>2</v>
      </c>
      <c r="Y11" s="187">
        <f>+X11/'18'!X11*1000</f>
        <v>10.362694300518134</v>
      </c>
      <c r="Z11" s="199">
        <v>1</v>
      </c>
      <c r="AA11" s="187">
        <f>+Z11/'18'!Z11*1000</f>
        <v>8.695652173913043</v>
      </c>
      <c r="AB11" s="199">
        <v>7</v>
      </c>
      <c r="AC11" s="187">
        <f>+AB11/'18'!AB11*1000</f>
        <v>17.857142857142858</v>
      </c>
      <c r="AD11" s="199">
        <v>0</v>
      </c>
      <c r="AE11" s="187">
        <f>+AD11/'18'!AD11*1000</f>
        <v>0</v>
      </c>
    </row>
    <row r="12" spans="1:31" ht="24.75" customHeight="1">
      <c r="A12" s="186">
        <f>+'19'!A12</f>
        <v>2015</v>
      </c>
      <c r="B12" s="152">
        <f>+'21'!B12+'19'!B12</f>
        <v>3017</v>
      </c>
      <c r="C12" s="187">
        <f>+B12/'18'!B12*1000</f>
        <v>12.330894674459476</v>
      </c>
      <c r="D12" s="152">
        <f>+'21'!D12+'19'!D12</f>
        <v>226</v>
      </c>
      <c r="E12" s="187">
        <f>+D12/'18'!D12*1000</f>
        <v>9.5770828036274249</v>
      </c>
      <c r="F12" s="152">
        <v>29</v>
      </c>
      <c r="G12" s="187">
        <f>+F12/'18'!F12*1000</f>
        <v>7.5149002332210424</v>
      </c>
      <c r="H12" s="198">
        <v>10</v>
      </c>
      <c r="I12" s="191">
        <f>+H12/'18'!H12*1000</f>
        <v>6.337135614702154</v>
      </c>
      <c r="J12" s="199">
        <v>7</v>
      </c>
      <c r="K12" s="191">
        <f>+J12/'18'!J12*1000</f>
        <v>7.2239422084623319</v>
      </c>
      <c r="L12" s="199">
        <v>1</v>
      </c>
      <c r="M12" s="191">
        <f>+L12/'18'!L12*1000</f>
        <v>4.1493775933609962</v>
      </c>
      <c r="N12" s="199">
        <v>1</v>
      </c>
      <c r="O12" s="191">
        <f>+N12/'18'!N12*1000</f>
        <v>4.5248868778280551</v>
      </c>
      <c r="P12" s="199">
        <v>1</v>
      </c>
      <c r="Q12" s="187">
        <f>+P12/'18'!P12*1000</f>
        <v>6.8027210884353737</v>
      </c>
      <c r="R12" s="152">
        <v>19</v>
      </c>
      <c r="S12" s="187">
        <f>+R12/'18'!R12*1000</f>
        <v>8.3296799649276636</v>
      </c>
      <c r="T12" s="199">
        <v>11</v>
      </c>
      <c r="U12" s="187">
        <f>+T12/'18'!T12*1000</f>
        <v>9.2514718250630779</v>
      </c>
      <c r="V12" s="199">
        <v>3</v>
      </c>
      <c r="W12" s="187">
        <f>+V12/'18'!V12*1000</f>
        <v>13.45291479820628</v>
      </c>
      <c r="X12" s="199">
        <v>5</v>
      </c>
      <c r="Y12" s="187">
        <f>+X12/'18'!X12*1000</f>
        <v>22.522522522522522</v>
      </c>
      <c r="Z12" s="199">
        <v>0</v>
      </c>
      <c r="AA12" s="187">
        <f>+Z12/'18'!Z12*1000</f>
        <v>0</v>
      </c>
      <c r="AB12" s="199">
        <v>0</v>
      </c>
      <c r="AC12" s="187">
        <f>+AB12/'18'!AB12*1000</f>
        <v>0</v>
      </c>
      <c r="AD12" s="199">
        <v>0</v>
      </c>
      <c r="AE12" s="187">
        <f>+AD12/'18'!AD12*1000</f>
        <v>0</v>
      </c>
    </row>
    <row r="13" spans="1:31" ht="24.75" customHeight="1">
      <c r="A13" s="186">
        <f>+'19'!A13</f>
        <v>2016</v>
      </c>
      <c r="B13" s="152">
        <f>+'21'!B13+'19'!B13</f>
        <v>2933</v>
      </c>
      <c r="C13" s="187">
        <f>+B13/'18'!B13*1000</f>
        <v>12.705219839722764</v>
      </c>
      <c r="D13" s="152">
        <f>+'21'!D13+'19'!D13</f>
        <v>187</v>
      </c>
      <c r="E13" s="187">
        <f>+D13/'18'!D13*1000</f>
        <v>10.448678549477565</v>
      </c>
      <c r="F13" s="152">
        <v>23</v>
      </c>
      <c r="G13" s="187">
        <f>+F13/'18'!F13*1000</f>
        <v>6.9887572166514733</v>
      </c>
      <c r="H13" s="198">
        <v>10</v>
      </c>
      <c r="I13" s="191">
        <f>+H13/'18'!H13*1000</f>
        <v>7.3691967575534267</v>
      </c>
      <c r="J13" s="199">
        <v>6</v>
      </c>
      <c r="K13" s="191">
        <f>+J13/'18'!J13*1000</f>
        <v>7.042253521126761</v>
      </c>
      <c r="L13" s="199">
        <v>1</v>
      </c>
      <c r="M13" s="191">
        <f>+L13/'18'!L13*1000</f>
        <v>5.025125628140704</v>
      </c>
      <c r="N13" s="199">
        <v>1</v>
      </c>
      <c r="O13" s="191">
        <f>+N13/'18'!N13*1000</f>
        <v>5.2631578947368416</v>
      </c>
      <c r="P13" s="199">
        <v>2</v>
      </c>
      <c r="Q13" s="187">
        <f>+P13/'18'!P13*1000</f>
        <v>17.241379310344826</v>
      </c>
      <c r="R13" s="152">
        <v>13</v>
      </c>
      <c r="S13" s="187">
        <f>+R13/'18'!R13*1000</f>
        <v>6.7218200620475699</v>
      </c>
      <c r="T13" s="199">
        <v>10</v>
      </c>
      <c r="U13" s="187">
        <f>+T13/'18'!T13*1000</f>
        <v>9.6153846153846168</v>
      </c>
      <c r="V13" s="199">
        <v>1</v>
      </c>
      <c r="W13" s="187">
        <f>+V13/'18'!V13*1000</f>
        <v>5.6497175141242941</v>
      </c>
      <c r="X13" s="199">
        <v>0</v>
      </c>
      <c r="Y13" s="187">
        <f>+X13/'18'!X13*1000</f>
        <v>0</v>
      </c>
      <c r="Z13" s="199">
        <v>0</v>
      </c>
      <c r="AA13" s="187">
        <f>+Z13/'18'!Z13*1000</f>
        <v>0</v>
      </c>
      <c r="AB13" s="199">
        <v>2</v>
      </c>
      <c r="AC13" s="187">
        <f>+AB13/'18'!AB13*1000</f>
        <v>7.1942446043165473</v>
      </c>
      <c r="AD13" s="199">
        <v>0</v>
      </c>
      <c r="AE13" s="187">
        <f>+AD13/'18'!AD13*1000</f>
        <v>0</v>
      </c>
    </row>
    <row r="14" spans="1:31" ht="24.75" customHeight="1">
      <c r="A14" s="186">
        <f>+'19'!A14</f>
        <v>2017</v>
      </c>
      <c r="B14" s="152">
        <f>+'21'!B14+'19'!B14</f>
        <v>2506</v>
      </c>
      <c r="C14" s="187">
        <f>+B14/'18'!B14*1000</f>
        <v>11.425549278950273</v>
      </c>
      <c r="D14" s="152">
        <f>+'21'!D14+'19'!D14</f>
        <v>241</v>
      </c>
      <c r="E14" s="187">
        <f>+D14/'18'!D14*1000</f>
        <v>11.85265332218561</v>
      </c>
      <c r="F14" s="152">
        <v>25</v>
      </c>
      <c r="G14" s="187">
        <f>+F14/'18'!F14*1000</f>
        <v>8.3920778784827128</v>
      </c>
      <c r="H14" s="198">
        <v>6</v>
      </c>
      <c r="I14" s="191">
        <f>+H14/'18'!H14*1000</f>
        <v>5.0083472454090145</v>
      </c>
      <c r="J14" s="199">
        <v>4</v>
      </c>
      <c r="K14" s="191">
        <f>+J14/'18'!J14*1000</f>
        <v>5.5788005578800552</v>
      </c>
      <c r="L14" s="199">
        <v>1</v>
      </c>
      <c r="M14" s="191">
        <f>+L14/'18'!L14*1000</f>
        <v>5.8823529411764701</v>
      </c>
      <c r="N14" s="199">
        <v>0</v>
      </c>
      <c r="O14" s="191">
        <f>+N14/'18'!N14*1000</f>
        <v>0</v>
      </c>
      <c r="P14" s="199">
        <v>1</v>
      </c>
      <c r="Q14" s="187">
        <f>+P14/'18'!P14*1000</f>
        <v>7.4626865671641793</v>
      </c>
      <c r="R14" s="152">
        <v>19</v>
      </c>
      <c r="S14" s="187">
        <f>+R14/'18'!R14*1000</f>
        <v>10.668163952835485</v>
      </c>
      <c r="T14" s="199">
        <v>9</v>
      </c>
      <c r="U14" s="187">
        <f>+T14/'18'!T14*1000</f>
        <v>9.4736842105263168</v>
      </c>
      <c r="V14" s="199">
        <v>2</v>
      </c>
      <c r="W14" s="187">
        <f>+V14/'18'!V14*1000</f>
        <v>11.76470588235294</v>
      </c>
      <c r="X14" s="199">
        <v>0</v>
      </c>
      <c r="Y14" s="187">
        <f>+X14/'18'!X14*1000</f>
        <v>0</v>
      </c>
      <c r="Z14" s="199">
        <v>2</v>
      </c>
      <c r="AA14" s="187">
        <f>+Z14/'18'!Z14*1000</f>
        <v>28.571428571428569</v>
      </c>
      <c r="AB14" s="199">
        <v>3</v>
      </c>
      <c r="AC14" s="187">
        <f>+AB14/'18'!AB14*1000</f>
        <v>10.309278350515465</v>
      </c>
      <c r="AD14" s="199">
        <v>3</v>
      </c>
      <c r="AE14" s="187">
        <f>+AD14/'18'!AD14*1000</f>
        <v>19.108280254777068</v>
      </c>
    </row>
    <row r="15" spans="1:31" ht="24.75" customHeight="1">
      <c r="A15" s="186">
        <f>+'19'!A15</f>
        <v>2018</v>
      </c>
      <c r="B15" s="152">
        <f>+'21'!B15+'19'!B15</f>
        <v>2596</v>
      </c>
      <c r="C15" s="187">
        <f>+B15/'18'!B15*1000</f>
        <v>11.707880269335366</v>
      </c>
      <c r="D15" s="152">
        <f>+'21'!D15+'19'!D15</f>
        <v>209</v>
      </c>
      <c r="E15" s="187">
        <f>+D15/'18'!D15*1000</f>
        <v>9.7970280785637271</v>
      </c>
      <c r="F15" s="152">
        <v>24</v>
      </c>
      <c r="G15" s="187">
        <f>+F15/'18'!F15*1000</f>
        <v>7.7120822622107967</v>
      </c>
      <c r="H15" s="198">
        <v>13</v>
      </c>
      <c r="I15" s="191">
        <f>+H15/'18'!H15*1000</f>
        <v>11.314186248912097</v>
      </c>
      <c r="J15" s="199">
        <v>10</v>
      </c>
      <c r="K15" s="191">
        <f>+J15/'18'!J15*1000</f>
        <v>13.947001394700139</v>
      </c>
      <c r="L15" s="199">
        <v>1</v>
      </c>
      <c r="M15" s="191">
        <f>+L15/'18'!L15*1000</f>
        <v>5.8479532163742682</v>
      </c>
      <c r="N15" s="199">
        <v>2</v>
      </c>
      <c r="O15" s="191">
        <f>+N15/'18'!N15*1000</f>
        <v>14.388489208633095</v>
      </c>
      <c r="P15" s="199">
        <v>0</v>
      </c>
      <c r="Q15" s="187">
        <f>+P15/'18'!P15*1000</f>
        <v>0</v>
      </c>
      <c r="R15" s="152">
        <v>11</v>
      </c>
      <c r="S15" s="187">
        <f>+R15/'18'!R15*1000</f>
        <v>5.6036678553234847</v>
      </c>
      <c r="T15" s="199">
        <v>5</v>
      </c>
      <c r="U15" s="187">
        <f>+T15/'18'!T15*1000</f>
        <v>4.8732943469785575</v>
      </c>
      <c r="V15" s="199">
        <v>1</v>
      </c>
      <c r="W15" s="187">
        <f>+V15/'18'!V15*1000</f>
        <v>4.6296296296296298</v>
      </c>
      <c r="X15" s="199">
        <v>1</v>
      </c>
      <c r="Y15" s="187">
        <f>+X15/'18'!X15*1000</f>
        <v>6.1728395061728394</v>
      </c>
      <c r="Z15" s="199">
        <v>0</v>
      </c>
      <c r="AA15" s="187">
        <f>+Z15/'18'!Z15*1000</f>
        <v>0</v>
      </c>
      <c r="AB15" s="199">
        <v>2</v>
      </c>
      <c r="AC15" s="187">
        <f>+AB15/'18'!AB15*1000</f>
        <v>6.6889632107023411</v>
      </c>
      <c r="AD15" s="199">
        <v>2</v>
      </c>
      <c r="AE15" s="187">
        <f>+AD15/'18'!AD15*1000</f>
        <v>11.627906976744185</v>
      </c>
    </row>
    <row r="16" spans="1:31" ht="24.75" customHeight="1">
      <c r="A16" s="186">
        <f>+'19'!A16</f>
        <v>2019</v>
      </c>
      <c r="B16" s="152">
        <f>+'21'!B16+'19'!B16</f>
        <v>2528</v>
      </c>
      <c r="C16" s="187">
        <f>+B16/'18'!B16*1000</f>
        <v>12.112326496193338</v>
      </c>
      <c r="D16" s="152">
        <f>+'21'!D16+'19'!D16</f>
        <v>204</v>
      </c>
      <c r="E16" s="187">
        <f>+D16/'18'!D16*1000</f>
        <v>10.497066995986415</v>
      </c>
      <c r="F16" s="152">
        <v>24</v>
      </c>
      <c r="G16" s="187">
        <f>+F16/'18'!F16*1000</f>
        <v>7.734450531743474</v>
      </c>
      <c r="H16" s="198">
        <v>6</v>
      </c>
      <c r="I16" s="191">
        <f>+H16/'18'!H16*1000</f>
        <v>5.0083472454090145</v>
      </c>
      <c r="J16" s="199">
        <v>4</v>
      </c>
      <c r="K16" s="191">
        <f>+J16/'18'!J16*1000</f>
        <v>5.4945054945054945</v>
      </c>
      <c r="L16" s="199">
        <v>1</v>
      </c>
      <c r="M16" s="191">
        <f>+L16/'18'!L16*1000</f>
        <v>5.3191489361702127</v>
      </c>
      <c r="N16" s="199">
        <v>0</v>
      </c>
      <c r="O16" s="191">
        <f>+N16/'18'!N16*1000</f>
        <v>0</v>
      </c>
      <c r="P16" s="199">
        <v>1</v>
      </c>
      <c r="Q16" s="187">
        <f>+P16/'18'!P16*1000</f>
        <v>8.4033613445378155</v>
      </c>
      <c r="R16" s="152">
        <v>18</v>
      </c>
      <c r="S16" s="187">
        <f>+R16/'18'!R16*1000</f>
        <v>9.4488188976377945</v>
      </c>
      <c r="T16" s="199">
        <v>7</v>
      </c>
      <c r="U16" s="187">
        <f>+T16/'18'!T16*1000</f>
        <v>6.7243035542747354</v>
      </c>
      <c r="V16" s="199">
        <v>1</v>
      </c>
      <c r="W16" s="187">
        <f>+V16/'18'!V16*1000</f>
        <v>5.8823529411764701</v>
      </c>
      <c r="X16" s="199">
        <v>0</v>
      </c>
      <c r="Y16" s="187">
        <f>+X16/'18'!X16*1000</f>
        <v>0</v>
      </c>
      <c r="Z16" s="199">
        <v>1</v>
      </c>
      <c r="AA16" s="187">
        <f>+Z16/'18'!Z16*1000</f>
        <v>13.698630136986301</v>
      </c>
      <c r="AB16" s="199">
        <v>4</v>
      </c>
      <c r="AC16" s="187">
        <f>+AB16/'18'!AB16*1000</f>
        <v>12.820512820512819</v>
      </c>
      <c r="AD16" s="199">
        <v>5</v>
      </c>
      <c r="AE16" s="187">
        <f>+AD16/'18'!AD16*1000</f>
        <v>30.864197530864196</v>
      </c>
    </row>
    <row r="17" spans="1:31" ht="24.75" customHeight="1">
      <c r="A17" s="186">
        <f>+'19'!A17</f>
        <v>2020</v>
      </c>
      <c r="B17" s="152">
        <f>+'21'!B17+'19'!B17</f>
        <v>2254</v>
      </c>
      <c r="C17" s="187">
        <f>+B17/'18'!B17*1000</f>
        <v>11.497594890864667</v>
      </c>
      <c r="D17" s="152">
        <f>+'21'!D17+'19'!D17</f>
        <v>199</v>
      </c>
      <c r="E17" s="187">
        <f>+D17/'18'!D17*1000</f>
        <v>10.797026748413</v>
      </c>
      <c r="F17" s="152">
        <v>19</v>
      </c>
      <c r="G17" s="187">
        <f>+F17/'18'!F17*1000</f>
        <v>7.2796934865900385</v>
      </c>
      <c r="H17" s="198">
        <v>6</v>
      </c>
      <c r="I17" s="191">
        <f>+H17/'18'!H17*1000</f>
        <v>6.1475409836065573</v>
      </c>
      <c r="J17" s="199">
        <v>6</v>
      </c>
      <c r="K17" s="191">
        <f>+J17/'18'!J17*1000</f>
        <v>10.169491525423728</v>
      </c>
      <c r="L17" s="199">
        <v>0</v>
      </c>
      <c r="M17" s="191">
        <f>+L17/'18'!L17*1000</f>
        <v>0</v>
      </c>
      <c r="N17" s="199">
        <v>0</v>
      </c>
      <c r="O17" s="191">
        <f>+N17/'18'!N17*1000</f>
        <v>0</v>
      </c>
      <c r="P17" s="199">
        <v>0</v>
      </c>
      <c r="Q17" s="187">
        <f>+P17/'18'!P17*1000</f>
        <v>0</v>
      </c>
      <c r="R17" s="152">
        <v>13</v>
      </c>
      <c r="S17" s="187">
        <f>+R17/'18'!R17*1000</f>
        <v>7.9559363525091804</v>
      </c>
      <c r="T17" s="199">
        <v>9</v>
      </c>
      <c r="U17" s="187">
        <f>+T17/'18'!T17*1000</f>
        <v>10.344827586206897</v>
      </c>
      <c r="V17" s="199">
        <v>2</v>
      </c>
      <c r="W17" s="187">
        <f>+V17/'18'!V17*1000</f>
        <v>11.363636363636363</v>
      </c>
      <c r="X17" s="199">
        <v>0</v>
      </c>
      <c r="Y17" s="187">
        <f>+X17/'18'!X17*1000</f>
        <v>0</v>
      </c>
      <c r="Z17" s="199">
        <v>1</v>
      </c>
      <c r="AA17" s="187">
        <f>+Z17/'18'!Z17*1000</f>
        <v>15.625</v>
      </c>
      <c r="AB17" s="199">
        <v>1</v>
      </c>
      <c r="AC17" s="187">
        <f>+AB17/'18'!AB17*1000</f>
        <v>3.8314176245210727</v>
      </c>
      <c r="AD17" s="199">
        <v>0</v>
      </c>
      <c r="AE17" s="187">
        <f>+AD17/'18'!AD17*1000</f>
        <v>0</v>
      </c>
    </row>
    <row r="18" spans="1:31" ht="24.75" customHeight="1">
      <c r="A18" s="186">
        <f>+'19'!A18</f>
        <v>2021</v>
      </c>
      <c r="B18" s="152">
        <f>+'21'!B18+'19'!B18</f>
        <v>563</v>
      </c>
      <c r="C18" s="187">
        <f>+B18/'18'!B18*1000</f>
        <v>3.1758925499088977</v>
      </c>
      <c r="D18" s="152">
        <f>+'21'!D18+'19'!D18</f>
        <v>67</v>
      </c>
      <c r="E18" s="187">
        <f>+D18/'18'!D18*1000</f>
        <v>4.8833819241982512</v>
      </c>
      <c r="F18" s="152">
        <v>16</v>
      </c>
      <c r="G18" s="187">
        <f>+F18/'18'!F18*1000</f>
        <v>7.2694229895502041</v>
      </c>
      <c r="H18" s="198">
        <v>4</v>
      </c>
      <c r="I18" s="191">
        <f>+H18/'18'!H18*1000</f>
        <v>4.6082949308755756</v>
      </c>
      <c r="J18" s="199">
        <v>4</v>
      </c>
      <c r="K18" s="191">
        <f>+J18/'18'!J18*1000</f>
        <v>7.9840319361277441</v>
      </c>
      <c r="L18" s="199">
        <v>0</v>
      </c>
      <c r="M18" s="191">
        <f>+L18/'18'!L18*1000</f>
        <v>0</v>
      </c>
      <c r="N18" s="199">
        <v>0</v>
      </c>
      <c r="O18" s="191">
        <f>+N18/'18'!N18*1000</f>
        <v>0</v>
      </c>
      <c r="P18" s="199">
        <v>0</v>
      </c>
      <c r="Q18" s="187">
        <f>+P18/'18'!P18*1000</f>
        <v>0</v>
      </c>
      <c r="R18" s="152">
        <v>12</v>
      </c>
      <c r="S18" s="187">
        <f>+R18/'18'!R18*1000</f>
        <v>9.0022505626406595</v>
      </c>
      <c r="T18" s="199">
        <v>7</v>
      </c>
      <c r="U18" s="187">
        <f>+T18/'18'!T18*1000</f>
        <v>10.115606936416185</v>
      </c>
      <c r="V18" s="199">
        <v>1</v>
      </c>
      <c r="W18" s="187">
        <f>+V18/'18'!V18*1000</f>
        <v>7.9365079365079358</v>
      </c>
      <c r="X18" s="199">
        <v>1</v>
      </c>
      <c r="Y18" s="187">
        <f>+X18/'18'!X18*1000</f>
        <v>10.309278350515465</v>
      </c>
      <c r="Z18" s="199">
        <v>1</v>
      </c>
      <c r="AA18" s="187">
        <f>+Z18/'18'!Z18*1000</f>
        <v>14.705882352941176</v>
      </c>
      <c r="AB18" s="199">
        <v>2</v>
      </c>
      <c r="AC18" s="187">
        <f>+AB18/'18'!AB18*1000</f>
        <v>8.695652173913043</v>
      </c>
      <c r="AD18" s="199">
        <v>0</v>
      </c>
      <c r="AE18" s="187">
        <f>+AD18/'18'!AD18*1000</f>
        <v>0</v>
      </c>
    </row>
    <row r="19" spans="1:31" ht="24.75" customHeight="1">
      <c r="A19" s="186">
        <f>+'19'!A19</f>
        <v>2022</v>
      </c>
      <c r="B19" s="152">
        <f>+'21'!B19+'19'!B19</f>
        <v>582</v>
      </c>
      <c r="C19" s="187">
        <f>+B19/'18'!B19*1000</f>
        <v>2.9307644662433341</v>
      </c>
      <c r="D19" s="152">
        <f>+'21'!D19+'19'!D19</f>
        <v>60</v>
      </c>
      <c r="E19" s="187">
        <f>+D19/'18'!D19*1000</f>
        <v>3.9039625219597891</v>
      </c>
      <c r="F19" s="152">
        <f>+R19+H19</f>
        <v>18</v>
      </c>
      <c r="G19" s="187">
        <f>+F19/'18'!F19*1000</f>
        <v>7.4937552039966695</v>
      </c>
      <c r="H19" s="198">
        <f>+J19+L19+N19+P19</f>
        <v>7</v>
      </c>
      <c r="I19" s="191">
        <f>+H19/'18'!H19*1000</f>
        <v>7.3684210526315788</v>
      </c>
      <c r="J19" s="199">
        <f>+'19'!J19+'21'!J19</f>
        <v>6</v>
      </c>
      <c r="K19" s="191">
        <f>+J19/'18'!J19*1000</f>
        <v>10.582010582010582</v>
      </c>
      <c r="L19" s="199">
        <f>+'19'!L19+'21'!L19</f>
        <v>0</v>
      </c>
      <c r="M19" s="191">
        <f>+L19/'18'!L19*1000</f>
        <v>0</v>
      </c>
      <c r="N19" s="199">
        <f>+'19'!N19+'21'!N19</f>
        <v>1</v>
      </c>
      <c r="O19" s="191">
        <f>+N19/'18'!N19*1000</f>
        <v>7.1942446043165473</v>
      </c>
      <c r="P19" s="199">
        <f>+'19'!P19+'21'!P19</f>
        <v>0</v>
      </c>
      <c r="Q19" s="187">
        <f>+P19/'18'!P19*1000</f>
        <v>0</v>
      </c>
      <c r="R19" s="152">
        <f>+T19+V19+X19+Z19+AB19+AD19</f>
        <v>11</v>
      </c>
      <c r="S19" s="187">
        <f>+R19/'18'!R19*1000</f>
        <v>7.5757575757575761</v>
      </c>
      <c r="T19" s="199">
        <f>+'19'!T19+'21'!T19</f>
        <v>5</v>
      </c>
      <c r="U19" s="187">
        <f>+T19/'18'!T19*1000</f>
        <v>6.7658998646820026</v>
      </c>
      <c r="V19" s="199">
        <f>+'19'!V19+'21'!V19</f>
        <v>1</v>
      </c>
      <c r="W19" s="187">
        <f>+V19/'18'!V19*1000</f>
        <v>7.4626865671641793</v>
      </c>
      <c r="X19" s="199">
        <f>+'19'!X19+'21'!X19</f>
        <v>1</v>
      </c>
      <c r="Y19" s="187">
        <f>+X19/'18'!X19*1000</f>
        <v>7.6923076923076925</v>
      </c>
      <c r="Z19" s="199">
        <f>+'19'!Z19+'21'!Z19</f>
        <v>0</v>
      </c>
      <c r="AA19" s="187">
        <f>+Z19/'18'!Z19*1000</f>
        <v>0</v>
      </c>
      <c r="AB19" s="199">
        <f>+'19'!AB19+'21'!AB19</f>
        <v>2</v>
      </c>
      <c r="AC19" s="187">
        <f>+AB19/'18'!AB19*1000</f>
        <v>7.6628352490421454</v>
      </c>
      <c r="AD19" s="199">
        <f>+'19'!AD19+'21'!AD19</f>
        <v>2</v>
      </c>
      <c r="AE19" s="187">
        <f>+AD19/'18'!AD19*1000</f>
        <v>16.393442622950822</v>
      </c>
    </row>
    <row r="20" spans="1:31" ht="24.75" customHeight="1">
      <c r="A20" s="186">
        <f>+'19'!A20</f>
        <v>2023</v>
      </c>
      <c r="B20" s="152">
        <f>+'21'!B21+'19'!B20</f>
        <v>0</v>
      </c>
      <c r="C20" s="187">
        <f>+B20/'18'!B20*1000</f>
        <v>0</v>
      </c>
      <c r="D20" s="152">
        <f>+'21'!D21+'19'!D20</f>
        <v>0</v>
      </c>
      <c r="E20" s="187">
        <f>+D20/'18'!D20*1000</f>
        <v>0</v>
      </c>
      <c r="F20" s="152">
        <f>+R20+H20</f>
        <v>13</v>
      </c>
      <c r="G20" s="187">
        <f>+F20/'18'!F20*1000</f>
        <v>5.7344508160564622</v>
      </c>
      <c r="H20" s="198">
        <f>+J20+L20+N20+P20</f>
        <v>4</v>
      </c>
      <c r="I20" s="191">
        <f>+H20/'18'!H20*1000</f>
        <v>4.6838407494145198</v>
      </c>
      <c r="J20" s="199">
        <f>+'19'!J20+'21'!J21</f>
        <v>3</v>
      </c>
      <c r="K20" s="191">
        <f>+J20/'18'!J20*1000</f>
        <v>5.7692307692307692</v>
      </c>
      <c r="L20" s="199">
        <f>+'19'!L20+'21'!L21</f>
        <v>0</v>
      </c>
      <c r="M20" s="191">
        <f>+L20/'18'!L20*1000</f>
        <v>0</v>
      </c>
      <c r="N20" s="199">
        <f>+'19'!N20+'21'!N21</f>
        <v>1</v>
      </c>
      <c r="O20" s="191">
        <f>+N20/'18'!N20*1000</f>
        <v>7.6335877862595414</v>
      </c>
      <c r="P20" s="199">
        <f>+'19'!P20+'21'!P21</f>
        <v>0</v>
      </c>
      <c r="Q20" s="187">
        <f>+P20/'18'!P20*1000</f>
        <v>0</v>
      </c>
      <c r="R20" s="152">
        <f>+T20+V20+X20+Z20+AB20+AD20</f>
        <v>9</v>
      </c>
      <c r="S20" s="187">
        <f>+R20/'18'!R20*1000</f>
        <v>6.369426751592357</v>
      </c>
      <c r="T20" s="199">
        <f>+'19'!T20+'21'!T21</f>
        <v>5</v>
      </c>
      <c r="U20" s="187">
        <f>+T20/'18'!T20*1000</f>
        <v>6.5616797900262469</v>
      </c>
      <c r="V20" s="199">
        <f>+'19'!V20+'21'!V21</f>
        <v>1</v>
      </c>
      <c r="W20" s="187">
        <f>+V20/'18'!V20*1000</f>
        <v>7.4626865671641793</v>
      </c>
      <c r="X20" s="199">
        <f>+'19'!X20+'21'!X21</f>
        <v>0</v>
      </c>
      <c r="Y20" s="187">
        <f>+X20/'18'!X20*1000</f>
        <v>0</v>
      </c>
      <c r="Z20" s="199">
        <f>+'19'!Z20+'21'!Z21</f>
        <v>0</v>
      </c>
      <c r="AA20" s="187">
        <f>+Z20/'18'!Z20*1000</f>
        <v>0</v>
      </c>
      <c r="AB20" s="199">
        <f>+'19'!AB20+'21'!AB21</f>
        <v>1</v>
      </c>
      <c r="AC20" s="187">
        <f>+AB20/'18'!AB20*1000</f>
        <v>4.3103448275862064</v>
      </c>
      <c r="AD20" s="199">
        <f>+'19'!AD20+'21'!AD21</f>
        <v>2</v>
      </c>
      <c r="AE20" s="187">
        <f>+AD20/'18'!AD20*1000</f>
        <v>19.230769230769234</v>
      </c>
    </row>
    <row r="21" spans="1:31">
      <c r="A21" s="192"/>
      <c r="B21" s="155"/>
      <c r="C21" s="193"/>
      <c r="D21" s="155"/>
      <c r="E21" s="193"/>
      <c r="F21" s="160"/>
      <c r="G21" s="193"/>
      <c r="H21" s="194"/>
      <c r="I21" s="194"/>
      <c r="J21" s="155"/>
      <c r="K21" s="193"/>
      <c r="L21" s="155"/>
      <c r="M21" s="193"/>
      <c r="N21" s="155"/>
      <c r="O21" s="193"/>
      <c r="P21" s="155"/>
      <c r="Q21" s="193"/>
      <c r="R21" s="194"/>
      <c r="S21" s="194"/>
      <c r="T21" s="155"/>
      <c r="U21" s="193"/>
      <c r="V21" s="155"/>
      <c r="W21" s="193"/>
      <c r="X21" s="155"/>
      <c r="Y21" s="193"/>
      <c r="Z21" s="155"/>
      <c r="AA21" s="193"/>
      <c r="AB21" s="155"/>
      <c r="AC21" s="193"/>
      <c r="AD21" s="194"/>
      <c r="AE21" s="193"/>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165" t="str">
        <f>+'18'!B22</f>
        <v>AÑO   2023  :   DATOS POR RESIDENCIA</v>
      </c>
      <c r="C23" s="165"/>
      <c r="D23" s="165"/>
      <c r="E23" s="165"/>
      <c r="F23" s="165"/>
      <c r="G23" s="165"/>
      <c r="H23" s="165"/>
      <c r="I23" s="165"/>
      <c r="J23" s="165"/>
      <c r="K23" s="1"/>
      <c r="L23" s="1"/>
      <c r="M23" s="1"/>
      <c r="N23" s="1"/>
      <c r="O23" s="1"/>
      <c r="P23" s="1"/>
      <c r="Q23" s="1"/>
      <c r="R23" s="1"/>
      <c r="S23" s="1"/>
      <c r="T23" s="1"/>
      <c r="U23" s="1"/>
      <c r="V23" s="1"/>
      <c r="W23" s="1"/>
      <c r="X23" s="1"/>
      <c r="Y23" s="1"/>
      <c r="Z23" s="1"/>
      <c r="AA23" s="1"/>
      <c r="AB23" s="1"/>
      <c r="AC23" s="1"/>
      <c r="AD23" s="1"/>
      <c r="AE23" s="1"/>
    </row>
    <row r="24" spans="1:31">
      <c r="A24" s="1"/>
      <c r="B24" s="161"/>
      <c r="C24" s="165" t="s">
        <v>619</v>
      </c>
      <c r="D24" s="165"/>
      <c r="E24" s="165"/>
      <c r="F24" s="165"/>
      <c r="G24" s="161"/>
      <c r="H24" s="161"/>
      <c r="I24" s="161"/>
      <c r="J24" s="161"/>
      <c r="K24" s="1"/>
      <c r="L24" s="1"/>
      <c r="M24" s="1"/>
      <c r="N24" s="1"/>
      <c r="O24" s="1"/>
      <c r="P24" s="1"/>
      <c r="Q24" s="1"/>
      <c r="R24" s="1"/>
      <c r="S24" s="1"/>
      <c r="T24" s="1"/>
      <c r="U24" s="1"/>
      <c r="V24" s="1"/>
      <c r="W24" s="1"/>
      <c r="X24" s="1"/>
      <c r="Y24" s="1"/>
      <c r="Z24" s="1"/>
      <c r="AA24" s="1"/>
      <c r="AB24" s="1"/>
      <c r="AC24" s="1"/>
      <c r="AD24" s="1"/>
      <c r="AE24" s="1"/>
    </row>
    <row r="25" spans="1:3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8"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E25"/>
  <sheetViews>
    <sheetView zoomScaleNormal="100" workbookViewId="0">
      <selection activeCell="A3" sqref="A3"/>
    </sheetView>
  </sheetViews>
  <sheetFormatPr baseColWidth="10" defaultRowHeight="12.75"/>
  <cols>
    <col min="1" max="1" width="6.28515625" customWidth="1"/>
    <col min="2" max="2" width="5.7109375" customWidth="1"/>
    <col min="3" max="3" width="5.42578125" customWidth="1"/>
    <col min="4" max="4" width="5" customWidth="1"/>
    <col min="5" max="5" width="7.5703125" customWidth="1"/>
    <col min="6" max="6" width="6.28515625" customWidth="1"/>
    <col min="7" max="7" width="5.28515625" customWidth="1"/>
    <col min="8" max="9" width="6.42578125" customWidth="1"/>
    <col min="10" max="10" width="4" customWidth="1"/>
    <col min="11" max="11" width="5.7109375" customWidth="1"/>
    <col min="12" max="12" width="4" customWidth="1"/>
    <col min="13" max="13" width="5.7109375" customWidth="1"/>
    <col min="14" max="15" width="5.28515625" customWidth="1"/>
    <col min="16" max="16" width="4.5703125" customWidth="1"/>
    <col min="17" max="19" width="5.7109375" customWidth="1"/>
    <col min="20" max="20" width="4.28515625" customWidth="1"/>
    <col min="21" max="21" width="5.7109375" customWidth="1"/>
    <col min="22" max="22" width="3.7109375" customWidth="1"/>
    <col min="23" max="23" width="5.7109375" customWidth="1"/>
    <col min="24" max="24" width="4" customWidth="1"/>
    <col min="25" max="25" width="5.7109375" customWidth="1"/>
    <col min="26" max="26" width="4.28515625" customWidth="1"/>
    <col min="27" max="27" width="5.7109375" customWidth="1"/>
    <col min="28" max="28" width="3.7109375" customWidth="1"/>
    <col min="29" max="29" width="5.7109375" customWidth="1"/>
    <col min="30" max="30" width="3.7109375" customWidth="1"/>
    <col min="31" max="31" width="5.7109375" customWidth="1"/>
  </cols>
  <sheetData>
    <row r="1" spans="1:31">
      <c r="A1" s="115" t="s">
        <v>620</v>
      </c>
      <c r="B1" s="200"/>
      <c r="C1" s="200"/>
      <c r="D1" s="200"/>
      <c r="E1" s="200"/>
      <c r="F1" s="200"/>
      <c r="G1" s="200"/>
      <c r="H1" s="200"/>
      <c r="I1" s="200"/>
      <c r="J1" s="200"/>
      <c r="K1" s="200"/>
      <c r="L1" s="86"/>
      <c r="M1" s="86"/>
      <c r="N1" s="86"/>
      <c r="O1" s="86"/>
      <c r="P1" s="86"/>
      <c r="Q1" s="86"/>
      <c r="R1" s="86"/>
      <c r="S1" s="86"/>
      <c r="T1" s="86"/>
      <c r="U1" s="86"/>
      <c r="V1" s="86"/>
      <c r="W1" s="86"/>
      <c r="X1" s="86"/>
      <c r="Y1" s="86"/>
      <c r="Z1" s="86"/>
      <c r="AA1" s="86"/>
      <c r="AB1" s="86"/>
      <c r="AC1" s="86"/>
      <c r="AD1" s="86"/>
      <c r="AE1" s="86"/>
    </row>
    <row r="2" spans="1:31">
      <c r="A2" s="200"/>
      <c r="B2" s="200"/>
      <c r="C2" s="200"/>
      <c r="D2" s="200"/>
      <c r="E2" s="200"/>
      <c r="F2" s="200"/>
      <c r="G2" s="200"/>
      <c r="H2" s="200"/>
      <c r="I2" s="200"/>
      <c r="J2" s="200"/>
      <c r="K2" s="200"/>
      <c r="L2" s="86"/>
      <c r="M2" s="86"/>
      <c r="N2" s="86"/>
      <c r="O2" s="86"/>
      <c r="P2" s="86"/>
      <c r="Q2" s="86"/>
      <c r="R2" s="86"/>
      <c r="S2" s="86"/>
      <c r="T2" s="86"/>
      <c r="U2" s="86"/>
      <c r="V2" s="86"/>
      <c r="W2" s="86"/>
      <c r="X2" s="86"/>
      <c r="Y2" s="86"/>
      <c r="Z2" s="86"/>
      <c r="AA2" s="86"/>
      <c r="AB2" s="86"/>
      <c r="AC2" s="86"/>
      <c r="AD2" s="86"/>
      <c r="AE2" s="86"/>
    </row>
    <row r="3" spans="1:31">
      <c r="A3" s="115" t="str">
        <f>+'20'!A3</f>
        <v>AÑOS   2014  - 2023</v>
      </c>
      <c r="B3" s="200"/>
      <c r="C3" s="200"/>
      <c r="D3" s="200"/>
      <c r="E3" s="200"/>
      <c r="F3" s="200"/>
      <c r="G3" s="200"/>
      <c r="H3" s="200"/>
      <c r="I3" s="200"/>
      <c r="J3" s="200"/>
      <c r="K3" s="200"/>
      <c r="L3" s="86"/>
      <c r="M3" s="86"/>
      <c r="N3" s="86"/>
      <c r="O3" s="86"/>
      <c r="P3" s="86"/>
      <c r="Q3" s="86"/>
      <c r="R3" s="86"/>
      <c r="S3" s="86"/>
      <c r="T3" s="86"/>
      <c r="U3" s="86"/>
      <c r="V3" s="86"/>
      <c r="W3" s="86"/>
      <c r="X3" s="86"/>
      <c r="Y3" s="86"/>
      <c r="Z3" s="86"/>
      <c r="AA3" s="86"/>
      <c r="AB3" s="86"/>
      <c r="AC3" s="86"/>
      <c r="AD3" s="86"/>
      <c r="AE3" s="86"/>
    </row>
    <row r="4" spans="1:31">
      <c r="A4" s="86"/>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row>
    <row r="5" spans="1:31">
      <c r="A5" s="1"/>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row>
    <row r="6" spans="1:31" ht="20.25" customHeight="1">
      <c r="A6" s="1058"/>
      <c r="B6" s="1059"/>
      <c r="C6" s="1060"/>
      <c r="D6" s="1059"/>
      <c r="E6" s="1060"/>
      <c r="F6" s="1059"/>
      <c r="G6" s="1060"/>
      <c r="H6" s="1032"/>
      <c r="I6" s="1033"/>
      <c r="J6" s="967" t="s">
        <v>596</v>
      </c>
      <c r="K6" s="967"/>
      <c r="L6" s="967"/>
      <c r="M6" s="967"/>
      <c r="N6" s="967"/>
      <c r="O6" s="967"/>
      <c r="P6" s="967"/>
      <c r="Q6" s="967"/>
      <c r="R6" s="967"/>
      <c r="S6" s="967"/>
      <c r="T6" s="967"/>
      <c r="U6" s="967"/>
      <c r="V6" s="967"/>
      <c r="W6" s="967"/>
      <c r="X6" s="967"/>
      <c r="Y6" s="967"/>
      <c r="Z6" s="967"/>
      <c r="AA6" s="967"/>
      <c r="AB6" s="967"/>
      <c r="AC6" s="967"/>
      <c r="AD6" s="1033"/>
      <c r="AE6" s="1034"/>
    </row>
    <row r="7" spans="1:31">
      <c r="A7" s="1042"/>
      <c r="B7" s="992"/>
      <c r="C7" s="1043"/>
      <c r="D7" s="992"/>
      <c r="E7" s="1045"/>
      <c r="F7" s="1037" t="s">
        <v>604</v>
      </c>
      <c r="G7" s="1061"/>
      <c r="H7" s="965" t="s">
        <v>605</v>
      </c>
      <c r="I7" s="1038"/>
      <c r="J7" s="1039"/>
      <c r="K7" s="1040"/>
      <c r="L7" s="1039"/>
      <c r="M7" s="1040"/>
      <c r="N7" s="1039"/>
      <c r="O7" s="1040"/>
      <c r="P7" s="1039"/>
      <c r="Q7" s="1040"/>
      <c r="R7" s="965" t="s">
        <v>605</v>
      </c>
      <c r="S7" s="1038"/>
      <c r="T7" s="1039"/>
      <c r="U7" s="1040"/>
      <c r="V7" s="1039"/>
      <c r="W7" s="1040"/>
      <c r="X7" s="1039"/>
      <c r="Y7" s="1040"/>
      <c r="Z7" s="1041"/>
      <c r="AA7" s="1040"/>
      <c r="AB7" s="1039"/>
      <c r="AC7" s="1040"/>
      <c r="AD7" s="1039"/>
      <c r="AE7" s="1040"/>
    </row>
    <row r="8" spans="1:31" ht="18" customHeight="1">
      <c r="A8" s="1042" t="s">
        <v>597</v>
      </c>
      <c r="B8" s="992" t="s">
        <v>602</v>
      </c>
      <c r="C8" s="992"/>
      <c r="D8" s="992" t="s">
        <v>603</v>
      </c>
      <c r="E8" s="1043"/>
      <c r="F8" s="992" t="s">
        <v>606</v>
      </c>
      <c r="G8" s="1043"/>
      <c r="H8" s="992" t="s">
        <v>587</v>
      </c>
      <c r="I8" s="1043"/>
      <c r="J8" s="992" t="s">
        <v>587</v>
      </c>
      <c r="K8" s="1043"/>
      <c r="L8" s="1044" t="s">
        <v>384</v>
      </c>
      <c r="M8" s="1045"/>
      <c r="N8" s="992" t="s">
        <v>608</v>
      </c>
      <c r="O8" s="1043"/>
      <c r="P8" s="992" t="s">
        <v>387</v>
      </c>
      <c r="Q8" s="1043"/>
      <c r="R8" s="992" t="s">
        <v>609</v>
      </c>
      <c r="S8" s="1043"/>
      <c r="T8" s="992" t="s">
        <v>609</v>
      </c>
      <c r="U8" s="1043"/>
      <c r="V8" s="992" t="s">
        <v>351</v>
      </c>
      <c r="W8" s="1043"/>
      <c r="X8" s="992" t="s">
        <v>369</v>
      </c>
      <c r="Y8" s="1043"/>
      <c r="Z8" s="992" t="s">
        <v>374</v>
      </c>
      <c r="AA8" s="1043"/>
      <c r="AB8" s="992" t="s">
        <v>610</v>
      </c>
      <c r="AC8" s="1043"/>
      <c r="AD8" s="992" t="s">
        <v>376</v>
      </c>
      <c r="AE8" s="1043"/>
    </row>
    <row r="9" spans="1:31" ht="18.75" customHeight="1">
      <c r="A9" s="1046"/>
      <c r="B9" s="1047" t="s">
        <v>614</v>
      </c>
      <c r="C9" s="1048" t="s">
        <v>615</v>
      </c>
      <c r="D9" s="1047" t="s">
        <v>614</v>
      </c>
      <c r="E9" s="1048" t="s">
        <v>615</v>
      </c>
      <c r="F9" s="1047" t="s">
        <v>614</v>
      </c>
      <c r="G9" s="1048" t="s">
        <v>615</v>
      </c>
      <c r="H9" s="1047" t="s">
        <v>614</v>
      </c>
      <c r="I9" s="1049" t="s">
        <v>615</v>
      </c>
      <c r="J9" s="1047" t="s">
        <v>614</v>
      </c>
      <c r="K9" s="1049" t="s">
        <v>615</v>
      </c>
      <c r="L9" s="1047" t="s">
        <v>614</v>
      </c>
      <c r="M9" s="1048" t="s">
        <v>615</v>
      </c>
      <c r="N9" s="1047" t="s">
        <v>614</v>
      </c>
      <c r="O9" s="1048" t="s">
        <v>615</v>
      </c>
      <c r="P9" s="1047" t="s">
        <v>614</v>
      </c>
      <c r="Q9" s="1048" t="s">
        <v>615</v>
      </c>
      <c r="R9" s="1047" t="s">
        <v>614</v>
      </c>
      <c r="S9" s="1049" t="s">
        <v>615</v>
      </c>
      <c r="T9" s="1047" t="s">
        <v>614</v>
      </c>
      <c r="U9" s="1048" t="s">
        <v>615</v>
      </c>
      <c r="V9" s="1047" t="s">
        <v>614</v>
      </c>
      <c r="W9" s="1048" t="s">
        <v>615</v>
      </c>
      <c r="X9" s="1047" t="s">
        <v>614</v>
      </c>
      <c r="Y9" s="1048" t="s">
        <v>615</v>
      </c>
      <c r="Z9" s="1047" t="s">
        <v>614</v>
      </c>
      <c r="AA9" s="1048" t="s">
        <v>615</v>
      </c>
      <c r="AB9" s="1047" t="s">
        <v>614</v>
      </c>
      <c r="AC9" s="1048" t="s">
        <v>615</v>
      </c>
      <c r="AD9" s="1047" t="s">
        <v>614</v>
      </c>
      <c r="AE9" s="1048" t="s">
        <v>615</v>
      </c>
    </row>
    <row r="10" spans="1:31">
      <c r="A10" s="141"/>
      <c r="B10" s="142"/>
      <c r="C10" s="180"/>
      <c r="D10" s="142"/>
      <c r="E10" s="180"/>
      <c r="F10" s="142"/>
      <c r="G10" s="180"/>
      <c r="H10" s="185"/>
      <c r="I10" s="185"/>
      <c r="J10" s="142"/>
      <c r="K10" s="180"/>
      <c r="L10" s="142"/>
      <c r="M10" s="180"/>
      <c r="N10" s="142"/>
      <c r="O10" s="180"/>
      <c r="P10" s="142"/>
      <c r="Q10" s="185"/>
      <c r="R10" s="142"/>
      <c r="S10" s="180"/>
      <c r="T10" s="142"/>
      <c r="U10" s="180"/>
      <c r="V10" s="142"/>
      <c r="W10" s="180"/>
      <c r="X10" s="142"/>
      <c r="Y10" s="180"/>
      <c r="Z10" s="142"/>
      <c r="AA10" s="180"/>
      <c r="AB10" s="142"/>
      <c r="AC10" s="185"/>
      <c r="AD10" s="142"/>
      <c r="AE10" s="180"/>
    </row>
    <row r="11" spans="1:31" ht="26.25" customHeight="1">
      <c r="A11" s="186">
        <f>+'20'!A11</f>
        <v>2014</v>
      </c>
      <c r="B11" s="152">
        <v>1034</v>
      </c>
      <c r="C11" s="197">
        <f>+B11/'18'!B11*1000</f>
        <v>4.2401725594403308</v>
      </c>
      <c r="D11" s="188">
        <v>65</v>
      </c>
      <c r="E11" s="197">
        <f>+D11/'18'!D11*1000</f>
        <v>2.6808545739503424</v>
      </c>
      <c r="F11" s="152">
        <v>13</v>
      </c>
      <c r="G11" s="197">
        <f>+F11/'18'!F11*1000</f>
        <v>3.4638955502264852</v>
      </c>
      <c r="H11" s="202">
        <v>2</v>
      </c>
      <c r="I11" s="197">
        <f>+H11/'18'!H11*1000</f>
        <v>1.2812299807815501</v>
      </c>
      <c r="J11" s="152">
        <v>0</v>
      </c>
      <c r="K11" s="197">
        <f>+J11/'18'!J11*1000</f>
        <v>0</v>
      </c>
      <c r="L11" s="188">
        <v>1</v>
      </c>
      <c r="M11" s="197">
        <f>+L11/'18'!L11*1000</f>
        <v>3.9370078740157481</v>
      </c>
      <c r="N11" s="188">
        <v>0</v>
      </c>
      <c r="O11" s="197">
        <f>+N11/'18'!N11*1000</f>
        <v>0</v>
      </c>
      <c r="P11" s="188">
        <v>1</v>
      </c>
      <c r="Q11" s="197">
        <f>+P11/'18'!P11*1000</f>
        <v>7.5757575757575761</v>
      </c>
      <c r="R11" s="152">
        <v>11</v>
      </c>
      <c r="S11" s="191">
        <f>+R11/'18'!R11*1000</f>
        <v>5.0182481751824817</v>
      </c>
      <c r="T11" s="152">
        <v>7</v>
      </c>
      <c r="U11" s="197">
        <f>+T11/'18'!T11*1000</f>
        <v>6.3578564940962767</v>
      </c>
      <c r="V11" s="188">
        <v>2</v>
      </c>
      <c r="W11" s="197">
        <f>+V11/'18'!V11*1000</f>
        <v>10.309278350515465</v>
      </c>
      <c r="X11" s="188">
        <v>0</v>
      </c>
      <c r="Y11" s="197">
        <f>+X11/'18'!X11*1000</f>
        <v>0</v>
      </c>
      <c r="Z11" s="188">
        <v>1</v>
      </c>
      <c r="AA11" s="197">
        <f>+Z11/'18'!Z11*1000</f>
        <v>8.695652173913043</v>
      </c>
      <c r="AB11" s="188">
        <v>1</v>
      </c>
      <c r="AC11" s="197">
        <f>+AB11/'18'!AB11*1000</f>
        <v>2.5510204081632653</v>
      </c>
      <c r="AD11" s="188">
        <v>0</v>
      </c>
      <c r="AE11" s="191">
        <f>+AD11/'18'!AD11*1000</f>
        <v>0</v>
      </c>
    </row>
    <row r="12" spans="1:31" ht="26.25" customHeight="1">
      <c r="A12" s="186">
        <f>+'20'!A12</f>
        <v>2015</v>
      </c>
      <c r="B12" s="152">
        <v>989</v>
      </c>
      <c r="C12" s="197">
        <f>+B12/'18'!B12*1000</f>
        <v>4.042179261862918</v>
      </c>
      <c r="D12" s="188">
        <v>64</v>
      </c>
      <c r="E12" s="197">
        <f>+D12/'18'!D12*1000</f>
        <v>2.7120942452750234</v>
      </c>
      <c r="F12" s="152">
        <v>13</v>
      </c>
      <c r="G12" s="197">
        <f>+F12/'18'!F12*1000</f>
        <v>3.3687483804094325</v>
      </c>
      <c r="H12" s="202">
        <v>3</v>
      </c>
      <c r="I12" s="197">
        <f>+H12/'18'!H12*1000</f>
        <v>1.9011406844106464</v>
      </c>
      <c r="J12" s="152">
        <v>2</v>
      </c>
      <c r="K12" s="197">
        <f>+J12/'18'!J12*1000</f>
        <v>2.0639834881320946</v>
      </c>
      <c r="L12" s="188">
        <v>1</v>
      </c>
      <c r="M12" s="197">
        <f>+L12/'18'!L12*1000</f>
        <v>4.1493775933609962</v>
      </c>
      <c r="N12" s="188">
        <v>0</v>
      </c>
      <c r="O12" s="197">
        <f>+N12/'18'!N12*1000</f>
        <v>0</v>
      </c>
      <c r="P12" s="188">
        <v>0</v>
      </c>
      <c r="Q12" s="197">
        <f>+P12/'18'!P12*1000</f>
        <v>0</v>
      </c>
      <c r="R12" s="152">
        <v>10</v>
      </c>
      <c r="S12" s="191">
        <f>+R12/'18'!R12*1000</f>
        <v>4.3840420868040333</v>
      </c>
      <c r="T12" s="152">
        <v>7</v>
      </c>
      <c r="U12" s="197">
        <f>+T12/'18'!T12*1000</f>
        <v>5.8873002523128681</v>
      </c>
      <c r="V12" s="188">
        <v>1</v>
      </c>
      <c r="W12" s="197">
        <f>+V12/'18'!V12*1000</f>
        <v>4.4843049327354256</v>
      </c>
      <c r="X12" s="188">
        <v>2</v>
      </c>
      <c r="Y12" s="197">
        <f>+X12/'18'!X12*1000</f>
        <v>9.0090090090090094</v>
      </c>
      <c r="Z12" s="188">
        <v>0</v>
      </c>
      <c r="AA12" s="197">
        <f>+Z12/'18'!Z12*1000</f>
        <v>0</v>
      </c>
      <c r="AB12" s="188">
        <v>0</v>
      </c>
      <c r="AC12" s="197">
        <f>+AB12/'18'!AB12*1000</f>
        <v>0</v>
      </c>
      <c r="AD12" s="188">
        <v>0</v>
      </c>
      <c r="AE12" s="191">
        <f>+AD12/'18'!AD12*1000</f>
        <v>0</v>
      </c>
    </row>
    <row r="13" spans="1:31" ht="26.25" customHeight="1">
      <c r="A13" s="186">
        <f>+'20'!A13</f>
        <v>2016</v>
      </c>
      <c r="B13" s="152">
        <v>941</v>
      </c>
      <c r="C13" s="197">
        <f>+B13/'18'!B13*1000</f>
        <v>4.0762399826727309</v>
      </c>
      <c r="D13" s="188">
        <v>69</v>
      </c>
      <c r="E13" s="197">
        <f>+D13/'18'!D13*1000</f>
        <v>3.8553947588981394</v>
      </c>
      <c r="F13" s="152">
        <v>8</v>
      </c>
      <c r="G13" s="197">
        <f>+F13/'18'!F13*1000</f>
        <v>2.4308720753570343</v>
      </c>
      <c r="H13" s="202">
        <v>3</v>
      </c>
      <c r="I13" s="197">
        <f>+H13/'18'!H13*1000</f>
        <v>2.210759027266028</v>
      </c>
      <c r="J13" s="152"/>
      <c r="K13" s="197">
        <f>+J13/'18'!J13*1000</f>
        <v>0</v>
      </c>
      <c r="L13" s="188">
        <v>0</v>
      </c>
      <c r="M13" s="197">
        <f>+L13/'18'!L13*1000</f>
        <v>0</v>
      </c>
      <c r="N13" s="188">
        <v>1</v>
      </c>
      <c r="O13" s="197">
        <f>+N13/'18'!N13*1000</f>
        <v>5.2631578947368416</v>
      </c>
      <c r="P13" s="188">
        <v>2</v>
      </c>
      <c r="Q13" s="197">
        <f>+P13/'18'!P13*1000</f>
        <v>17.241379310344826</v>
      </c>
      <c r="R13" s="152">
        <v>5</v>
      </c>
      <c r="S13" s="191">
        <f>+R13/'18'!R13*1000</f>
        <v>2.5853154084798344</v>
      </c>
      <c r="T13" s="152">
        <v>3</v>
      </c>
      <c r="U13" s="197">
        <f>+T13/'18'!T13*1000</f>
        <v>2.8846153846153846</v>
      </c>
      <c r="V13" s="188">
        <v>1</v>
      </c>
      <c r="W13" s="197">
        <f>+V13/'18'!V13*1000</f>
        <v>5.6497175141242941</v>
      </c>
      <c r="X13" s="188">
        <v>0</v>
      </c>
      <c r="Y13" s="197">
        <f>+X13/'18'!X13*1000</f>
        <v>0</v>
      </c>
      <c r="Z13" s="188">
        <v>0</v>
      </c>
      <c r="AA13" s="197">
        <f>+Z13/'18'!Z13*1000</f>
        <v>0</v>
      </c>
      <c r="AB13" s="188">
        <v>1</v>
      </c>
      <c r="AC13" s="197">
        <f>+AB13/'18'!AB13*1000</f>
        <v>3.5971223021582737</v>
      </c>
      <c r="AD13" s="188">
        <v>0</v>
      </c>
      <c r="AE13" s="191">
        <f>+AD13/'18'!AD13*1000</f>
        <v>0</v>
      </c>
    </row>
    <row r="14" spans="1:31" ht="26.25" customHeight="1">
      <c r="A14" s="186">
        <f>+'20'!A14</f>
        <v>2017</v>
      </c>
      <c r="B14" s="152">
        <v>700</v>
      </c>
      <c r="C14" s="197">
        <f>+B14/'18'!B14*1000</f>
        <v>3.1914942119972824</v>
      </c>
      <c r="D14" s="188">
        <v>71</v>
      </c>
      <c r="E14" s="197">
        <f>+D14/'18'!D14*1000</f>
        <v>3.4918605223036443</v>
      </c>
      <c r="F14" s="152">
        <v>4</v>
      </c>
      <c r="G14" s="197">
        <f>+F14/'18'!F14*1000</f>
        <v>1.3427324605572339</v>
      </c>
      <c r="H14" s="202">
        <v>1</v>
      </c>
      <c r="I14" s="197">
        <f>+H14/'18'!H14*1000</f>
        <v>0.8347245409015025</v>
      </c>
      <c r="J14" s="152">
        <v>1</v>
      </c>
      <c r="K14" s="197">
        <f>+J14/'18'!J14*1000</f>
        <v>1.3947001394700138</v>
      </c>
      <c r="L14" s="188">
        <v>0</v>
      </c>
      <c r="M14" s="197">
        <f>+L14/'18'!L14*1000</f>
        <v>0</v>
      </c>
      <c r="N14" s="188">
        <v>0</v>
      </c>
      <c r="O14" s="197">
        <f>+N14/'18'!N14*1000</f>
        <v>0</v>
      </c>
      <c r="P14" s="188">
        <v>0</v>
      </c>
      <c r="Q14" s="197">
        <f>+P14/'18'!P14*1000</f>
        <v>0</v>
      </c>
      <c r="R14" s="152">
        <v>3</v>
      </c>
      <c r="S14" s="191">
        <f>+R14/'18'!R14*1000</f>
        <v>1.6844469399213924</v>
      </c>
      <c r="T14" s="152">
        <v>1</v>
      </c>
      <c r="U14" s="197">
        <f>+T14/'18'!T14*1000</f>
        <v>1.0526315789473684</v>
      </c>
      <c r="V14" s="188">
        <v>0</v>
      </c>
      <c r="W14" s="197">
        <f>+V14/'18'!V14*1000</f>
        <v>0</v>
      </c>
      <c r="X14" s="188">
        <v>0</v>
      </c>
      <c r="Y14" s="197">
        <f>+X14/'18'!X14*1000</f>
        <v>0</v>
      </c>
      <c r="Z14" s="188">
        <v>0</v>
      </c>
      <c r="AA14" s="197">
        <f>+Z14/'18'!Z14*1000</f>
        <v>0</v>
      </c>
      <c r="AB14" s="188">
        <v>1</v>
      </c>
      <c r="AC14" s="197">
        <f>+AB14/'18'!AB14*1000</f>
        <v>3.4364261168384878</v>
      </c>
      <c r="AD14" s="188">
        <v>1</v>
      </c>
      <c r="AE14" s="191">
        <f>+AD14/'18'!AD14*1000</f>
        <v>6.369426751592357</v>
      </c>
    </row>
    <row r="15" spans="1:31" ht="26.25" customHeight="1">
      <c r="A15" s="186">
        <f>+'20'!A15</f>
        <v>2018</v>
      </c>
      <c r="B15" s="152">
        <v>590</v>
      </c>
      <c r="C15" s="197">
        <f>+B15/'18'!B15*1000</f>
        <v>2.6608818793944016</v>
      </c>
      <c r="D15" s="188">
        <v>56</v>
      </c>
      <c r="E15" s="197">
        <f>+D15/'18'!D15*1000</f>
        <v>2.6250410162658793</v>
      </c>
      <c r="F15" s="152">
        <v>10</v>
      </c>
      <c r="G15" s="197">
        <f>+F15/'18'!F15*1000</f>
        <v>3.2133676092544987</v>
      </c>
      <c r="H15" s="202">
        <v>7</v>
      </c>
      <c r="I15" s="197">
        <f>+H15/'18'!H15*1000</f>
        <v>6.0922541340295915</v>
      </c>
      <c r="J15" s="152">
        <v>5</v>
      </c>
      <c r="K15" s="197">
        <f>+J15/'18'!J15*1000</f>
        <v>6.9735006973500697</v>
      </c>
      <c r="L15" s="188">
        <v>1</v>
      </c>
      <c r="M15" s="197">
        <f>+L15/'18'!L15*1000</f>
        <v>5.8479532163742682</v>
      </c>
      <c r="N15" s="188">
        <v>1</v>
      </c>
      <c r="O15" s="197">
        <f>+N15/'18'!N15*1000</f>
        <v>7.1942446043165473</v>
      </c>
      <c r="P15" s="188">
        <v>0</v>
      </c>
      <c r="Q15" s="197">
        <f>+P15/'18'!P15*1000</f>
        <v>0</v>
      </c>
      <c r="R15" s="152">
        <v>3</v>
      </c>
      <c r="S15" s="191">
        <f>+R15/'18'!R15*1000</f>
        <v>1.5282730514518594</v>
      </c>
      <c r="T15" s="152">
        <v>0</v>
      </c>
      <c r="U15" s="197">
        <f>+T15/'18'!T15*1000</f>
        <v>0</v>
      </c>
      <c r="V15" s="188">
        <v>1</v>
      </c>
      <c r="W15" s="197">
        <f>+V15/'18'!V15*1000</f>
        <v>4.6296296296296298</v>
      </c>
      <c r="X15" s="188">
        <v>1</v>
      </c>
      <c r="Y15" s="197">
        <f>+X15/'18'!X15*1000</f>
        <v>6.1728395061728394</v>
      </c>
      <c r="Z15" s="188">
        <v>0</v>
      </c>
      <c r="AA15" s="197">
        <f>+Z15/'18'!Z15*1000</f>
        <v>0</v>
      </c>
      <c r="AB15" s="188">
        <v>1</v>
      </c>
      <c r="AC15" s="197">
        <f>+AB15/'18'!AB15*1000</f>
        <v>3.3444816053511706</v>
      </c>
      <c r="AD15" s="188">
        <v>0</v>
      </c>
      <c r="AE15" s="191">
        <f>+AD15/'18'!AD15*1000</f>
        <v>0</v>
      </c>
    </row>
    <row r="16" spans="1:31" ht="26.25" customHeight="1">
      <c r="A16" s="186">
        <f>+'20'!A16</f>
        <v>2019</v>
      </c>
      <c r="B16" s="152">
        <v>618</v>
      </c>
      <c r="C16" s="197">
        <f>+B16/'18'!B16*1000</f>
        <v>2.9610038665535927</v>
      </c>
      <c r="D16" s="188">
        <v>66</v>
      </c>
      <c r="E16" s="197">
        <f>+D16/'18'!D16*1000</f>
        <v>3.3961099104661931</v>
      </c>
      <c r="F16" s="152">
        <v>9</v>
      </c>
      <c r="G16" s="197">
        <f>+F16/'18'!F16*1000</f>
        <v>2.9004189494038028</v>
      </c>
      <c r="H16" s="202">
        <v>1</v>
      </c>
      <c r="I16" s="197">
        <f>+H16/'18'!H16*1000</f>
        <v>0.8347245409015025</v>
      </c>
      <c r="J16" s="152">
        <v>0</v>
      </c>
      <c r="K16" s="197">
        <f>+J16/'18'!J16*1000</f>
        <v>0</v>
      </c>
      <c r="L16" s="188">
        <v>1</v>
      </c>
      <c r="M16" s="197">
        <f>+L16/'18'!L16*1000</f>
        <v>5.3191489361702127</v>
      </c>
      <c r="N16" s="188">
        <v>0</v>
      </c>
      <c r="O16" s="197">
        <f>+N16/'18'!N16*1000</f>
        <v>0</v>
      </c>
      <c r="P16" s="188">
        <v>0</v>
      </c>
      <c r="Q16" s="197">
        <f>+P16/'18'!P16*1000</f>
        <v>0</v>
      </c>
      <c r="R16" s="152">
        <v>8</v>
      </c>
      <c r="S16" s="191">
        <f>+R16/'18'!R16*1000</f>
        <v>4.1994750656167978</v>
      </c>
      <c r="T16" s="152">
        <v>4</v>
      </c>
      <c r="U16" s="197">
        <f>+T16/'18'!T16*1000</f>
        <v>3.8424591738712777</v>
      </c>
      <c r="V16" s="188">
        <v>0</v>
      </c>
      <c r="W16" s="197">
        <f>+V16/'18'!V16*1000</f>
        <v>0</v>
      </c>
      <c r="X16" s="188">
        <v>0</v>
      </c>
      <c r="Y16" s="197">
        <f>+X16/'18'!X16*1000</f>
        <v>0</v>
      </c>
      <c r="Z16" s="188">
        <v>1</v>
      </c>
      <c r="AA16" s="197">
        <f>+Z16/'18'!Z16*1000</f>
        <v>13.698630136986301</v>
      </c>
      <c r="AB16" s="188"/>
      <c r="AC16" s="197">
        <f>+AB16/'18'!AB16*1000</f>
        <v>0</v>
      </c>
      <c r="AD16" s="188">
        <v>3</v>
      </c>
      <c r="AE16" s="191">
        <f>+AD16/'18'!AD16*1000</f>
        <v>18.518518518518519</v>
      </c>
    </row>
    <row r="17" spans="1:31" ht="26.25" customHeight="1">
      <c r="A17" s="186">
        <f>+'20'!A17</f>
        <v>2020</v>
      </c>
      <c r="B17" s="152">
        <v>640</v>
      </c>
      <c r="C17" s="197">
        <f>+B17/'18'!B17*1000</f>
        <v>3.2646232165720437</v>
      </c>
      <c r="D17" s="188">
        <v>50</v>
      </c>
      <c r="E17" s="197">
        <f>+D17/'18'!D17*1000</f>
        <v>2.7128207910585429</v>
      </c>
      <c r="F17" s="152">
        <v>12</v>
      </c>
      <c r="G17" s="197">
        <f>+F17/'18'!F17*1000</f>
        <v>4.5977011494252871</v>
      </c>
      <c r="H17" s="202">
        <v>5</v>
      </c>
      <c r="I17" s="197">
        <f>+H17/'18'!H17*1000</f>
        <v>5.1229508196721305</v>
      </c>
      <c r="J17" s="152">
        <v>5</v>
      </c>
      <c r="K17" s="197">
        <f>+J17/'18'!J17*1000</f>
        <v>8.4745762711864412</v>
      </c>
      <c r="L17" s="188">
        <v>0</v>
      </c>
      <c r="M17" s="197">
        <f>+L17/'18'!L17*1000</f>
        <v>0</v>
      </c>
      <c r="N17" s="188">
        <v>0</v>
      </c>
      <c r="O17" s="197">
        <f>+N17/'18'!N17*1000</f>
        <v>0</v>
      </c>
      <c r="P17" s="188">
        <v>0</v>
      </c>
      <c r="Q17" s="197">
        <f>+P17/'18'!P17*1000</f>
        <v>0</v>
      </c>
      <c r="R17" s="152">
        <v>7</v>
      </c>
      <c r="S17" s="191">
        <f>+R17/'18'!R17*1000</f>
        <v>4.2839657282741737</v>
      </c>
      <c r="T17" s="152">
        <v>5</v>
      </c>
      <c r="U17" s="197">
        <f>+T17/'18'!T17*1000</f>
        <v>5.7471264367816088</v>
      </c>
      <c r="V17" s="188">
        <v>1</v>
      </c>
      <c r="W17" s="197">
        <f>+V17/'18'!V17*1000</f>
        <v>5.6818181818181817</v>
      </c>
      <c r="X17" s="188">
        <v>0</v>
      </c>
      <c r="Y17" s="197">
        <f>+X17/'18'!X17*1000</f>
        <v>0</v>
      </c>
      <c r="Z17" s="188">
        <v>0</v>
      </c>
      <c r="AA17" s="197">
        <f>+Z17/'18'!Z17*1000</f>
        <v>0</v>
      </c>
      <c r="AB17" s="188">
        <v>1</v>
      </c>
      <c r="AC17" s="197">
        <f>+AB17/'18'!AB17*1000</f>
        <v>3.8314176245210727</v>
      </c>
      <c r="AD17" s="188">
        <v>0</v>
      </c>
      <c r="AE17" s="191">
        <f>+AD17/'18'!AD17*1000</f>
        <v>0</v>
      </c>
    </row>
    <row r="18" spans="1:31" ht="26.25" customHeight="1">
      <c r="A18" s="186">
        <f>+'20'!A18</f>
        <v>2021</v>
      </c>
      <c r="B18" s="152">
        <v>563</v>
      </c>
      <c r="C18" s="197">
        <f>+B18/'18'!B18*1000</f>
        <v>3.1758925499088977</v>
      </c>
      <c r="D18" s="188">
        <v>67</v>
      </c>
      <c r="E18" s="197">
        <f>+D18/'18'!D18*1000</f>
        <v>4.8833819241982512</v>
      </c>
      <c r="F18" s="152">
        <v>9</v>
      </c>
      <c r="G18" s="197">
        <f>+F18/'18'!F18*1000</f>
        <v>4.08905043162199</v>
      </c>
      <c r="H18" s="202">
        <v>3</v>
      </c>
      <c r="I18" s="197">
        <f>+H18/'18'!H18*1000</f>
        <v>3.4562211981566824</v>
      </c>
      <c r="J18" s="152">
        <v>3</v>
      </c>
      <c r="K18" s="197">
        <f>+J18/'18'!J18*1000</f>
        <v>5.9880239520958085</v>
      </c>
      <c r="L18" s="188">
        <v>0</v>
      </c>
      <c r="M18" s="197">
        <f>+L18/'18'!L18*1000</f>
        <v>0</v>
      </c>
      <c r="N18" s="188">
        <v>0</v>
      </c>
      <c r="O18" s="197">
        <f>+N18/'18'!N18*1000</f>
        <v>0</v>
      </c>
      <c r="P18" s="188">
        <v>0</v>
      </c>
      <c r="Q18" s="197">
        <f>+P18/'18'!P18*1000</f>
        <v>0</v>
      </c>
      <c r="R18" s="152">
        <v>6</v>
      </c>
      <c r="S18" s="191">
        <f>+R18/'18'!R18*1000</f>
        <v>4.5011252813203297</v>
      </c>
      <c r="T18" s="152">
        <v>3</v>
      </c>
      <c r="U18" s="197">
        <f>+T18/'18'!T18*1000</f>
        <v>4.3352601156069364</v>
      </c>
      <c r="V18" s="188">
        <v>0</v>
      </c>
      <c r="W18" s="197">
        <f>+V18/'18'!V18*1000</f>
        <v>0</v>
      </c>
      <c r="X18" s="188">
        <v>1</v>
      </c>
      <c r="Y18" s="197">
        <f>+X18/'18'!X18*1000</f>
        <v>10.309278350515465</v>
      </c>
      <c r="Z18" s="188">
        <v>0</v>
      </c>
      <c r="AA18" s="197">
        <f>+Z18/'18'!Z18*1000</f>
        <v>0</v>
      </c>
      <c r="AB18" s="188">
        <v>2</v>
      </c>
      <c r="AC18" s="197">
        <f>+AB18/'18'!AB18*1000</f>
        <v>8.695652173913043</v>
      </c>
      <c r="AD18" s="188">
        <v>0</v>
      </c>
      <c r="AE18" s="191">
        <f>+AD18/'18'!AD18*1000</f>
        <v>0</v>
      </c>
    </row>
    <row r="19" spans="1:31" ht="26.25" customHeight="1">
      <c r="A19" s="186">
        <f>+'20'!A19</f>
        <v>2022</v>
      </c>
      <c r="B19" s="152">
        <v>582</v>
      </c>
      <c r="C19" s="197">
        <f>+B19/'18'!B19*1000</f>
        <v>2.9307644662433341</v>
      </c>
      <c r="D19" s="188">
        <v>60</v>
      </c>
      <c r="E19" s="197">
        <f>+D19/'18'!D19*1000</f>
        <v>3.9039625219597891</v>
      </c>
      <c r="F19" s="152">
        <f>+J19+L19+N19+P19+T19+V19+X19+Z19+AB19+AD19</f>
        <v>9</v>
      </c>
      <c r="G19" s="197">
        <f>+F19/'18'!F19*1000</f>
        <v>3.7468776019983348</v>
      </c>
      <c r="H19" s="202">
        <f>+J19+L19+N19+P19</f>
        <v>3</v>
      </c>
      <c r="I19" s="197">
        <f>+H19/'18'!H19*1000</f>
        <v>3.1578947368421053</v>
      </c>
      <c r="J19" s="152">
        <v>2</v>
      </c>
      <c r="K19" s="197">
        <f>+J19/'18'!J19*1000</f>
        <v>3.5273368606701938</v>
      </c>
      <c r="L19" s="188">
        <v>0</v>
      </c>
      <c r="M19" s="197">
        <f>+L19/'18'!L19*1000</f>
        <v>0</v>
      </c>
      <c r="N19" s="188">
        <v>1</v>
      </c>
      <c r="O19" s="197">
        <f>+N19/'18'!N19*1000</f>
        <v>7.1942446043165473</v>
      </c>
      <c r="P19" s="188">
        <v>0</v>
      </c>
      <c r="Q19" s="197">
        <f>+P19/'18'!P19*1000</f>
        <v>0</v>
      </c>
      <c r="R19" s="152">
        <f>+T19+V19+X19+Z19+AB19+AD19</f>
        <v>6</v>
      </c>
      <c r="S19" s="191">
        <f>+R19/'18'!R19*1000</f>
        <v>4.1322314049586781</v>
      </c>
      <c r="T19" s="152">
        <v>2</v>
      </c>
      <c r="U19" s="197">
        <f>+T19/'18'!T19*1000</f>
        <v>2.7063599458728014</v>
      </c>
      <c r="V19" s="188">
        <v>0</v>
      </c>
      <c r="W19" s="197">
        <f>+V19/'18'!V19*1000</f>
        <v>0</v>
      </c>
      <c r="X19" s="188">
        <v>1</v>
      </c>
      <c r="Y19" s="197">
        <f>+X19/'18'!X19*1000</f>
        <v>7.6923076923076925</v>
      </c>
      <c r="Z19" s="188">
        <v>0</v>
      </c>
      <c r="AA19" s="197">
        <f>+Z19/'18'!Z19*1000</f>
        <v>0</v>
      </c>
      <c r="AB19" s="188">
        <v>1</v>
      </c>
      <c r="AC19" s="197">
        <f>+AB19/'18'!AB19*1000</f>
        <v>3.8314176245210727</v>
      </c>
      <c r="AD19" s="188">
        <v>2</v>
      </c>
      <c r="AE19" s="191">
        <f>+AD19/'18'!AD19*1000</f>
        <v>16.393442622950822</v>
      </c>
    </row>
    <row r="20" spans="1:31" ht="26.25" customHeight="1">
      <c r="A20" s="186">
        <f>+'20'!A20</f>
        <v>2023</v>
      </c>
      <c r="B20" s="152">
        <v>563</v>
      </c>
      <c r="C20" s="197">
        <f>+B20/'18'!B20*1000</f>
        <v>3.2210264948023046</v>
      </c>
      <c r="D20" s="188">
        <v>58</v>
      </c>
      <c r="E20" s="197">
        <f>+D20/'18'!D20*1000</f>
        <v>3.4327651515151514</v>
      </c>
      <c r="F20" s="152">
        <f>+J20+L20+N20+P20+T20+V20+X20+Z20+AB20+AD20</f>
        <v>6</v>
      </c>
      <c r="G20" s="197">
        <f>+F20/'18'!F20*1000</f>
        <v>2.6466696074106753</v>
      </c>
      <c r="H20" s="202">
        <f>+J20+L20+N20+P20</f>
        <v>3</v>
      </c>
      <c r="I20" s="197">
        <f>+H20/'18'!H20*1000</f>
        <v>3.5128805620608898</v>
      </c>
      <c r="J20" s="152">
        <v>1</v>
      </c>
      <c r="K20" s="197">
        <f>+J20/'18'!J20*1000</f>
        <v>1.9230769230769231</v>
      </c>
      <c r="L20" s="188">
        <v>1</v>
      </c>
      <c r="M20" s="197">
        <f>+L20/'18'!L20*1000</f>
        <v>6.9444444444444438</v>
      </c>
      <c r="N20" s="188">
        <v>1</v>
      </c>
      <c r="O20" s="197">
        <f>+N20/'18'!N20*1000</f>
        <v>7.6335877862595414</v>
      </c>
      <c r="P20" s="188">
        <v>0</v>
      </c>
      <c r="Q20" s="197">
        <f>+P20/'18'!P20*1000</f>
        <v>0</v>
      </c>
      <c r="R20" s="152">
        <f>+T20+V20+X20+Z20+AB20+AD20</f>
        <v>3</v>
      </c>
      <c r="S20" s="191">
        <f>+R20/'18'!R20*1000</f>
        <v>2.1231422505307855</v>
      </c>
      <c r="T20" s="152">
        <v>2</v>
      </c>
      <c r="U20" s="197">
        <f>+T20/'18'!T20*1000</f>
        <v>2.6246719160104988</v>
      </c>
      <c r="V20" s="188">
        <v>0</v>
      </c>
      <c r="W20" s="197">
        <f>+V20/'18'!V20*1000</f>
        <v>0</v>
      </c>
      <c r="X20" s="188">
        <v>0</v>
      </c>
      <c r="Y20" s="197">
        <f>+X20/'18'!X20*1000</f>
        <v>0</v>
      </c>
      <c r="Z20" s="188">
        <v>0</v>
      </c>
      <c r="AA20" s="197">
        <f>+Z20/'18'!Z20*1000</f>
        <v>0</v>
      </c>
      <c r="AB20" s="188">
        <v>1</v>
      </c>
      <c r="AC20" s="197">
        <f>+AB20/'18'!AB20*1000</f>
        <v>4.3103448275862064</v>
      </c>
      <c r="AD20" s="188">
        <v>0</v>
      </c>
      <c r="AE20" s="191">
        <f>+AD20/'18'!AD20*1000</f>
        <v>0</v>
      </c>
    </row>
    <row r="21" spans="1:31" ht="18.75" customHeight="1">
      <c r="A21" s="192"/>
      <c r="B21" s="203"/>
      <c r="C21" s="204"/>
      <c r="D21" s="203"/>
      <c r="E21" s="193"/>
      <c r="F21" s="157"/>
      <c r="G21" s="193"/>
      <c r="H21" s="194"/>
      <c r="I21" s="194"/>
      <c r="J21" s="155"/>
      <c r="K21" s="193"/>
      <c r="L21" s="155"/>
      <c r="M21" s="204"/>
      <c r="N21" s="155"/>
      <c r="O21" s="193"/>
      <c r="P21" s="155"/>
      <c r="Q21" s="194"/>
      <c r="R21" s="155"/>
      <c r="S21" s="193"/>
      <c r="T21" s="203"/>
      <c r="U21" s="193"/>
      <c r="V21" s="155"/>
      <c r="W21" s="204"/>
      <c r="X21" s="155"/>
      <c r="Y21" s="193"/>
      <c r="Z21" s="155"/>
      <c r="AA21" s="193"/>
      <c r="AB21" s="155"/>
      <c r="AC21" s="205"/>
      <c r="AD21" s="155"/>
      <c r="AE21" s="193"/>
    </row>
    <row r="22" spans="1:31">
      <c r="A22" s="1"/>
      <c r="B22" s="1"/>
      <c r="C22" s="1"/>
      <c r="D22" s="1"/>
      <c r="E22" s="1"/>
      <c r="F22" s="1"/>
      <c r="G22" s="1"/>
      <c r="H22" s="1"/>
      <c r="I22" s="1"/>
      <c r="J22" s="1"/>
      <c r="K22" s="1"/>
      <c r="L22" s="1"/>
      <c r="M22" s="1"/>
      <c r="N22" s="1"/>
      <c r="O22" s="1"/>
      <c r="P22" s="1"/>
      <c r="Q22" s="1"/>
      <c r="R22" s="1"/>
      <c r="S22" s="1"/>
      <c r="T22" s="1"/>
      <c r="U22" s="176"/>
      <c r="V22" s="1"/>
      <c r="W22" s="1"/>
      <c r="X22" s="1"/>
      <c r="Y22" s="1"/>
      <c r="Z22" s="1"/>
      <c r="AA22" s="1"/>
      <c r="AB22" s="1"/>
      <c r="AC22" s="1"/>
      <c r="AD22" s="1"/>
      <c r="AE22" s="1"/>
    </row>
    <row r="23" spans="1:31">
      <c r="A23" s="165" t="str">
        <f>+'18'!B22</f>
        <v>AÑO   2023  :   DATOS POR RESIDENCIA</v>
      </c>
      <c r="B23" s="165"/>
      <c r="C23" s="165"/>
      <c r="D23" s="165"/>
      <c r="E23" s="165"/>
      <c r="J23" s="1"/>
      <c r="K23" s="1"/>
      <c r="L23" s="1"/>
      <c r="M23" s="1"/>
      <c r="N23" s="1"/>
      <c r="O23" s="1"/>
      <c r="P23" s="1"/>
      <c r="Q23" s="1"/>
      <c r="R23" s="1"/>
      <c r="S23" s="1"/>
      <c r="T23" s="1"/>
      <c r="U23" s="1"/>
      <c r="V23" s="1"/>
      <c r="W23" s="1"/>
      <c r="X23" s="1"/>
      <c r="Y23" s="1"/>
      <c r="Z23" s="1"/>
      <c r="AA23" s="1"/>
      <c r="AB23" s="1"/>
      <c r="AC23" s="1"/>
      <c r="AD23" s="1"/>
    </row>
    <row r="24" spans="1:31">
      <c r="A24" s="165" t="s">
        <v>1538</v>
      </c>
      <c r="C24" s="165"/>
      <c r="D24" s="161"/>
      <c r="E24" s="161"/>
      <c r="F24" s="1"/>
      <c r="G24" s="1"/>
      <c r="H24" s="1"/>
      <c r="I24" s="1"/>
      <c r="J24" s="1"/>
      <c r="K24" s="1"/>
      <c r="L24" s="1"/>
      <c r="M24" s="1"/>
      <c r="N24" s="1"/>
      <c r="O24" s="1"/>
      <c r="P24" s="1"/>
      <c r="Q24" s="1"/>
      <c r="R24" s="1"/>
      <c r="S24" s="1"/>
      <c r="T24" s="1"/>
      <c r="U24" s="1"/>
      <c r="V24" s="1"/>
      <c r="W24" s="1"/>
      <c r="X24" s="1"/>
      <c r="Y24" s="1"/>
      <c r="Z24" s="1"/>
      <c r="AA24" s="1"/>
      <c r="AB24" s="1"/>
      <c r="AC24" s="1"/>
      <c r="AD24" s="1"/>
    </row>
    <row r="25" spans="1:31">
      <c r="A25" s="1"/>
      <c r="B25" s="161"/>
      <c r="C25" s="161"/>
      <c r="D25" s="161"/>
      <c r="E25" s="161"/>
      <c r="F25" s="16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8" type="noConversion"/>
  <pageMargins left="0.78740157480314965" right="0.59055118110236227" top="1.5748031496062993" bottom="0.59055118110236227" header="0.51181102362204722" footer="0.51181102362204722"/>
  <pageSetup paperSize="14" scale="90" orientation="landscape"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25"/>
  <sheetViews>
    <sheetView zoomScaleNormal="100" workbookViewId="0">
      <selection activeCell="O21" sqref="O21"/>
    </sheetView>
  </sheetViews>
  <sheetFormatPr baseColWidth="10" defaultRowHeight="12.75"/>
  <cols>
    <col min="1" max="1" width="6.28515625" customWidth="1"/>
    <col min="2" max="3" width="5.42578125" customWidth="1"/>
    <col min="4" max="4" width="5" customWidth="1"/>
    <col min="5" max="6" width="5.7109375" customWidth="1"/>
    <col min="7" max="7" width="5.42578125" customWidth="1"/>
    <col min="8" max="9" width="5.7109375" customWidth="1"/>
    <col min="10" max="10" width="4.28515625" customWidth="1"/>
    <col min="11" max="11" width="5.7109375" customWidth="1"/>
    <col min="12" max="12" width="4" customWidth="1"/>
    <col min="13" max="13" width="5.7109375" customWidth="1"/>
    <col min="14" max="14" width="3.7109375" customWidth="1"/>
    <col min="15" max="15" width="5.7109375" customWidth="1"/>
    <col min="16" max="16" width="4.28515625" customWidth="1"/>
    <col min="17" max="17" width="5.7109375" customWidth="1"/>
    <col min="18" max="18" width="5" customWidth="1"/>
    <col min="19" max="19" width="4.7109375" customWidth="1"/>
    <col min="20" max="20" width="4" customWidth="1"/>
    <col min="21" max="21" width="5.7109375" customWidth="1"/>
    <col min="22" max="22" width="4" customWidth="1"/>
    <col min="23" max="23" width="5.7109375" customWidth="1"/>
    <col min="24" max="24" width="3.7109375" customWidth="1"/>
    <col min="25" max="25" width="5.7109375" customWidth="1"/>
    <col min="26" max="26" width="4.42578125" customWidth="1"/>
    <col min="27" max="27" width="5.7109375" customWidth="1"/>
    <col min="28" max="28" width="4.42578125" customWidth="1"/>
    <col min="29" max="29" width="5.7109375" customWidth="1"/>
    <col min="30" max="30" width="4.5703125" customWidth="1"/>
    <col min="31" max="31" width="5.7109375" customWidth="1"/>
  </cols>
  <sheetData>
    <row r="1" spans="1:31">
      <c r="A1" s="115" t="s">
        <v>621</v>
      </c>
      <c r="B1" s="115"/>
      <c r="C1" s="115"/>
      <c r="D1" s="115"/>
      <c r="E1" s="115"/>
      <c r="F1" s="115"/>
      <c r="G1" s="115"/>
      <c r="H1" s="115"/>
      <c r="I1" s="115"/>
      <c r="J1" s="115"/>
      <c r="K1" s="115"/>
      <c r="L1" s="115"/>
      <c r="M1" s="86"/>
      <c r="N1" s="86"/>
      <c r="O1" s="86"/>
      <c r="P1" s="86"/>
      <c r="Q1" s="86"/>
      <c r="R1" s="86"/>
      <c r="S1" s="86"/>
      <c r="T1" s="86"/>
      <c r="U1" s="86"/>
      <c r="V1" s="86"/>
      <c r="W1" s="86"/>
      <c r="X1" s="86"/>
      <c r="Y1" s="86"/>
      <c r="Z1" s="86"/>
      <c r="AA1" s="86"/>
      <c r="AB1" s="86"/>
      <c r="AC1" s="86"/>
      <c r="AD1" s="86"/>
      <c r="AE1" s="86"/>
    </row>
    <row r="2" spans="1:31">
      <c r="A2" s="115"/>
      <c r="B2" s="115"/>
      <c r="C2" s="115"/>
      <c r="D2" s="115"/>
      <c r="E2" s="115"/>
      <c r="F2" s="115"/>
      <c r="G2" s="115"/>
      <c r="H2" s="115"/>
      <c r="I2" s="115"/>
      <c r="J2" s="115"/>
      <c r="K2" s="115"/>
      <c r="L2" s="115"/>
      <c r="M2" s="86"/>
      <c r="N2" s="86"/>
      <c r="O2" s="86"/>
      <c r="P2" s="86"/>
      <c r="Q2" s="86"/>
      <c r="R2" s="86"/>
      <c r="S2" s="86"/>
      <c r="T2" s="86"/>
      <c r="U2" s="86"/>
      <c r="V2" s="86"/>
      <c r="W2" s="86"/>
      <c r="X2" s="86"/>
      <c r="Y2" s="86"/>
      <c r="Z2" s="86"/>
      <c r="AA2" s="86"/>
      <c r="AB2" s="86"/>
      <c r="AC2" s="86"/>
      <c r="AD2" s="86"/>
      <c r="AE2" s="86"/>
    </row>
    <row r="3" spans="1:31">
      <c r="A3" s="115" t="str">
        <f>+'21'!A3</f>
        <v>AÑOS   2014  - 2023</v>
      </c>
      <c r="B3" s="115"/>
      <c r="C3" s="115"/>
      <c r="D3" s="115"/>
      <c r="E3" s="115"/>
      <c r="F3" s="115"/>
      <c r="G3" s="115"/>
      <c r="H3" s="115"/>
      <c r="I3" s="115"/>
      <c r="J3" s="115"/>
      <c r="K3" s="115"/>
      <c r="L3" s="115"/>
      <c r="M3" s="86"/>
      <c r="N3" s="86"/>
      <c r="O3" s="86"/>
      <c r="P3" s="86"/>
      <c r="Q3" s="86"/>
      <c r="R3" s="86"/>
      <c r="S3" s="86"/>
      <c r="T3" s="86"/>
      <c r="U3" s="86"/>
      <c r="V3" s="86"/>
      <c r="W3" s="86"/>
      <c r="X3" s="86"/>
      <c r="Y3" s="86"/>
      <c r="Z3" s="86"/>
      <c r="AA3" s="86"/>
      <c r="AB3" s="86"/>
      <c r="AC3" s="86"/>
      <c r="AD3" s="86"/>
      <c r="AE3" s="86"/>
    </row>
    <row r="4" spans="1:31">
      <c r="A4" s="86"/>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row>
    <row r="5" spans="1:31">
      <c r="A5" s="1"/>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row>
    <row r="6" spans="1:31" ht="18.75" customHeight="1">
      <c r="A6" s="1058"/>
      <c r="B6" s="1059"/>
      <c r="C6" s="1060"/>
      <c r="D6" s="1059"/>
      <c r="E6" s="1060"/>
      <c r="F6" s="1059"/>
      <c r="G6" s="1060"/>
      <c r="H6" s="1032"/>
      <c r="I6" s="1033"/>
      <c r="J6" s="967" t="s">
        <v>596</v>
      </c>
      <c r="K6" s="967"/>
      <c r="L6" s="967"/>
      <c r="M6" s="967"/>
      <c r="N6" s="967"/>
      <c r="O6" s="967"/>
      <c r="P6" s="967"/>
      <c r="Q6" s="967"/>
      <c r="R6" s="967"/>
      <c r="S6" s="967"/>
      <c r="T6" s="967"/>
      <c r="U6" s="967"/>
      <c r="V6" s="967"/>
      <c r="W6" s="967"/>
      <c r="X6" s="967"/>
      <c r="Y6" s="967"/>
      <c r="Z6" s="967"/>
      <c r="AA6" s="967"/>
      <c r="AB6" s="967"/>
      <c r="AC6" s="967"/>
      <c r="AD6" s="1033"/>
      <c r="AE6" s="1034"/>
    </row>
    <row r="7" spans="1:31">
      <c r="A7" s="1042"/>
      <c r="B7" s="992"/>
      <c r="C7" s="1043"/>
      <c r="D7" s="992"/>
      <c r="E7" s="1045"/>
      <c r="F7" s="1037" t="s">
        <v>604</v>
      </c>
      <c r="G7" s="1061"/>
      <c r="H7" s="965" t="s">
        <v>605</v>
      </c>
      <c r="I7" s="1038"/>
      <c r="J7" s="1039"/>
      <c r="K7" s="1040"/>
      <c r="L7" s="1039"/>
      <c r="M7" s="1040"/>
      <c r="N7" s="1039"/>
      <c r="O7" s="1040"/>
      <c r="P7" s="1039"/>
      <c r="Q7" s="1040"/>
      <c r="R7" s="965" t="s">
        <v>605</v>
      </c>
      <c r="S7" s="1038"/>
      <c r="T7" s="1039"/>
      <c r="U7" s="1040"/>
      <c r="V7" s="1039"/>
      <c r="W7" s="1040"/>
      <c r="X7" s="1039"/>
      <c r="Y7" s="1040"/>
      <c r="Z7" s="1041"/>
      <c r="AA7" s="1040"/>
      <c r="AB7" s="1039"/>
      <c r="AC7" s="1040"/>
      <c r="AD7" s="1039"/>
      <c r="AE7" s="1040"/>
    </row>
    <row r="8" spans="1:31" ht="17.25" customHeight="1">
      <c r="A8" s="1042" t="s">
        <v>597</v>
      </c>
      <c r="B8" s="992" t="s">
        <v>602</v>
      </c>
      <c r="C8" s="992"/>
      <c r="D8" s="992" t="s">
        <v>603</v>
      </c>
      <c r="E8" s="1043"/>
      <c r="F8" s="992" t="s">
        <v>606</v>
      </c>
      <c r="G8" s="1043"/>
      <c r="H8" s="992" t="s">
        <v>587</v>
      </c>
      <c r="I8" s="1043"/>
      <c r="J8" s="992" t="s">
        <v>587</v>
      </c>
      <c r="K8" s="1043"/>
      <c r="L8" s="1044" t="s">
        <v>384</v>
      </c>
      <c r="M8" s="1045"/>
      <c r="N8" s="992" t="s">
        <v>608</v>
      </c>
      <c r="O8" s="1043"/>
      <c r="P8" s="992" t="s">
        <v>387</v>
      </c>
      <c r="Q8" s="1043"/>
      <c r="R8" s="992" t="s">
        <v>609</v>
      </c>
      <c r="S8" s="1043"/>
      <c r="T8" s="992" t="s">
        <v>609</v>
      </c>
      <c r="U8" s="1043"/>
      <c r="V8" s="992" t="s">
        <v>351</v>
      </c>
      <c r="W8" s="1043"/>
      <c r="X8" s="992" t="s">
        <v>369</v>
      </c>
      <c r="Y8" s="1043"/>
      <c r="Z8" s="992" t="s">
        <v>374</v>
      </c>
      <c r="AA8" s="1043"/>
      <c r="AB8" s="992" t="s">
        <v>610</v>
      </c>
      <c r="AC8" s="1043"/>
      <c r="AD8" s="992" t="s">
        <v>376</v>
      </c>
      <c r="AE8" s="1043"/>
    </row>
    <row r="9" spans="1:31" ht="20.25" customHeight="1">
      <c r="A9" s="1046"/>
      <c r="B9" s="1047" t="s">
        <v>614</v>
      </c>
      <c r="C9" s="1048" t="s">
        <v>615</v>
      </c>
      <c r="D9" s="1047" t="s">
        <v>614</v>
      </c>
      <c r="E9" s="1048" t="s">
        <v>615</v>
      </c>
      <c r="F9" s="1047" t="s">
        <v>614</v>
      </c>
      <c r="G9" s="1048" t="s">
        <v>615</v>
      </c>
      <c r="H9" s="1047" t="s">
        <v>614</v>
      </c>
      <c r="I9" s="1049" t="s">
        <v>615</v>
      </c>
      <c r="J9" s="1047" t="s">
        <v>614</v>
      </c>
      <c r="K9" s="1049" t="s">
        <v>615</v>
      </c>
      <c r="L9" s="1047" t="s">
        <v>614</v>
      </c>
      <c r="M9" s="1048" t="s">
        <v>615</v>
      </c>
      <c r="N9" s="1047" t="s">
        <v>614</v>
      </c>
      <c r="O9" s="1048" t="s">
        <v>615</v>
      </c>
      <c r="P9" s="1047" t="s">
        <v>614</v>
      </c>
      <c r="Q9" s="1048" t="s">
        <v>615</v>
      </c>
      <c r="R9" s="1047" t="s">
        <v>614</v>
      </c>
      <c r="S9" s="1049" t="s">
        <v>615</v>
      </c>
      <c r="T9" s="1047" t="s">
        <v>614</v>
      </c>
      <c r="U9" s="1048" t="s">
        <v>615</v>
      </c>
      <c r="V9" s="1047" t="s">
        <v>614</v>
      </c>
      <c r="W9" s="1048" t="s">
        <v>615</v>
      </c>
      <c r="X9" s="1047" t="s">
        <v>614</v>
      </c>
      <c r="Y9" s="1048" t="s">
        <v>615</v>
      </c>
      <c r="Z9" s="1047" t="s">
        <v>614</v>
      </c>
      <c r="AA9" s="1048" t="s">
        <v>615</v>
      </c>
      <c r="AB9" s="1047" t="s">
        <v>614</v>
      </c>
      <c r="AC9" s="1048" t="s">
        <v>615</v>
      </c>
      <c r="AD9" s="1047" t="s">
        <v>614</v>
      </c>
      <c r="AE9" s="1048" t="s">
        <v>615</v>
      </c>
    </row>
    <row r="10" spans="1:31">
      <c r="A10" s="141"/>
      <c r="B10" s="142"/>
      <c r="C10" s="180"/>
      <c r="D10" s="142"/>
      <c r="E10" s="180"/>
      <c r="F10" s="142"/>
      <c r="G10" s="180"/>
      <c r="H10" s="185"/>
      <c r="I10" s="185"/>
      <c r="J10" s="142"/>
      <c r="K10" s="180"/>
      <c r="L10" s="142"/>
      <c r="M10" s="180"/>
      <c r="N10" s="142"/>
      <c r="O10" s="180"/>
      <c r="P10" s="142"/>
      <c r="Q10" s="180"/>
      <c r="R10" s="185"/>
      <c r="S10" s="185"/>
      <c r="T10" s="142"/>
      <c r="U10" s="180"/>
      <c r="V10" s="142"/>
      <c r="W10" s="180"/>
      <c r="X10" s="142"/>
      <c r="Y10" s="180"/>
      <c r="Z10" s="142"/>
      <c r="AA10" s="180"/>
      <c r="AB10" s="142"/>
      <c r="AC10" s="180"/>
      <c r="AD10" s="185"/>
      <c r="AE10" s="180"/>
    </row>
    <row r="11" spans="1:31" s="6" customFormat="1" ht="26.25" customHeight="1">
      <c r="A11" s="186">
        <f>+'21'!A11</f>
        <v>2014</v>
      </c>
      <c r="B11" s="190">
        <v>1307</v>
      </c>
      <c r="C11" s="197">
        <f>+B11/'18'!B11*1000</f>
        <v>5.3596765330643246</v>
      </c>
      <c r="D11" s="188">
        <v>81</v>
      </c>
      <c r="E11" s="197">
        <f>+D11/'18'!D11*1000</f>
        <v>3.3407572383073498</v>
      </c>
      <c r="F11" s="152">
        <v>20</v>
      </c>
      <c r="G11" s="196">
        <f>+F11/'18'!F11*1000</f>
        <v>5.329070077271516</v>
      </c>
      <c r="H11" s="202">
        <v>5</v>
      </c>
      <c r="I11" s="196">
        <f>+H11/'18'!H11*1000</f>
        <v>3.2030749519538757</v>
      </c>
      <c r="J11" s="152">
        <v>1</v>
      </c>
      <c r="K11" s="196">
        <f>+J11/'18'!J11*1000</f>
        <v>0.9765625</v>
      </c>
      <c r="L11" s="152">
        <v>2</v>
      </c>
      <c r="M11" s="196">
        <f>+L11/'18'!L11*1000</f>
        <v>7.8740157480314963</v>
      </c>
      <c r="N11" s="152">
        <v>0</v>
      </c>
      <c r="O11" s="196">
        <f>+N11/'18'!N11*1000</f>
        <v>0</v>
      </c>
      <c r="P11" s="152">
        <v>2</v>
      </c>
      <c r="Q11" s="187">
        <f>+P11/'18'!P11*1000</f>
        <v>15.151515151515152</v>
      </c>
      <c r="R11" s="153">
        <v>15</v>
      </c>
      <c r="S11" s="196">
        <f>+R11/'18'!R11*1000</f>
        <v>6.8430656934306571</v>
      </c>
      <c r="T11" s="152">
        <v>10</v>
      </c>
      <c r="U11" s="196">
        <f>+T11/'18'!T11*1000</f>
        <v>9.0826521344232525</v>
      </c>
      <c r="V11" s="152">
        <v>2</v>
      </c>
      <c r="W11" s="196">
        <f>+V11/'18'!V11*1000</f>
        <v>10.309278350515465</v>
      </c>
      <c r="X11" s="152">
        <v>0</v>
      </c>
      <c r="Y11" s="196">
        <f>+X11/'18'!X11*1000</f>
        <v>0</v>
      </c>
      <c r="Z11" s="152">
        <v>1</v>
      </c>
      <c r="AA11" s="196">
        <f>+Z11/'18'!Z11*1000</f>
        <v>8.695652173913043</v>
      </c>
      <c r="AB11" s="152">
        <v>2</v>
      </c>
      <c r="AC11" s="196">
        <f>+AB11/'18'!AB11*1000</f>
        <v>5.1020408163265305</v>
      </c>
      <c r="AD11" s="152">
        <v>0</v>
      </c>
      <c r="AE11" s="187">
        <f>+AD11/'18'!AD11*1000</f>
        <v>0</v>
      </c>
    </row>
    <row r="12" spans="1:31" s="6" customFormat="1" ht="26.25" customHeight="1">
      <c r="A12" s="186">
        <f>+'21'!A12</f>
        <v>2015</v>
      </c>
      <c r="B12" s="190">
        <v>1250</v>
      </c>
      <c r="C12" s="197">
        <f>+B12/'18'!B12*1000</f>
        <v>5.1089222217680961</v>
      </c>
      <c r="D12" s="188">
        <v>113</v>
      </c>
      <c r="E12" s="197">
        <f>+D12/'18'!D12*1000</f>
        <v>4.7885414018137125</v>
      </c>
      <c r="F12" s="152">
        <v>23</v>
      </c>
      <c r="G12" s="196">
        <f>+F12/'18'!F12*1000</f>
        <v>5.9600932884166884</v>
      </c>
      <c r="H12" s="202">
        <v>7</v>
      </c>
      <c r="I12" s="196">
        <f>+H12/'18'!H12*1000</f>
        <v>4.4359949302915087</v>
      </c>
      <c r="J12" s="152">
        <v>4</v>
      </c>
      <c r="K12" s="196">
        <f>+J12/'18'!J12*1000</f>
        <v>4.1279669762641893</v>
      </c>
      <c r="L12" s="152">
        <v>3</v>
      </c>
      <c r="M12" s="196">
        <f>+L12/'18'!L12*1000</f>
        <v>12.448132780082986</v>
      </c>
      <c r="N12" s="152">
        <v>0</v>
      </c>
      <c r="O12" s="196">
        <f>+N12/'18'!N12*1000</f>
        <v>0</v>
      </c>
      <c r="P12" s="152">
        <v>0</v>
      </c>
      <c r="Q12" s="187">
        <f>+P12/'18'!P12*1000</f>
        <v>0</v>
      </c>
      <c r="R12" s="153">
        <v>16</v>
      </c>
      <c r="S12" s="196">
        <f>+R12/'18'!R12*1000</f>
        <v>7.0144673388864538</v>
      </c>
      <c r="T12" s="152">
        <v>10</v>
      </c>
      <c r="U12" s="196">
        <f>+T12/'18'!T12*1000</f>
        <v>8.4104289318755256</v>
      </c>
      <c r="V12" s="152">
        <v>2</v>
      </c>
      <c r="W12" s="196">
        <f>+V12/'18'!V12*1000</f>
        <v>8.9686098654708513</v>
      </c>
      <c r="X12" s="152">
        <v>2</v>
      </c>
      <c r="Y12" s="196">
        <f>+X12/'18'!X12*1000</f>
        <v>9.0090090090090094</v>
      </c>
      <c r="Z12" s="152">
        <v>0</v>
      </c>
      <c r="AA12" s="196">
        <f>+Z12/'18'!Z12*1000</f>
        <v>0</v>
      </c>
      <c r="AB12" s="152">
        <v>2</v>
      </c>
      <c r="AC12" s="196">
        <f>+AB12/'18'!AB12*1000</f>
        <v>5.6657223796034</v>
      </c>
      <c r="AD12" s="152">
        <v>0</v>
      </c>
      <c r="AE12" s="187">
        <f>+AD12/'18'!AD12*1000</f>
        <v>0</v>
      </c>
    </row>
    <row r="13" spans="1:31" s="6" customFormat="1" ht="26.25" customHeight="1">
      <c r="A13" s="186">
        <f>+'21'!A13</f>
        <v>2016</v>
      </c>
      <c r="B13" s="190">
        <v>1209</v>
      </c>
      <c r="C13" s="197">
        <f>+B13/'18'!B13*1000</f>
        <v>5.2371669915529564</v>
      </c>
      <c r="D13" s="188">
        <v>90</v>
      </c>
      <c r="E13" s="197">
        <f>+D13/'18'!D13*1000</f>
        <v>5.028775772475834</v>
      </c>
      <c r="F13" s="152">
        <v>10</v>
      </c>
      <c r="G13" s="196">
        <f>+F13/'18'!F13*1000</f>
        <v>3.0385900941962931</v>
      </c>
      <c r="H13" s="202">
        <v>3</v>
      </c>
      <c r="I13" s="196">
        <f>+H13/'18'!H13*1000</f>
        <v>2.210759027266028</v>
      </c>
      <c r="J13" s="152">
        <v>0</v>
      </c>
      <c r="K13" s="196">
        <f>+J13/'18'!J13*1000</f>
        <v>0</v>
      </c>
      <c r="L13" s="152">
        <v>0</v>
      </c>
      <c r="M13" s="196">
        <f>+L13/'18'!L13*1000</f>
        <v>0</v>
      </c>
      <c r="N13" s="152">
        <v>1</v>
      </c>
      <c r="O13" s="196">
        <f>+N13/'18'!N13*1000</f>
        <v>5.2631578947368416</v>
      </c>
      <c r="P13" s="152">
        <v>2</v>
      </c>
      <c r="Q13" s="187">
        <f>+P13/'18'!P13*1000</f>
        <v>17.241379310344826</v>
      </c>
      <c r="R13" s="153">
        <v>7</v>
      </c>
      <c r="S13" s="196">
        <f>+R13/'18'!R13*1000</f>
        <v>3.6194415718717683</v>
      </c>
      <c r="T13" s="152">
        <v>3</v>
      </c>
      <c r="U13" s="196">
        <f>+T13/'18'!T13*1000</f>
        <v>2.8846153846153846</v>
      </c>
      <c r="V13" s="152">
        <v>1</v>
      </c>
      <c r="W13" s="196">
        <f>+V13/'18'!V13*1000</f>
        <v>5.6497175141242941</v>
      </c>
      <c r="X13" s="152">
        <v>1</v>
      </c>
      <c r="Y13" s="196">
        <f>+X13/'18'!X13*1000</f>
        <v>5.1020408163265305</v>
      </c>
      <c r="Z13" s="152">
        <v>0</v>
      </c>
      <c r="AA13" s="196">
        <f>+Z13/'18'!Z13*1000</f>
        <v>0</v>
      </c>
      <c r="AB13" s="152">
        <v>1</v>
      </c>
      <c r="AC13" s="196">
        <f>+AB13/'18'!AB13*1000</f>
        <v>3.5971223021582737</v>
      </c>
      <c r="AD13" s="152">
        <v>1</v>
      </c>
      <c r="AE13" s="187">
        <f>+AD13/'18'!AD13*1000</f>
        <v>6.4516129032258061</v>
      </c>
    </row>
    <row r="14" spans="1:31" s="6" customFormat="1" ht="26.25" customHeight="1">
      <c r="A14" s="186">
        <f>+'21'!A14</f>
        <v>2017</v>
      </c>
      <c r="B14" s="190">
        <v>956</v>
      </c>
      <c r="C14" s="197">
        <f>+B14/'18'!B14*1000</f>
        <v>4.3586692380991465</v>
      </c>
      <c r="D14" s="188">
        <v>105</v>
      </c>
      <c r="E14" s="197">
        <f>+D14/'18'!D14*1000</f>
        <v>5.1640190822800376</v>
      </c>
      <c r="F14" s="152">
        <v>12</v>
      </c>
      <c r="G14" s="196">
        <f>+F14/'18'!F14*1000</f>
        <v>4.0281973816717018</v>
      </c>
      <c r="H14" s="202">
        <v>2</v>
      </c>
      <c r="I14" s="196">
        <f>+H14/'18'!H14*1000</f>
        <v>1.669449081803005</v>
      </c>
      <c r="J14" s="152">
        <v>2</v>
      </c>
      <c r="K14" s="196">
        <f>+J14/'18'!J14*1000</f>
        <v>2.7894002789400276</v>
      </c>
      <c r="L14" s="152">
        <v>0</v>
      </c>
      <c r="M14" s="196">
        <f>+L14/'18'!L14*1000</f>
        <v>0</v>
      </c>
      <c r="N14" s="152">
        <v>0</v>
      </c>
      <c r="O14" s="196">
        <f>+N14/'18'!N14*1000</f>
        <v>0</v>
      </c>
      <c r="P14" s="152">
        <v>0</v>
      </c>
      <c r="Q14" s="187">
        <f>+P14/'18'!P14*1000</f>
        <v>0</v>
      </c>
      <c r="R14" s="153">
        <v>10</v>
      </c>
      <c r="S14" s="196">
        <f>+R14/'18'!R14*1000</f>
        <v>5.6148231330713081</v>
      </c>
      <c r="T14" s="152">
        <v>6</v>
      </c>
      <c r="U14" s="196">
        <f>+T14/'18'!T14*1000</f>
        <v>6.3157894736842106</v>
      </c>
      <c r="V14" s="152">
        <v>0</v>
      </c>
      <c r="W14" s="196">
        <f>+V14/'18'!V14*1000</f>
        <v>0</v>
      </c>
      <c r="X14" s="152">
        <v>0</v>
      </c>
      <c r="Y14" s="196">
        <f>+X14/'18'!X14*1000</f>
        <v>0</v>
      </c>
      <c r="Z14" s="152">
        <v>0</v>
      </c>
      <c r="AA14" s="196">
        <f>+Z14/'18'!Z14*1000</f>
        <v>0</v>
      </c>
      <c r="AB14" s="152">
        <v>2</v>
      </c>
      <c r="AC14" s="196">
        <f>+AB14/'18'!AB14*1000</f>
        <v>6.8728522336769755</v>
      </c>
      <c r="AD14" s="152">
        <v>2</v>
      </c>
      <c r="AE14" s="187">
        <f>+AD14/'18'!AD14*1000</f>
        <v>12.738853503184714</v>
      </c>
    </row>
    <row r="15" spans="1:31" s="6" customFormat="1" ht="26.25" customHeight="1">
      <c r="A15" s="186">
        <f>+'21'!A15</f>
        <v>2018</v>
      </c>
      <c r="B15" s="190">
        <v>941</v>
      </c>
      <c r="C15" s="197">
        <f>+B15/'18'!B15*1000</f>
        <v>4.2438810991697142</v>
      </c>
      <c r="D15" s="188">
        <v>82</v>
      </c>
      <c r="E15" s="197">
        <f>+D15/'18'!D15*1000</f>
        <v>3.84381005953218</v>
      </c>
      <c r="F15" s="152">
        <v>14</v>
      </c>
      <c r="G15" s="196">
        <f>+F15/'18'!F15*1000</f>
        <v>4.4987146529562985</v>
      </c>
      <c r="H15" s="202">
        <v>9</v>
      </c>
      <c r="I15" s="196">
        <f>+H15/'18'!H15*1000</f>
        <v>7.832898172323759</v>
      </c>
      <c r="J15" s="152">
        <v>7</v>
      </c>
      <c r="K15" s="196">
        <f>+J15/'18'!J15*1000</f>
        <v>9.7629009762900978</v>
      </c>
      <c r="L15" s="152">
        <v>1</v>
      </c>
      <c r="M15" s="196">
        <f>+L15/'18'!L15*1000</f>
        <v>5.8479532163742682</v>
      </c>
      <c r="N15" s="152">
        <v>1</v>
      </c>
      <c r="O15" s="196">
        <f>+N15/'18'!N15*1000</f>
        <v>7.1942446043165473</v>
      </c>
      <c r="P15" s="152">
        <v>0</v>
      </c>
      <c r="Q15" s="187">
        <f>+P15/'18'!P15*1000</f>
        <v>0</v>
      </c>
      <c r="R15" s="153">
        <v>5</v>
      </c>
      <c r="S15" s="196">
        <f>+R15/'18'!R15*1000</f>
        <v>2.5471217524197658</v>
      </c>
      <c r="T15" s="152"/>
      <c r="U15" s="196">
        <f>+T15/'18'!T15*1000</f>
        <v>0</v>
      </c>
      <c r="V15" s="152">
        <v>1</v>
      </c>
      <c r="W15" s="196">
        <f>+V15/'18'!V15*1000</f>
        <v>4.6296296296296298</v>
      </c>
      <c r="X15" s="152">
        <v>1</v>
      </c>
      <c r="Y15" s="196">
        <f>+X15/'18'!X15*1000</f>
        <v>6.1728395061728394</v>
      </c>
      <c r="Z15" s="152">
        <v>0</v>
      </c>
      <c r="AA15" s="196">
        <f>+Z15/'18'!Z15*1000</f>
        <v>0</v>
      </c>
      <c r="AB15" s="152">
        <v>3</v>
      </c>
      <c r="AC15" s="196">
        <f>+AB15/'18'!AB15*1000</f>
        <v>10.033444816053512</v>
      </c>
      <c r="AD15" s="152">
        <v>0</v>
      </c>
      <c r="AE15" s="187">
        <f>+AD15/'18'!AD15*1000</f>
        <v>0</v>
      </c>
    </row>
    <row r="16" spans="1:31" s="6" customFormat="1" ht="26.25" customHeight="1">
      <c r="A16" s="186">
        <f>+'21'!A16</f>
        <v>2019</v>
      </c>
      <c r="B16" s="190">
        <v>859</v>
      </c>
      <c r="C16" s="197">
        <f>+B16/'18'!B16*1000</f>
        <v>4.1156995491416444</v>
      </c>
      <c r="D16" s="188">
        <v>87</v>
      </c>
      <c r="E16" s="197">
        <f>+D16/'18'!D16*1000</f>
        <v>4.4766903365236184</v>
      </c>
      <c r="F16" s="152">
        <v>16</v>
      </c>
      <c r="G16" s="196">
        <f>+F16/'18'!F16*1000</f>
        <v>5.1563003544956496</v>
      </c>
      <c r="H16" s="202">
        <v>3</v>
      </c>
      <c r="I16" s="196">
        <f>+H16/'18'!H16*1000</f>
        <v>2.5041736227045073</v>
      </c>
      <c r="J16" s="152">
        <v>0</v>
      </c>
      <c r="K16" s="196">
        <f>+J16/'18'!J16*1000</f>
        <v>0</v>
      </c>
      <c r="L16" s="152">
        <v>2</v>
      </c>
      <c r="M16" s="196">
        <f>+L16/'18'!L16*1000</f>
        <v>10.638297872340425</v>
      </c>
      <c r="N16" s="152">
        <v>0</v>
      </c>
      <c r="O16" s="196">
        <f>+N16/'18'!N16*1000</f>
        <v>0</v>
      </c>
      <c r="P16" s="152">
        <v>1</v>
      </c>
      <c r="Q16" s="187">
        <f>+P16/'18'!P16*1000</f>
        <v>8.4033613445378155</v>
      </c>
      <c r="R16" s="153">
        <v>13</v>
      </c>
      <c r="S16" s="196">
        <f>+R16/'18'!R16*1000</f>
        <v>6.8241469816272966</v>
      </c>
      <c r="T16" s="152">
        <v>7</v>
      </c>
      <c r="U16" s="196">
        <f>+T16/'18'!T16*1000</f>
        <v>6.7243035542747354</v>
      </c>
      <c r="V16" s="152">
        <v>0</v>
      </c>
      <c r="W16" s="196">
        <f>+V16/'18'!V16*1000</f>
        <v>0</v>
      </c>
      <c r="X16" s="152">
        <v>1</v>
      </c>
      <c r="Y16" s="196">
        <f>+X16/'18'!X16*1000</f>
        <v>6.8027210884353737</v>
      </c>
      <c r="Z16" s="152">
        <v>1</v>
      </c>
      <c r="AA16" s="196">
        <f>+Z16/'18'!Z16*1000</f>
        <v>13.698630136986301</v>
      </c>
      <c r="AB16" s="152">
        <v>1</v>
      </c>
      <c r="AC16" s="196">
        <f>+AB16/'18'!AB16*1000</f>
        <v>3.2051282051282048</v>
      </c>
      <c r="AD16" s="152">
        <v>3</v>
      </c>
      <c r="AE16" s="187">
        <f>+AD16/'18'!AD16*1000</f>
        <v>18.518518518518519</v>
      </c>
    </row>
    <row r="17" spans="1:31" s="6" customFormat="1" ht="26.25" customHeight="1">
      <c r="A17" s="186">
        <f>+'21'!A17</f>
        <v>2020</v>
      </c>
      <c r="B17" s="190">
        <v>838</v>
      </c>
      <c r="C17" s="197">
        <f>+B17/'18'!B17*1000</f>
        <v>4.2746160241990196</v>
      </c>
      <c r="D17" s="188">
        <v>50</v>
      </c>
      <c r="E17" s="197">
        <f>+D17/'18'!D17*1000</f>
        <v>2.7128207910585429</v>
      </c>
      <c r="F17" s="152">
        <v>13</v>
      </c>
      <c r="G17" s="196">
        <f>+F17/'18'!F17*1000</f>
        <v>4.9808429118773949</v>
      </c>
      <c r="H17" s="202">
        <v>5</v>
      </c>
      <c r="I17" s="196">
        <f>+H17/'18'!H17*1000</f>
        <v>5.1229508196721305</v>
      </c>
      <c r="J17" s="152">
        <v>5</v>
      </c>
      <c r="K17" s="196">
        <f>+J17/'18'!J17*1000</f>
        <v>8.4745762711864412</v>
      </c>
      <c r="L17" s="152">
        <v>0</v>
      </c>
      <c r="M17" s="196">
        <f>+L17/'18'!L17*1000</f>
        <v>0</v>
      </c>
      <c r="N17" s="152">
        <v>0</v>
      </c>
      <c r="O17" s="196">
        <f>+N17/'18'!N17*1000</f>
        <v>0</v>
      </c>
      <c r="P17" s="152">
        <v>0</v>
      </c>
      <c r="Q17" s="187">
        <f>+P17/'18'!P17*1000</f>
        <v>0</v>
      </c>
      <c r="R17" s="153">
        <v>8</v>
      </c>
      <c r="S17" s="196">
        <f>+R17/'18'!R17*1000</f>
        <v>4.8959608323133414</v>
      </c>
      <c r="T17" s="152">
        <v>6</v>
      </c>
      <c r="U17" s="196">
        <f>+T17/'18'!T17*1000</f>
        <v>6.8965517241379306</v>
      </c>
      <c r="V17" s="152">
        <v>1</v>
      </c>
      <c r="W17" s="196">
        <f>+V17/'18'!V17*1000</f>
        <v>5.6818181818181817</v>
      </c>
      <c r="X17" s="152">
        <v>0</v>
      </c>
      <c r="Y17" s="196">
        <f>+X17/'18'!X17*1000</f>
        <v>0</v>
      </c>
      <c r="Z17" s="152">
        <v>0</v>
      </c>
      <c r="AA17" s="196">
        <f>+Z17/'18'!Z17*1000</f>
        <v>0</v>
      </c>
      <c r="AB17" s="152">
        <v>1</v>
      </c>
      <c r="AC17" s="196">
        <f>+AB17/'18'!AB17*1000</f>
        <v>3.8314176245210727</v>
      </c>
      <c r="AD17" s="152">
        <v>0</v>
      </c>
      <c r="AE17" s="187">
        <f>+AD17/'18'!AD17*1000</f>
        <v>0</v>
      </c>
    </row>
    <row r="18" spans="1:31" s="6" customFormat="1" ht="26.25" customHeight="1">
      <c r="A18" s="186">
        <f>+'21'!A18</f>
        <v>2021</v>
      </c>
      <c r="B18" s="190">
        <v>798</v>
      </c>
      <c r="C18" s="197">
        <f>+B18/'18'!B18*1000</f>
        <v>4.501531536105329</v>
      </c>
      <c r="D18" s="188">
        <v>43</v>
      </c>
      <c r="E18" s="197">
        <f>+D18/'18'!D18*1000</f>
        <v>3.1341107871720113</v>
      </c>
      <c r="F18" s="152">
        <v>10</v>
      </c>
      <c r="G18" s="196">
        <f>+F18/'18'!F18*1000</f>
        <v>4.543389368468878</v>
      </c>
      <c r="H18" s="202">
        <v>3</v>
      </c>
      <c r="I18" s="196">
        <f>+H18/'18'!H18*1000</f>
        <v>3.4562211981566824</v>
      </c>
      <c r="J18" s="152">
        <v>3</v>
      </c>
      <c r="K18" s="196">
        <f>+J18/'18'!J18*1000</f>
        <v>5.9880239520958085</v>
      </c>
      <c r="L18" s="152">
        <v>0</v>
      </c>
      <c r="M18" s="196">
        <f>+L18/'18'!L18*1000</f>
        <v>0</v>
      </c>
      <c r="N18" s="152">
        <v>0</v>
      </c>
      <c r="O18" s="196">
        <f>+N18/'18'!N18*1000</f>
        <v>0</v>
      </c>
      <c r="P18" s="152">
        <v>0</v>
      </c>
      <c r="Q18" s="187">
        <f>+P18/'18'!P18*1000</f>
        <v>0</v>
      </c>
      <c r="R18" s="153">
        <v>7</v>
      </c>
      <c r="S18" s="196">
        <f>+R18/'18'!R18*1000</f>
        <v>5.2513128282070518</v>
      </c>
      <c r="T18" s="152">
        <v>4</v>
      </c>
      <c r="U18" s="196">
        <f>+T18/'18'!T18*1000</f>
        <v>5.7803468208092479</v>
      </c>
      <c r="V18" s="152">
        <v>0</v>
      </c>
      <c r="W18" s="196">
        <f>+V18/'18'!V18*1000</f>
        <v>0</v>
      </c>
      <c r="X18" s="152">
        <v>1</v>
      </c>
      <c r="Y18" s="196">
        <f>+X18/'18'!X18*1000</f>
        <v>10.309278350515465</v>
      </c>
      <c r="Z18" s="152">
        <v>0</v>
      </c>
      <c r="AA18" s="196">
        <f>+Z18/'18'!Z18*1000</f>
        <v>0</v>
      </c>
      <c r="AB18" s="152">
        <v>2</v>
      </c>
      <c r="AC18" s="196">
        <f>+AB18/'18'!AB18*1000</f>
        <v>8.695652173913043</v>
      </c>
      <c r="AD18" s="152">
        <v>0</v>
      </c>
      <c r="AE18" s="187">
        <f>+AD18/'18'!AD18*1000</f>
        <v>0</v>
      </c>
    </row>
    <row r="19" spans="1:31" s="6" customFormat="1" ht="26.25" customHeight="1">
      <c r="A19" s="186">
        <f>+'21'!A19</f>
        <v>2022</v>
      </c>
      <c r="B19" s="152">
        <v>859</v>
      </c>
      <c r="C19" s="197">
        <f>+B19/'18'!B19*1000</f>
        <v>4.3256472104862951</v>
      </c>
      <c r="D19" s="188">
        <v>73</v>
      </c>
      <c r="E19" s="197">
        <f>+D19/'18'!D19*1000</f>
        <v>4.7498210683844109</v>
      </c>
      <c r="F19" s="152">
        <f>+J19+L19+N19+P19+T19+V19+X19+Z19+AB19+AD19</f>
        <v>1</v>
      </c>
      <c r="G19" s="196">
        <f>+F19/'18'!F19*1000</f>
        <v>0.41631973355537055</v>
      </c>
      <c r="H19" s="202">
        <f>+J19+L19+N19+P19</f>
        <v>0</v>
      </c>
      <c r="I19" s="196">
        <f>+H19/'18'!H19*1000</f>
        <v>0</v>
      </c>
      <c r="J19" s="152">
        <v>0</v>
      </c>
      <c r="K19" s="196">
        <f>+J19/'18'!J19*1000</f>
        <v>0</v>
      </c>
      <c r="L19" s="152">
        <v>0</v>
      </c>
      <c r="M19" s="196">
        <f>+L19/'18'!L19*1000</f>
        <v>0</v>
      </c>
      <c r="N19" s="152">
        <v>0</v>
      </c>
      <c r="O19" s="196">
        <f>+N19/'18'!N19*1000</f>
        <v>0</v>
      </c>
      <c r="P19" s="152">
        <v>0</v>
      </c>
      <c r="Q19" s="187">
        <f>+P19/'18'!P19*1000</f>
        <v>0</v>
      </c>
      <c r="R19" s="153">
        <f>+T19+V19+X19+Z19+AB19+AD19</f>
        <v>1</v>
      </c>
      <c r="S19" s="196">
        <f>+R19/'18'!R19*1000</f>
        <v>0.68870523415977969</v>
      </c>
      <c r="T19" s="152">
        <v>0</v>
      </c>
      <c r="U19" s="196">
        <f>+T19/'18'!T19*1000</f>
        <v>0</v>
      </c>
      <c r="V19" s="152">
        <v>0</v>
      </c>
      <c r="W19" s="196">
        <f>+V19/'18'!V19*1000</f>
        <v>0</v>
      </c>
      <c r="X19" s="152">
        <v>0</v>
      </c>
      <c r="Y19" s="196">
        <f>+X19/'18'!X19*1000</f>
        <v>0</v>
      </c>
      <c r="Z19" s="152">
        <v>1</v>
      </c>
      <c r="AA19" s="196">
        <f>+Z19/'18'!Z19*1000</f>
        <v>15.151515151515152</v>
      </c>
      <c r="AB19" s="152">
        <v>0</v>
      </c>
      <c r="AC19" s="196">
        <f>+AB19/'18'!AB19*1000</f>
        <v>0</v>
      </c>
      <c r="AD19" s="152">
        <v>0</v>
      </c>
      <c r="AE19" s="187">
        <f>+AD19/'18'!AD19*1000</f>
        <v>0</v>
      </c>
    </row>
    <row r="20" spans="1:31" s="6" customFormat="1" ht="26.25" customHeight="1">
      <c r="A20" s="186">
        <f>+'21'!A20</f>
        <v>2023</v>
      </c>
      <c r="B20" s="152">
        <v>835</v>
      </c>
      <c r="C20" s="197">
        <f>+B20/'18'!B20*1000</f>
        <v>4.7771884958435598</v>
      </c>
      <c r="D20" s="188">
        <v>87</v>
      </c>
      <c r="E20" s="197">
        <f>+D20/'18'!D20*1000</f>
        <v>5.1491477272727266</v>
      </c>
      <c r="F20" s="152">
        <f>+J20+L20+N20+P20+T20+V20+X20+Z20+AB20+AD20</f>
        <v>11</v>
      </c>
      <c r="G20" s="196">
        <f>+F20/'18'!F20*1000</f>
        <v>4.852227613586237</v>
      </c>
      <c r="H20" s="202">
        <f>+J20+L20+N20+P20</f>
        <v>7</v>
      </c>
      <c r="I20" s="196">
        <f>+H20/'18'!H20*1000</f>
        <v>8.1967213114754109</v>
      </c>
      <c r="J20" s="152">
        <v>3</v>
      </c>
      <c r="K20" s="196">
        <f>+J20/'18'!J20*1000</f>
        <v>5.7692307692307692</v>
      </c>
      <c r="L20" s="152">
        <v>1</v>
      </c>
      <c r="M20" s="196">
        <f>+L20/'18'!L20*1000</f>
        <v>6.9444444444444438</v>
      </c>
      <c r="N20" s="152">
        <v>3</v>
      </c>
      <c r="O20" s="196">
        <f>+N20/'18'!N20*1000</f>
        <v>22.900763358778626</v>
      </c>
      <c r="P20" s="152">
        <v>0</v>
      </c>
      <c r="Q20" s="187">
        <f>+P20/'18'!P20*1000</f>
        <v>0</v>
      </c>
      <c r="R20" s="153">
        <f>+T20+V20+X20+Z20+AB20+AD20</f>
        <v>4</v>
      </c>
      <c r="S20" s="196">
        <f>+R20/'18'!R20*1000</f>
        <v>2.8308563340410475</v>
      </c>
      <c r="T20" s="152">
        <v>3</v>
      </c>
      <c r="U20" s="196">
        <f>+T20/'18'!T20*1000</f>
        <v>3.9370078740157481</v>
      </c>
      <c r="V20" s="152">
        <v>0</v>
      </c>
      <c r="W20" s="196">
        <f>+V20/'18'!V20*1000</f>
        <v>0</v>
      </c>
      <c r="X20" s="152">
        <v>0</v>
      </c>
      <c r="Y20" s="196">
        <f>+X20/'18'!X20*1000</f>
        <v>0</v>
      </c>
      <c r="Z20" s="152">
        <v>0</v>
      </c>
      <c r="AA20" s="196">
        <f>+Z20/'18'!Z20*1000</f>
        <v>0</v>
      </c>
      <c r="AB20" s="152">
        <v>1</v>
      </c>
      <c r="AC20" s="196">
        <f>+AB20/'18'!AB20*1000</f>
        <v>4.3103448275862064</v>
      </c>
      <c r="AD20" s="152">
        <v>0</v>
      </c>
      <c r="AE20" s="187">
        <f>+AD20/'18'!AD20*1000</f>
        <v>0</v>
      </c>
    </row>
    <row r="21" spans="1:31">
      <c r="A21" s="192"/>
      <c r="B21" s="155"/>
      <c r="C21" s="193"/>
      <c r="D21" s="155"/>
      <c r="E21" s="193"/>
      <c r="F21" s="157"/>
      <c r="G21" s="193"/>
      <c r="H21" s="205"/>
      <c r="I21" s="205"/>
      <c r="J21" s="155"/>
      <c r="K21" s="193"/>
      <c r="L21" s="155"/>
      <c r="M21" s="193"/>
      <c r="N21" s="155"/>
      <c r="O21" s="193"/>
      <c r="P21" s="155"/>
      <c r="Q21" s="193"/>
      <c r="R21" s="205"/>
      <c r="S21" s="205"/>
      <c r="T21" s="155"/>
      <c r="U21" s="193"/>
      <c r="V21" s="155"/>
      <c r="W21" s="193"/>
      <c r="X21" s="155"/>
      <c r="Y21" s="193"/>
      <c r="Z21" s="155"/>
      <c r="AA21" s="193"/>
      <c r="AB21" s="155"/>
      <c r="AC21" s="193"/>
      <c r="AD21" s="194"/>
      <c r="AE21" s="193"/>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65" t="str">
        <f>+'18'!B22</f>
        <v>AÑO   2023  :   DATOS POR RESIDENCIA</v>
      </c>
      <c r="B23" s="165"/>
      <c r="C23" s="165"/>
      <c r="D23" s="165"/>
      <c r="E23" s="165"/>
      <c r="F23" s="165"/>
      <c r="G23" s="165"/>
      <c r="H23" s="165"/>
      <c r="I23" s="165"/>
      <c r="J23" s="161"/>
      <c r="K23" s="1"/>
      <c r="L23" s="1"/>
      <c r="M23" s="1"/>
      <c r="N23" s="1"/>
      <c r="O23" s="1"/>
      <c r="P23" s="1"/>
      <c r="Q23" s="1"/>
      <c r="R23" s="1"/>
      <c r="S23" s="1"/>
      <c r="T23" s="1"/>
      <c r="U23" s="1"/>
      <c r="V23" s="1"/>
      <c r="W23" s="1"/>
      <c r="X23" s="1"/>
      <c r="Y23" s="1"/>
      <c r="Z23" s="1"/>
      <c r="AA23" s="1"/>
      <c r="AB23" s="1"/>
      <c r="AC23" s="1"/>
      <c r="AD23" s="1"/>
    </row>
    <row r="24" spans="1:31">
      <c r="A24" s="165" t="s">
        <v>1536</v>
      </c>
      <c r="B24" s="165"/>
      <c r="C24" s="161"/>
      <c r="D24" s="161"/>
      <c r="E24" s="161"/>
      <c r="F24" s="161"/>
      <c r="G24" s="161"/>
      <c r="H24" s="161"/>
      <c r="I24" s="161"/>
      <c r="J24" s="1"/>
      <c r="K24" s="1"/>
      <c r="L24" s="1"/>
      <c r="M24" s="1"/>
      <c r="N24" s="1"/>
      <c r="O24" s="1"/>
      <c r="P24" s="1"/>
      <c r="Q24" s="1"/>
      <c r="R24" s="1"/>
      <c r="S24" s="1"/>
      <c r="T24" s="1"/>
      <c r="U24" s="1"/>
      <c r="V24" s="1"/>
      <c r="W24" s="1"/>
      <c r="X24" s="1"/>
      <c r="Y24" s="1"/>
      <c r="Z24" s="1"/>
      <c r="AA24" s="1"/>
      <c r="AB24" s="1"/>
      <c r="AC24" s="1"/>
    </row>
    <row r="25" spans="1:31">
      <c r="A25" s="1"/>
      <c r="B25" s="161"/>
      <c r="C25" s="161"/>
      <c r="D25" s="161"/>
      <c r="E25" s="161"/>
      <c r="F25" s="161"/>
      <c r="G25" s="161"/>
      <c r="H25" s="161"/>
      <c r="I25" s="161"/>
      <c r="J25" s="161"/>
      <c r="K25" s="161"/>
      <c r="L25" s="1"/>
      <c r="M25" s="1"/>
      <c r="N25" s="1"/>
      <c r="O25" s="1"/>
      <c r="P25" s="1"/>
      <c r="Q25" s="1"/>
      <c r="R25" s="1"/>
      <c r="S25" s="1"/>
      <c r="T25" s="1"/>
      <c r="U25" s="1"/>
      <c r="V25" s="1"/>
      <c r="W25" s="1"/>
      <c r="X25" s="1"/>
      <c r="Y25" s="1"/>
      <c r="Z25" s="1"/>
      <c r="AA25" s="1"/>
      <c r="AB25" s="1"/>
      <c r="AC25" s="1"/>
      <c r="AD25" s="1"/>
      <c r="AE25" s="1"/>
    </row>
  </sheetData>
  <phoneticPr fontId="18"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25"/>
  <sheetViews>
    <sheetView zoomScaleNormal="100" zoomScaleSheetLayoutView="100" workbookViewId="0">
      <selection activeCell="D20" sqref="D20"/>
    </sheetView>
  </sheetViews>
  <sheetFormatPr baseColWidth="10" defaultRowHeight="12.75"/>
  <cols>
    <col min="1" max="1" width="6.28515625" customWidth="1"/>
    <col min="2" max="2" width="6" customWidth="1"/>
    <col min="3" max="3" width="5" customWidth="1"/>
    <col min="4" max="4" width="5.42578125" customWidth="1"/>
    <col min="5" max="6" width="5.7109375" customWidth="1"/>
    <col min="7" max="9" width="6.5703125" customWidth="1"/>
    <col min="10" max="10" width="4" customWidth="1"/>
    <col min="11" max="11" width="5.7109375" customWidth="1"/>
    <col min="12" max="12" width="4" customWidth="1"/>
    <col min="13" max="13" width="5.7109375" customWidth="1"/>
    <col min="14" max="14" width="4" customWidth="1"/>
    <col min="15" max="15" width="5.7109375" customWidth="1"/>
    <col min="16" max="16" width="4.28515625" customWidth="1"/>
    <col min="17" max="19" width="5.7109375" customWidth="1"/>
    <col min="20" max="20" width="4.28515625" customWidth="1"/>
    <col min="21" max="21" width="5.7109375" customWidth="1"/>
    <col min="22" max="22" width="3.7109375" customWidth="1"/>
    <col min="23" max="23" width="5.7109375" customWidth="1"/>
    <col min="24" max="24" width="4.28515625" customWidth="1"/>
    <col min="25" max="25" width="5.7109375" customWidth="1"/>
    <col min="26" max="26" width="4.28515625" customWidth="1"/>
    <col min="27" max="27" width="5.7109375" customWidth="1"/>
    <col min="28" max="28" width="4.28515625" customWidth="1"/>
    <col min="29" max="29" width="5.7109375" customWidth="1"/>
    <col min="30" max="30" width="4" customWidth="1"/>
    <col min="31" max="31" width="5.7109375" customWidth="1"/>
  </cols>
  <sheetData>
    <row r="1" spans="1:31">
      <c r="A1" s="115" t="s">
        <v>622</v>
      </c>
      <c r="B1" s="115"/>
      <c r="C1" s="86"/>
      <c r="D1" s="86"/>
      <c r="E1" s="86"/>
      <c r="F1" s="115"/>
      <c r="G1" s="115"/>
      <c r="H1" s="86"/>
      <c r="I1" s="86"/>
      <c r="J1" s="86"/>
      <c r="K1" s="86"/>
      <c r="L1" s="86"/>
      <c r="M1" s="86"/>
      <c r="N1" s="86"/>
      <c r="O1" s="86"/>
      <c r="P1" s="86"/>
      <c r="Q1" s="86"/>
      <c r="R1" s="86"/>
      <c r="S1" s="86"/>
      <c r="T1" s="86"/>
      <c r="U1" s="86"/>
      <c r="V1" s="86"/>
      <c r="W1" s="86"/>
      <c r="X1" s="86"/>
      <c r="Y1" s="86"/>
      <c r="Z1" s="86"/>
      <c r="AA1" s="86"/>
      <c r="AB1" s="86"/>
      <c r="AC1" s="86"/>
      <c r="AD1" s="86"/>
      <c r="AE1" s="86"/>
    </row>
    <row r="2" spans="1:31">
      <c r="A2" s="115"/>
      <c r="B2" s="115"/>
      <c r="C2" s="86"/>
      <c r="D2" s="86"/>
      <c r="E2" s="86"/>
      <c r="F2" s="115"/>
      <c r="G2" s="115"/>
      <c r="H2" s="86"/>
      <c r="I2" s="86"/>
      <c r="J2" s="86"/>
      <c r="K2" s="86"/>
      <c r="L2" s="86"/>
      <c r="M2" s="86"/>
      <c r="N2" s="86"/>
      <c r="O2" s="86"/>
      <c r="P2" s="86"/>
      <c r="Q2" s="86"/>
      <c r="R2" s="86"/>
      <c r="S2" s="86"/>
      <c r="T2" s="86"/>
      <c r="U2" s="86"/>
      <c r="V2" s="86"/>
      <c r="W2" s="86"/>
      <c r="X2" s="86"/>
      <c r="Y2" s="86"/>
      <c r="Z2" s="86"/>
      <c r="AA2" s="86"/>
      <c r="AB2" s="86"/>
      <c r="AC2" s="86"/>
      <c r="AD2" s="86"/>
      <c r="AE2" s="86"/>
    </row>
    <row r="3" spans="1:31">
      <c r="A3" s="115" t="str">
        <f>+'22'!A3</f>
        <v>AÑOS   2014  - 2023</v>
      </c>
      <c r="B3" s="115"/>
      <c r="C3" s="86"/>
      <c r="D3" s="86"/>
      <c r="E3" s="86"/>
      <c r="F3" s="115"/>
      <c r="G3" s="115"/>
      <c r="H3" s="86"/>
      <c r="I3" s="86"/>
      <c r="J3" s="86"/>
      <c r="K3" s="86"/>
      <c r="L3" s="86"/>
      <c r="M3" s="86"/>
      <c r="N3" s="86"/>
      <c r="O3" s="86"/>
      <c r="P3" s="86"/>
      <c r="Q3" s="86"/>
      <c r="R3" s="86"/>
      <c r="S3" s="86"/>
      <c r="T3" s="86"/>
      <c r="U3" s="86"/>
      <c r="V3" s="86"/>
      <c r="W3" s="86"/>
      <c r="X3" s="86"/>
      <c r="Y3" s="86"/>
      <c r="Z3" s="86"/>
      <c r="AA3" s="86"/>
      <c r="AB3" s="86"/>
      <c r="AC3" s="86"/>
      <c r="AD3" s="86"/>
      <c r="AE3" s="86"/>
    </row>
    <row r="4" spans="1:31">
      <c r="A4" s="86"/>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row>
    <row r="5" spans="1:31">
      <c r="A5" s="1"/>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row>
    <row r="6" spans="1:31" ht="19.5" customHeight="1">
      <c r="A6" s="1062"/>
      <c r="B6" s="1063"/>
      <c r="C6" s="1064"/>
      <c r="D6" s="1063"/>
      <c r="E6" s="1064"/>
      <c r="F6" s="1063"/>
      <c r="G6" s="1064"/>
      <c r="H6" s="1032"/>
      <c r="I6" s="1033"/>
      <c r="J6" s="967" t="s">
        <v>596</v>
      </c>
      <c r="K6" s="967"/>
      <c r="L6" s="967"/>
      <c r="M6" s="967"/>
      <c r="N6" s="967"/>
      <c r="O6" s="967"/>
      <c r="P6" s="967"/>
      <c r="Q6" s="967"/>
      <c r="R6" s="967"/>
      <c r="S6" s="967"/>
      <c r="T6" s="967"/>
      <c r="U6" s="967"/>
      <c r="V6" s="967"/>
      <c r="W6" s="967"/>
      <c r="X6" s="967"/>
      <c r="Y6" s="967"/>
      <c r="Z6" s="967"/>
      <c r="AA6" s="967"/>
      <c r="AB6" s="967"/>
      <c r="AC6" s="967"/>
      <c r="AD6" s="1033"/>
      <c r="AE6" s="1034"/>
    </row>
    <row r="7" spans="1:31">
      <c r="A7" s="1042"/>
      <c r="B7" s="992"/>
      <c r="C7" s="1043"/>
      <c r="D7" s="992"/>
      <c r="E7" s="1045"/>
      <c r="F7" s="1037" t="s">
        <v>604</v>
      </c>
      <c r="G7" s="1061"/>
      <c r="H7" s="965" t="s">
        <v>605</v>
      </c>
      <c r="I7" s="1038"/>
      <c r="J7" s="1039"/>
      <c r="K7" s="1040"/>
      <c r="L7" s="1039"/>
      <c r="M7" s="1040"/>
      <c r="N7" s="1039"/>
      <c r="O7" s="1040"/>
      <c r="P7" s="1039"/>
      <c r="Q7" s="1040"/>
      <c r="R7" s="965" t="s">
        <v>605</v>
      </c>
      <c r="S7" s="1038"/>
      <c r="T7" s="1039"/>
      <c r="U7" s="1040"/>
      <c r="V7" s="1039"/>
      <c r="W7" s="1040"/>
      <c r="X7" s="1039"/>
      <c r="Y7" s="1040"/>
      <c r="Z7" s="1041"/>
      <c r="AA7" s="1040"/>
      <c r="AB7" s="1039"/>
      <c r="AC7" s="1040"/>
      <c r="AD7" s="1039"/>
      <c r="AE7" s="1040"/>
    </row>
    <row r="8" spans="1:31" ht="18" customHeight="1">
      <c r="A8" s="1042" t="s">
        <v>597</v>
      </c>
      <c r="B8" s="992" t="s">
        <v>602</v>
      </c>
      <c r="C8" s="992"/>
      <c r="D8" s="992" t="s">
        <v>603</v>
      </c>
      <c r="E8" s="1043"/>
      <c r="F8" s="992" t="s">
        <v>606</v>
      </c>
      <c r="G8" s="1043"/>
      <c r="H8" s="992" t="s">
        <v>587</v>
      </c>
      <c r="I8" s="1043"/>
      <c r="J8" s="992" t="s">
        <v>587</v>
      </c>
      <c r="K8" s="1043"/>
      <c r="L8" s="1044" t="s">
        <v>384</v>
      </c>
      <c r="M8" s="1045"/>
      <c r="N8" s="992" t="s">
        <v>608</v>
      </c>
      <c r="O8" s="1043"/>
      <c r="P8" s="992" t="s">
        <v>387</v>
      </c>
      <c r="Q8" s="1043"/>
      <c r="R8" s="992" t="s">
        <v>609</v>
      </c>
      <c r="S8" s="1043"/>
      <c r="T8" s="992" t="s">
        <v>609</v>
      </c>
      <c r="U8" s="1043"/>
      <c r="V8" s="992" t="s">
        <v>351</v>
      </c>
      <c r="W8" s="1043"/>
      <c r="X8" s="992" t="s">
        <v>369</v>
      </c>
      <c r="Y8" s="1043"/>
      <c r="Z8" s="992" t="s">
        <v>374</v>
      </c>
      <c r="AA8" s="1043"/>
      <c r="AB8" s="992" t="s">
        <v>610</v>
      </c>
      <c r="AC8" s="1043"/>
      <c r="AD8" s="992" t="s">
        <v>376</v>
      </c>
      <c r="AE8" s="1043"/>
    </row>
    <row r="9" spans="1:31" ht="18.75" customHeight="1">
      <c r="A9" s="1046"/>
      <c r="B9" s="1047" t="s">
        <v>614</v>
      </c>
      <c r="C9" s="1048" t="s">
        <v>615</v>
      </c>
      <c r="D9" s="1047" t="s">
        <v>614</v>
      </c>
      <c r="E9" s="1048" t="s">
        <v>615</v>
      </c>
      <c r="F9" s="1047" t="s">
        <v>614</v>
      </c>
      <c r="G9" s="1048" t="s">
        <v>615</v>
      </c>
      <c r="H9" s="1047" t="s">
        <v>614</v>
      </c>
      <c r="I9" s="1049" t="s">
        <v>615</v>
      </c>
      <c r="J9" s="1047" t="s">
        <v>614</v>
      </c>
      <c r="K9" s="1049" t="s">
        <v>615</v>
      </c>
      <c r="L9" s="1047" t="s">
        <v>614</v>
      </c>
      <c r="M9" s="1048" t="s">
        <v>615</v>
      </c>
      <c r="N9" s="1047" t="s">
        <v>614</v>
      </c>
      <c r="O9" s="1048" t="s">
        <v>615</v>
      </c>
      <c r="P9" s="1047" t="s">
        <v>614</v>
      </c>
      <c r="Q9" s="1048" t="s">
        <v>615</v>
      </c>
      <c r="R9" s="1047" t="s">
        <v>614</v>
      </c>
      <c r="S9" s="1049" t="s">
        <v>615</v>
      </c>
      <c r="T9" s="1047" t="s">
        <v>614</v>
      </c>
      <c r="U9" s="1048" t="s">
        <v>615</v>
      </c>
      <c r="V9" s="1047" t="s">
        <v>614</v>
      </c>
      <c r="W9" s="1048" t="s">
        <v>615</v>
      </c>
      <c r="X9" s="1047" t="s">
        <v>614</v>
      </c>
      <c r="Y9" s="1048" t="s">
        <v>615</v>
      </c>
      <c r="Z9" s="1047" t="s">
        <v>614</v>
      </c>
      <c r="AA9" s="1048" t="s">
        <v>615</v>
      </c>
      <c r="AB9" s="1047" t="s">
        <v>614</v>
      </c>
      <c r="AC9" s="1048" t="s">
        <v>615</v>
      </c>
      <c r="AD9" s="1047" t="s">
        <v>614</v>
      </c>
      <c r="AE9" s="1048" t="s">
        <v>615</v>
      </c>
    </row>
    <row r="10" spans="1:31">
      <c r="A10" s="66"/>
      <c r="B10" s="206"/>
      <c r="C10" s="207"/>
      <c r="D10" s="206"/>
      <c r="E10" s="207"/>
      <c r="F10" s="206"/>
      <c r="G10" s="207"/>
      <c r="H10" s="208"/>
      <c r="I10" s="208"/>
      <c r="J10" s="206"/>
      <c r="K10" s="207"/>
      <c r="L10" s="206"/>
      <c r="M10" s="207"/>
      <c r="N10" s="206"/>
      <c r="O10" s="207"/>
      <c r="P10" s="206"/>
      <c r="Q10" s="207"/>
      <c r="R10" s="208"/>
      <c r="S10" s="208"/>
      <c r="T10" s="206"/>
      <c r="U10" s="207"/>
      <c r="V10" s="206"/>
      <c r="W10" s="207"/>
      <c r="X10" s="206"/>
      <c r="Y10" s="207"/>
      <c r="Z10" s="206"/>
      <c r="AA10" s="207"/>
      <c r="AB10" s="206"/>
      <c r="AC10" s="207"/>
      <c r="AD10" s="208"/>
      <c r="AE10" s="207"/>
    </row>
    <row r="11" spans="1:31" s="6" customFormat="1" ht="26.25" customHeight="1">
      <c r="A11" s="186">
        <f>+'22'!A11</f>
        <v>2014</v>
      </c>
      <c r="B11" s="152">
        <v>505</v>
      </c>
      <c r="C11" s="197">
        <f>+B11/'18'!B11*1000</f>
        <v>2.0708773138465828</v>
      </c>
      <c r="D11" s="188">
        <v>40</v>
      </c>
      <c r="E11" s="197">
        <f>+D11/'18'!D11*1000</f>
        <v>1.6497566608925183</v>
      </c>
      <c r="F11" s="152">
        <f t="shared" ref="F11:F17" si="0">+J11+L11+N11+P11+T11+V11+X11+Z11+AB11+AD11</f>
        <v>8</v>
      </c>
      <c r="G11" s="196">
        <f>+F11/'18'!F11*1000</f>
        <v>2.1316280309086064</v>
      </c>
      <c r="H11" s="202">
        <f t="shared" ref="H11:H17" si="1">+J11+L11+N11+P11</f>
        <v>3</v>
      </c>
      <c r="I11" s="191">
        <f>+H11/'18'!H11*1000</f>
        <v>1.9218449711723256</v>
      </c>
      <c r="J11" s="152">
        <v>3</v>
      </c>
      <c r="K11" s="197">
        <f>+J11/'18'!J11*1000</f>
        <v>2.9296875</v>
      </c>
      <c r="L11" s="152">
        <v>0</v>
      </c>
      <c r="M11" s="187">
        <f>+L11/'18'!L11*1000</f>
        <v>0</v>
      </c>
      <c r="N11" s="152">
        <v>0</v>
      </c>
      <c r="O11" s="196">
        <f>+N11/'18'!N11*1000</f>
        <v>0</v>
      </c>
      <c r="P11" s="152">
        <v>0</v>
      </c>
      <c r="Q11" s="196">
        <f>+P11/'18'!P11*1000</f>
        <v>0</v>
      </c>
      <c r="R11" s="152">
        <f t="shared" ref="R11:R18" si="2">+T11+V11+X11+Z11+AB11+AD11</f>
        <v>5</v>
      </c>
      <c r="S11" s="197">
        <f>+R11/'18'!R11*1000</f>
        <v>2.2810218978102186</v>
      </c>
      <c r="T11" s="152">
        <v>3</v>
      </c>
      <c r="U11" s="196">
        <f>+T11/'18'!T11*1000</f>
        <v>2.7247956403269753</v>
      </c>
      <c r="V11" s="152">
        <v>0</v>
      </c>
      <c r="W11" s="196">
        <f>+V11/'18'!V11*1000</f>
        <v>0</v>
      </c>
      <c r="X11" s="152">
        <v>0</v>
      </c>
      <c r="Y11" s="196">
        <f>+X11/'18'!X11*1000</f>
        <v>0</v>
      </c>
      <c r="Z11" s="152">
        <v>1</v>
      </c>
      <c r="AA11" s="196">
        <f>+Z11/'18'!Z11*1000</f>
        <v>8.695652173913043</v>
      </c>
      <c r="AB11" s="152">
        <v>0</v>
      </c>
      <c r="AC11" s="187">
        <f>+AB11/'18'!AB11*1000</f>
        <v>0</v>
      </c>
      <c r="AD11" s="152">
        <v>1</v>
      </c>
      <c r="AE11" s="187">
        <f>+AD11/'18'!AD11*1000</f>
        <v>5.0761421319796947</v>
      </c>
    </row>
    <row r="12" spans="1:31" s="6" customFormat="1" ht="26.25" customHeight="1">
      <c r="A12" s="186">
        <f>+'22'!A12</f>
        <v>2015</v>
      </c>
      <c r="B12" s="152">
        <v>433</v>
      </c>
      <c r="C12" s="197">
        <f>+B12/'18'!B12*1000</f>
        <v>1.7697306576204686</v>
      </c>
      <c r="D12" s="188">
        <v>43</v>
      </c>
      <c r="E12" s="197">
        <f>+D12/'18'!D12*1000</f>
        <v>1.8221883210441563</v>
      </c>
      <c r="F12" s="152">
        <f t="shared" si="0"/>
        <v>7</v>
      </c>
      <c r="G12" s="196">
        <f>+F12/'18'!F12*1000</f>
        <v>1.8139414356050791</v>
      </c>
      <c r="H12" s="202">
        <f t="shared" si="1"/>
        <v>4</v>
      </c>
      <c r="I12" s="191">
        <f>+H12/'18'!H12*1000</f>
        <v>2.5348542458808616</v>
      </c>
      <c r="J12" s="152">
        <v>2</v>
      </c>
      <c r="K12" s="197">
        <f>+J12/'18'!J12*1000</f>
        <v>2.0639834881320946</v>
      </c>
      <c r="L12" s="152">
        <v>1</v>
      </c>
      <c r="M12" s="187">
        <f>+L12/'18'!L12*1000</f>
        <v>4.1493775933609962</v>
      </c>
      <c r="N12" s="152">
        <v>1</v>
      </c>
      <c r="O12" s="196">
        <f>+N12/'18'!N12*1000</f>
        <v>4.5248868778280551</v>
      </c>
      <c r="P12" s="152">
        <v>0</v>
      </c>
      <c r="Q12" s="196">
        <f>+P12/'18'!P12*1000</f>
        <v>0</v>
      </c>
      <c r="R12" s="152">
        <f t="shared" si="2"/>
        <v>3</v>
      </c>
      <c r="S12" s="197">
        <f>+R12/'18'!R12*1000</f>
        <v>1.31521262604121</v>
      </c>
      <c r="T12" s="152">
        <v>1</v>
      </c>
      <c r="U12" s="196">
        <f>+T12/'18'!T12*1000</f>
        <v>0.84104289318755254</v>
      </c>
      <c r="V12" s="152">
        <v>1</v>
      </c>
      <c r="W12" s="196">
        <f>+V12/'18'!V12*1000</f>
        <v>4.4843049327354256</v>
      </c>
      <c r="X12" s="152">
        <v>1</v>
      </c>
      <c r="Y12" s="196">
        <f>+X12/'18'!X12*1000</f>
        <v>4.5045045045045047</v>
      </c>
      <c r="Z12" s="152">
        <v>0</v>
      </c>
      <c r="AA12" s="196">
        <f>+Z12/'18'!Z12*1000</f>
        <v>0</v>
      </c>
      <c r="AB12" s="152">
        <v>0</v>
      </c>
      <c r="AC12" s="187">
        <f>+AB12/'18'!AB12*1000</f>
        <v>0</v>
      </c>
      <c r="AD12" s="152">
        <v>0</v>
      </c>
      <c r="AE12" s="187">
        <f>+AD12/'18'!AD12*1000</f>
        <v>0</v>
      </c>
    </row>
    <row r="13" spans="1:31" s="6" customFormat="1" ht="26.25" customHeight="1">
      <c r="A13" s="186">
        <f>+'22'!A13</f>
        <v>2016</v>
      </c>
      <c r="B13" s="152">
        <v>387</v>
      </c>
      <c r="C13" s="197">
        <f>+B13/'18'!B13*1000</f>
        <v>1.6764132553606237</v>
      </c>
      <c r="D13" s="188">
        <v>47</v>
      </c>
      <c r="E13" s="197">
        <f>+D13/'18'!D13*1000</f>
        <v>2.626138458959602</v>
      </c>
      <c r="F13" s="152">
        <f t="shared" si="0"/>
        <v>6</v>
      </c>
      <c r="G13" s="196">
        <f>+F13/'18'!F13*1000</f>
        <v>1.8231540565177757</v>
      </c>
      <c r="H13" s="202">
        <f t="shared" si="1"/>
        <v>2</v>
      </c>
      <c r="I13" s="191">
        <f>+H13/'18'!H13*1000</f>
        <v>1.4738393515106853</v>
      </c>
      <c r="J13" s="152">
        <v>0</v>
      </c>
      <c r="K13" s="197">
        <f>+J13/'18'!J13*1000</f>
        <v>0</v>
      </c>
      <c r="L13" s="152">
        <v>0</v>
      </c>
      <c r="M13" s="187">
        <f>+L13/'18'!L13*1000</f>
        <v>0</v>
      </c>
      <c r="N13" s="152">
        <v>2</v>
      </c>
      <c r="O13" s="196">
        <f>+N13/'18'!N13*1000</f>
        <v>10.526315789473683</v>
      </c>
      <c r="P13" s="152">
        <v>0</v>
      </c>
      <c r="Q13" s="196">
        <f>+P13/'18'!P13*1000</f>
        <v>0</v>
      </c>
      <c r="R13" s="152">
        <f t="shared" si="2"/>
        <v>4</v>
      </c>
      <c r="S13" s="197">
        <f>+R13/'18'!R13*1000</f>
        <v>2.0682523267838677</v>
      </c>
      <c r="T13" s="152">
        <v>4</v>
      </c>
      <c r="U13" s="196">
        <f>+T13/'18'!T13*1000</f>
        <v>3.8461538461538463</v>
      </c>
      <c r="V13" s="152">
        <v>0</v>
      </c>
      <c r="W13" s="196">
        <f>+V13/'18'!V13*1000</f>
        <v>0</v>
      </c>
      <c r="X13" s="152">
        <v>0</v>
      </c>
      <c r="Y13" s="196">
        <f>+X13/'18'!X13*1000</f>
        <v>0</v>
      </c>
      <c r="Z13" s="152">
        <v>0</v>
      </c>
      <c r="AA13" s="196">
        <f>+Z13/'18'!Z13*1000</f>
        <v>0</v>
      </c>
      <c r="AB13" s="152">
        <v>0</v>
      </c>
      <c r="AC13" s="187">
        <f>+AB13/'18'!AB13*1000</f>
        <v>0</v>
      </c>
      <c r="AD13" s="152">
        <v>0</v>
      </c>
      <c r="AE13" s="187">
        <f>+AD13/'18'!AD13*1000</f>
        <v>0</v>
      </c>
    </row>
    <row r="14" spans="1:31" s="6" customFormat="1" ht="26.25" customHeight="1">
      <c r="A14" s="186">
        <f>+'22'!A14</f>
        <v>2017</v>
      </c>
      <c r="B14" s="152">
        <v>345</v>
      </c>
      <c r="C14" s="197">
        <f>+B14/'18'!B14*1000</f>
        <v>1.5729507187700893</v>
      </c>
      <c r="D14" s="188">
        <v>38</v>
      </c>
      <c r="E14" s="197">
        <f>+D14/'18'!D14*1000</f>
        <v>1.868883096444204</v>
      </c>
      <c r="F14" s="152">
        <f t="shared" si="0"/>
        <v>7</v>
      </c>
      <c r="G14" s="196">
        <f>+F14/'18'!F14*1000</f>
        <v>2.3497818059751596</v>
      </c>
      <c r="H14" s="202">
        <f t="shared" si="1"/>
        <v>5</v>
      </c>
      <c r="I14" s="191">
        <f>+H14/'18'!H14*1000</f>
        <v>4.1736227045075127</v>
      </c>
      <c r="J14" s="152">
        <v>3</v>
      </c>
      <c r="K14" s="197">
        <f>+J14/'18'!J14*1000</f>
        <v>4.1841004184100417</v>
      </c>
      <c r="L14" s="152">
        <v>0</v>
      </c>
      <c r="M14" s="187">
        <f>+L14/'18'!L14*1000</f>
        <v>0</v>
      </c>
      <c r="N14" s="152">
        <v>0</v>
      </c>
      <c r="O14" s="196">
        <f>+N14/'18'!N14*1000</f>
        <v>0</v>
      </c>
      <c r="P14" s="152">
        <v>2</v>
      </c>
      <c r="Q14" s="196">
        <f>+P14/'18'!P14*1000</f>
        <v>14.925373134328359</v>
      </c>
      <c r="R14" s="152">
        <f t="shared" si="2"/>
        <v>2</v>
      </c>
      <c r="S14" s="197">
        <f>+R14/'18'!R14*1000</f>
        <v>1.1229646266142617</v>
      </c>
      <c r="T14" s="152">
        <v>2</v>
      </c>
      <c r="U14" s="196">
        <f>+T14/'18'!T14*1000</f>
        <v>2.1052631578947367</v>
      </c>
      <c r="V14" s="152">
        <v>0</v>
      </c>
      <c r="W14" s="196">
        <f>+V14/'18'!V14*1000</f>
        <v>0</v>
      </c>
      <c r="X14" s="152">
        <v>0</v>
      </c>
      <c r="Y14" s="196">
        <f>+X14/'18'!X14*1000</f>
        <v>0</v>
      </c>
      <c r="Z14" s="152">
        <v>0</v>
      </c>
      <c r="AA14" s="196">
        <f>+Z14/'18'!Z14*1000</f>
        <v>0</v>
      </c>
      <c r="AB14" s="152">
        <v>0</v>
      </c>
      <c r="AC14" s="187">
        <f>+AB14/'18'!AB14*1000</f>
        <v>0</v>
      </c>
      <c r="AD14" s="152">
        <v>0</v>
      </c>
      <c r="AE14" s="187">
        <f>+AD14/'18'!AD14*1000</f>
        <v>0</v>
      </c>
    </row>
    <row r="15" spans="1:31" s="6" customFormat="1" ht="26.25" customHeight="1">
      <c r="A15" s="186">
        <f>+'22'!A15</f>
        <v>2018</v>
      </c>
      <c r="B15" s="152">
        <v>353</v>
      </c>
      <c r="C15" s="197">
        <f>+B15/'18'!B15*1000</f>
        <v>1.5920191583495318</v>
      </c>
      <c r="D15" s="188">
        <v>38</v>
      </c>
      <c r="E15" s="197">
        <f>+D15/'18'!D15*1000</f>
        <v>1.7812778324661322</v>
      </c>
      <c r="F15" s="152">
        <f t="shared" si="0"/>
        <v>5</v>
      </c>
      <c r="G15" s="196">
        <f>+F15/'18'!F15*1000</f>
        <v>1.6066838046272494</v>
      </c>
      <c r="H15" s="202">
        <f t="shared" si="1"/>
        <v>0</v>
      </c>
      <c r="I15" s="191">
        <f>+H15/'18'!H15*1000</f>
        <v>0</v>
      </c>
      <c r="J15" s="152">
        <v>0</v>
      </c>
      <c r="K15" s="197">
        <f>+J15/'18'!J15*1000</f>
        <v>0</v>
      </c>
      <c r="L15" s="152">
        <v>0</v>
      </c>
      <c r="M15" s="187">
        <f>+L15/'18'!L15*1000</f>
        <v>0</v>
      </c>
      <c r="N15" s="152">
        <v>0</v>
      </c>
      <c r="O15" s="196">
        <f>+N15/'18'!N15*1000</f>
        <v>0</v>
      </c>
      <c r="P15" s="152">
        <v>0</v>
      </c>
      <c r="Q15" s="196">
        <f>+P15/'18'!P15*1000</f>
        <v>0</v>
      </c>
      <c r="R15" s="152">
        <f t="shared" si="2"/>
        <v>5</v>
      </c>
      <c r="S15" s="197">
        <f>+R15/'18'!R15*1000</f>
        <v>2.5471217524197658</v>
      </c>
      <c r="T15" s="152">
        <v>4</v>
      </c>
      <c r="U15" s="196">
        <f>+T15/'18'!T15*1000</f>
        <v>3.8986354775828458</v>
      </c>
      <c r="V15" s="152">
        <v>0</v>
      </c>
      <c r="W15" s="196">
        <f>+V15/'18'!V15*1000</f>
        <v>0</v>
      </c>
      <c r="X15" s="152">
        <v>0</v>
      </c>
      <c r="Y15" s="196">
        <f>+X15/'18'!X15*1000</f>
        <v>0</v>
      </c>
      <c r="Z15" s="152">
        <v>0</v>
      </c>
      <c r="AA15" s="196">
        <f>+Z15/'18'!Z15*1000</f>
        <v>0</v>
      </c>
      <c r="AB15" s="152">
        <v>1</v>
      </c>
      <c r="AC15" s="187">
        <f>+AB15/'18'!AB15*1000</f>
        <v>3.3444816053511706</v>
      </c>
      <c r="AD15" s="152">
        <v>0</v>
      </c>
      <c r="AE15" s="187">
        <f>+AD15/'18'!AD15*1000</f>
        <v>0</v>
      </c>
    </row>
    <row r="16" spans="1:31" s="6" customFormat="1" ht="26.25" customHeight="1">
      <c r="A16" s="186">
        <f>+'22'!A16</f>
        <v>2019</v>
      </c>
      <c r="B16" s="152">
        <v>348</v>
      </c>
      <c r="C16" s="197">
        <f>+B16/'18'!B16*1000</f>
        <v>1.6673614005835766</v>
      </c>
      <c r="D16" s="188">
        <v>31</v>
      </c>
      <c r="E16" s="197">
        <f>+D16/'18'!D16*1000</f>
        <v>1.5951425337038181</v>
      </c>
      <c r="F16" s="152">
        <f t="shared" si="0"/>
        <v>3</v>
      </c>
      <c r="G16" s="196">
        <f>+F16/'18'!F16*1000</f>
        <v>0.96680631646793425</v>
      </c>
      <c r="H16" s="202">
        <f t="shared" si="1"/>
        <v>2</v>
      </c>
      <c r="I16" s="191">
        <f>+H16/'18'!H16*1000</f>
        <v>1.669449081803005</v>
      </c>
      <c r="J16" s="152">
        <v>2</v>
      </c>
      <c r="K16" s="197">
        <f>+J16/'18'!J16*1000</f>
        <v>2.7472527472527473</v>
      </c>
      <c r="L16" s="152">
        <v>0</v>
      </c>
      <c r="M16" s="187">
        <f>+L16/'18'!L16*1000</f>
        <v>0</v>
      </c>
      <c r="N16" s="152">
        <v>0</v>
      </c>
      <c r="O16" s="196">
        <f>+N16/'18'!N16*1000</f>
        <v>0</v>
      </c>
      <c r="P16" s="152">
        <v>0</v>
      </c>
      <c r="Q16" s="196">
        <f>+P16/'18'!P16*1000</f>
        <v>0</v>
      </c>
      <c r="R16" s="152">
        <f t="shared" si="2"/>
        <v>1</v>
      </c>
      <c r="S16" s="197">
        <f>+R16/'18'!R16*1000</f>
        <v>0.52493438320209973</v>
      </c>
      <c r="T16" s="152">
        <v>1</v>
      </c>
      <c r="U16" s="196">
        <f>+T16/'18'!T16*1000</f>
        <v>0.96061479346781942</v>
      </c>
      <c r="V16" s="152">
        <v>0</v>
      </c>
      <c r="W16" s="196">
        <f>+V16/'18'!V16*1000</f>
        <v>0</v>
      </c>
      <c r="X16" s="152">
        <v>0</v>
      </c>
      <c r="Y16" s="196">
        <f>+X16/'18'!X16*1000</f>
        <v>0</v>
      </c>
      <c r="Z16" s="152">
        <v>0</v>
      </c>
      <c r="AA16" s="196">
        <f>+Z16/'18'!Z16*1000</f>
        <v>0</v>
      </c>
      <c r="AB16" s="152">
        <v>0</v>
      </c>
      <c r="AC16" s="187">
        <f>+AB16/'18'!AB16*1000</f>
        <v>0</v>
      </c>
      <c r="AD16" s="152">
        <v>0</v>
      </c>
      <c r="AE16" s="187">
        <f>+AD16/'18'!AD16*1000</f>
        <v>0</v>
      </c>
    </row>
    <row r="17" spans="1:31" s="6" customFormat="1" ht="26.25" customHeight="1">
      <c r="A17" s="186">
        <f>+'22'!A17</f>
        <v>2020</v>
      </c>
      <c r="B17" s="152">
        <v>248</v>
      </c>
      <c r="C17" s="197">
        <f>+B17/'18'!B17*1000</f>
        <v>1.265041496421667</v>
      </c>
      <c r="D17" s="188">
        <v>24</v>
      </c>
      <c r="E17" s="197">
        <f>+D17/'18'!D17*1000</f>
        <v>1.3021539797081005</v>
      </c>
      <c r="F17" s="152">
        <f t="shared" si="0"/>
        <v>3</v>
      </c>
      <c r="G17" s="196">
        <f>+F17/'18'!F17*1000</f>
        <v>1.1494252873563218</v>
      </c>
      <c r="H17" s="202">
        <f t="shared" si="1"/>
        <v>1</v>
      </c>
      <c r="I17" s="191">
        <f>+H17/'18'!H17*1000</f>
        <v>1.0245901639344264</v>
      </c>
      <c r="J17" s="152">
        <v>1</v>
      </c>
      <c r="K17" s="197">
        <f>+J17/'18'!J17*1000</f>
        <v>1.6949152542372881</v>
      </c>
      <c r="L17" s="152">
        <v>0</v>
      </c>
      <c r="M17" s="187">
        <f>+L17/'18'!L17*1000</f>
        <v>0</v>
      </c>
      <c r="N17" s="152">
        <v>0</v>
      </c>
      <c r="O17" s="196">
        <f>+N17/'18'!N17*1000</f>
        <v>0</v>
      </c>
      <c r="P17" s="152">
        <v>0</v>
      </c>
      <c r="Q17" s="196">
        <f>+P17/'18'!P17*1000</f>
        <v>0</v>
      </c>
      <c r="R17" s="152">
        <f t="shared" si="2"/>
        <v>2</v>
      </c>
      <c r="S17" s="197">
        <f>+R17/'18'!R17*1000</f>
        <v>1.2239902080783354</v>
      </c>
      <c r="T17" s="152">
        <v>2</v>
      </c>
      <c r="U17" s="196">
        <f>+T17/'18'!T17*1000</f>
        <v>2.2988505747126435</v>
      </c>
      <c r="V17" s="152">
        <v>0</v>
      </c>
      <c r="W17" s="196">
        <f>+V17/'18'!V17*1000</f>
        <v>0</v>
      </c>
      <c r="X17" s="152">
        <v>0</v>
      </c>
      <c r="Y17" s="196">
        <f>+X17/'18'!X17*1000</f>
        <v>0</v>
      </c>
      <c r="Z17" s="152">
        <v>0</v>
      </c>
      <c r="AA17" s="196">
        <f>+Z17/'18'!Z17*1000</f>
        <v>0</v>
      </c>
      <c r="AB17" s="152">
        <v>0</v>
      </c>
      <c r="AC17" s="187">
        <f>+AB17/'18'!AB17*1000</f>
        <v>0</v>
      </c>
      <c r="AD17" s="152">
        <v>0</v>
      </c>
      <c r="AE17" s="187">
        <f>+AD17/'18'!AD17*1000</f>
        <v>0</v>
      </c>
    </row>
    <row r="18" spans="1:31" s="6" customFormat="1" ht="26.25" customHeight="1">
      <c r="A18" s="186">
        <f>+'22'!A18</f>
        <v>2021</v>
      </c>
      <c r="B18" s="152">
        <v>226</v>
      </c>
      <c r="C18" s="197">
        <f>+B18/'18'!B18*1000</f>
        <v>1.2748698335335895</v>
      </c>
      <c r="D18" s="188">
        <v>9</v>
      </c>
      <c r="E18" s="197">
        <f>+D18/'18'!D18*1000</f>
        <v>0.6559766763848397</v>
      </c>
      <c r="F18" s="152">
        <f>+J18+L18+N18+P18+T18+V18+X18+Z18+AB18+AD18</f>
        <v>2</v>
      </c>
      <c r="G18" s="196">
        <f>+F18/'18'!F18*1000</f>
        <v>0.90867787369377551</v>
      </c>
      <c r="H18" s="202">
        <f>+J18+L18+N18+P18</f>
        <v>1</v>
      </c>
      <c r="I18" s="191">
        <f>+H18/'18'!H18*1000</f>
        <v>1.1520737327188939</v>
      </c>
      <c r="J18" s="152">
        <v>0</v>
      </c>
      <c r="K18" s="197">
        <f>+J18/'18'!J18*1000</f>
        <v>0</v>
      </c>
      <c r="L18" s="152">
        <v>0</v>
      </c>
      <c r="M18" s="187">
        <f>+L18/'18'!L18*1000</f>
        <v>0</v>
      </c>
      <c r="N18" s="152">
        <v>1</v>
      </c>
      <c r="O18" s="196">
        <f>+N18/'18'!N18*1000</f>
        <v>8.1300813008130088</v>
      </c>
      <c r="P18" s="152">
        <v>0</v>
      </c>
      <c r="Q18" s="196">
        <f>+P18/'18'!P18*1000</f>
        <v>0</v>
      </c>
      <c r="R18" s="152">
        <f t="shared" si="2"/>
        <v>1</v>
      </c>
      <c r="S18" s="197">
        <f>+R18/'18'!R18*1000</f>
        <v>0.75018754688672173</v>
      </c>
      <c r="T18" s="152">
        <v>0</v>
      </c>
      <c r="U18" s="196">
        <f>+T18/'18'!T18*1000</f>
        <v>0</v>
      </c>
      <c r="V18" s="152">
        <v>0</v>
      </c>
      <c r="W18" s="196">
        <f>+V18/'18'!V18*1000</f>
        <v>0</v>
      </c>
      <c r="X18" s="152">
        <v>1</v>
      </c>
      <c r="Y18" s="196">
        <f>+X18/'18'!X18*1000</f>
        <v>10.309278350515465</v>
      </c>
      <c r="Z18" s="152">
        <v>0</v>
      </c>
      <c r="AA18" s="196">
        <f>+Z18/'18'!Z18*1000</f>
        <v>0</v>
      </c>
      <c r="AB18" s="152">
        <v>0</v>
      </c>
      <c r="AC18" s="187">
        <f>+AB18/'18'!AB18*1000</f>
        <v>0</v>
      </c>
      <c r="AD18" s="152">
        <v>0</v>
      </c>
      <c r="AE18" s="187">
        <f>+AD18/'18'!AD18*1000</f>
        <v>0</v>
      </c>
    </row>
    <row r="19" spans="1:31" s="6" customFormat="1" ht="26.25" customHeight="1">
      <c r="A19" s="186">
        <f>+'22'!A19</f>
        <v>2022</v>
      </c>
      <c r="B19" s="152">
        <v>274</v>
      </c>
      <c r="C19" s="197">
        <f>+B19/'18'!B19*1000</f>
        <v>1.3797757109118101</v>
      </c>
      <c r="D19" s="188">
        <v>23</v>
      </c>
      <c r="E19" s="197">
        <f>+D19/'18'!D19*1000</f>
        <v>1.4965189667512524</v>
      </c>
      <c r="F19" s="152">
        <f>+J19+L19+N19+P19+T19+V19+X19+Z19+AB19+AD19</f>
        <v>5</v>
      </c>
      <c r="G19" s="196">
        <f>+F19/'18'!F19*1000</f>
        <v>2.0815986677768525</v>
      </c>
      <c r="H19" s="202">
        <f>+J19+L19+N19+P19</f>
        <v>3</v>
      </c>
      <c r="I19" s="191">
        <f>+H19/'18'!H19*1000</f>
        <v>3.1578947368421053</v>
      </c>
      <c r="J19" s="152">
        <v>1</v>
      </c>
      <c r="K19" s="197">
        <f>+J19/'18'!J19*1000</f>
        <v>1.7636684303350969</v>
      </c>
      <c r="L19" s="152">
        <v>2</v>
      </c>
      <c r="M19" s="187">
        <f>+L19/'18'!L19*1000</f>
        <v>13.333333333333334</v>
      </c>
      <c r="N19" s="152">
        <v>0</v>
      </c>
      <c r="O19" s="196">
        <f>+N19/'18'!N19*1000</f>
        <v>0</v>
      </c>
      <c r="P19" s="152">
        <v>0</v>
      </c>
      <c r="Q19" s="196">
        <f>+P19/'18'!P19*1000</f>
        <v>0</v>
      </c>
      <c r="R19" s="152">
        <f>+T19+V19+X19+Z19+AB19+AD19</f>
        <v>2</v>
      </c>
      <c r="S19" s="197">
        <f>+R19/'18'!R19*1000</f>
        <v>1.3774104683195594</v>
      </c>
      <c r="T19" s="152">
        <v>0</v>
      </c>
      <c r="U19" s="196">
        <f>+T19/'18'!T19*1000</f>
        <v>0</v>
      </c>
      <c r="V19" s="152">
        <v>1</v>
      </c>
      <c r="W19" s="196">
        <f>+V19/'18'!V19*1000</f>
        <v>7.4626865671641793</v>
      </c>
      <c r="X19" s="152">
        <v>0</v>
      </c>
      <c r="Y19" s="196">
        <f>+X19/'18'!X19*1000</f>
        <v>0</v>
      </c>
      <c r="Z19" s="152">
        <v>0</v>
      </c>
      <c r="AA19" s="196">
        <f>+Z19/'18'!Z19*1000</f>
        <v>0</v>
      </c>
      <c r="AB19" s="152">
        <v>1</v>
      </c>
      <c r="AC19" s="187">
        <f>+AB19/'18'!AB19*1000</f>
        <v>3.8314176245210727</v>
      </c>
      <c r="AD19" s="152">
        <v>0</v>
      </c>
      <c r="AE19" s="187">
        <f>+AD19/'18'!AD19*1000</f>
        <v>0</v>
      </c>
    </row>
    <row r="20" spans="1:31" s="6" customFormat="1" ht="26.25" customHeight="1">
      <c r="A20" s="186">
        <f>+'22'!A20</f>
        <v>2023</v>
      </c>
      <c r="B20" s="152">
        <v>298</v>
      </c>
      <c r="C20" s="197">
        <f>+B20/'18'!B20*1000</f>
        <v>1.7049127805525519</v>
      </c>
      <c r="D20" s="188">
        <v>36</v>
      </c>
      <c r="E20" s="197">
        <f>+D20/'18'!D20*1000</f>
        <v>2.1306818181818179</v>
      </c>
      <c r="F20" s="152">
        <f>+J20+L20+N20+P20+T20+V20+X20+Z20+AB20+AD20</f>
        <v>2</v>
      </c>
      <c r="G20" s="196">
        <f>+F20/'18'!F20*1000</f>
        <v>0.8822232024702249</v>
      </c>
      <c r="H20" s="202">
        <f>+J20+L20+N20+P20</f>
        <v>0</v>
      </c>
      <c r="I20" s="191">
        <f>+H20/'18'!H20*1000</f>
        <v>0</v>
      </c>
      <c r="J20" s="152">
        <v>0</v>
      </c>
      <c r="K20" s="197">
        <f>+J20/'18'!J20*1000</f>
        <v>0</v>
      </c>
      <c r="L20" s="152">
        <v>0</v>
      </c>
      <c r="M20" s="187">
        <f>+L20/'18'!L20*1000</f>
        <v>0</v>
      </c>
      <c r="N20" s="152">
        <v>0</v>
      </c>
      <c r="O20" s="196">
        <f>+N20/'18'!N20*1000</f>
        <v>0</v>
      </c>
      <c r="P20" s="152">
        <v>0</v>
      </c>
      <c r="Q20" s="196">
        <f>+P20/'18'!P20*1000</f>
        <v>0</v>
      </c>
      <c r="R20" s="152">
        <f>+T20+V20+X20+Z20+AB20+AD20</f>
        <v>2</v>
      </c>
      <c r="S20" s="197">
        <f>+R20/'18'!R20*1000</f>
        <v>1.4154281670205238</v>
      </c>
      <c r="T20" s="152">
        <v>2</v>
      </c>
      <c r="U20" s="196">
        <f>+T20/'18'!T20*1000</f>
        <v>2.6246719160104988</v>
      </c>
      <c r="V20" s="152">
        <v>0</v>
      </c>
      <c r="W20" s="196">
        <f>+V20/'18'!V20*1000</f>
        <v>0</v>
      </c>
      <c r="X20" s="152">
        <v>0</v>
      </c>
      <c r="Y20" s="196">
        <f>+X20/'18'!X20*1000</f>
        <v>0</v>
      </c>
      <c r="Z20" s="152">
        <v>0</v>
      </c>
      <c r="AA20" s="196">
        <f>+Z20/'18'!Z20*1000</f>
        <v>0</v>
      </c>
      <c r="AB20" s="152">
        <v>0</v>
      </c>
      <c r="AC20" s="187">
        <f>+AB20/'18'!AB20*1000</f>
        <v>0</v>
      </c>
      <c r="AD20" s="152"/>
      <c r="AE20" s="187">
        <f>+AD20/'18'!AD20*1000</f>
        <v>0</v>
      </c>
    </row>
    <row r="21" spans="1:31">
      <c r="A21" s="192"/>
      <c r="B21" s="155"/>
      <c r="C21" s="204"/>
      <c r="D21" s="203"/>
      <c r="E21" s="204"/>
      <c r="F21" s="157"/>
      <c r="G21" s="193"/>
      <c r="H21" s="194"/>
      <c r="I21" s="193"/>
      <c r="J21" s="621"/>
      <c r="K21" s="622"/>
      <c r="L21" s="155"/>
      <c r="M21" s="193"/>
      <c r="N21" s="155"/>
      <c r="O21" s="193"/>
      <c r="P21" s="155"/>
      <c r="Q21" s="193"/>
      <c r="R21" s="194"/>
      <c r="S21" s="194"/>
      <c r="T21" s="155"/>
      <c r="U21" s="193"/>
      <c r="V21" s="155"/>
      <c r="W21" s="193"/>
      <c r="X21" s="155"/>
      <c r="Y21" s="193"/>
      <c r="Z21" s="155"/>
      <c r="AA21" s="193"/>
      <c r="AB21" s="155"/>
      <c r="AC21" s="193"/>
      <c r="AD21" s="194"/>
      <c r="AE21" s="193"/>
    </row>
    <row r="22" spans="1:31">
      <c r="A22" s="1"/>
      <c r="B22" s="1"/>
      <c r="C22" s="1"/>
      <c r="D22" s="1"/>
      <c r="E22" s="1"/>
      <c r="F22" s="1"/>
      <c r="G22" s="1"/>
      <c r="H22" s="1"/>
      <c r="I22" s="1"/>
      <c r="J22" s="161"/>
      <c r="K22" s="1"/>
      <c r="L22" s="1"/>
      <c r="M22" s="1"/>
      <c r="N22" s="1"/>
      <c r="O22" s="1"/>
      <c r="P22" s="1"/>
      <c r="Q22" s="1"/>
      <c r="R22" s="1"/>
      <c r="S22" s="1"/>
      <c r="T22" s="1"/>
      <c r="U22" s="1"/>
      <c r="V22" s="1"/>
      <c r="W22" s="1"/>
      <c r="X22" s="1"/>
      <c r="Y22" s="1"/>
      <c r="Z22" s="1"/>
      <c r="AA22" s="1"/>
      <c r="AB22" s="1"/>
      <c r="AC22" s="1"/>
      <c r="AD22" s="1"/>
      <c r="AE22" s="1"/>
    </row>
    <row r="23" spans="1:31">
      <c r="A23" s="165" t="str">
        <f>+'21'!A23</f>
        <v>AÑO   2023  :   DATOS POR RESIDENCIA</v>
      </c>
      <c r="B23" s="165"/>
      <c r="C23" s="161"/>
      <c r="D23" s="161"/>
      <c r="E23" s="161"/>
      <c r="F23" s="161"/>
      <c r="G23" s="161"/>
      <c r="H23" s="161"/>
      <c r="I23" s="161"/>
      <c r="J23" s="161"/>
      <c r="K23" s="161"/>
      <c r="L23" s="161"/>
      <c r="M23" s="1"/>
      <c r="N23" s="1"/>
      <c r="O23" s="1"/>
      <c r="P23" s="1"/>
      <c r="Q23" s="1"/>
      <c r="R23" s="1"/>
      <c r="S23" s="1"/>
      <c r="T23" s="1"/>
      <c r="U23" s="1"/>
      <c r="V23" s="1"/>
      <c r="W23" s="1"/>
      <c r="X23" s="1"/>
      <c r="Y23" s="1"/>
      <c r="Z23" s="1"/>
      <c r="AA23" s="1"/>
      <c r="AB23" s="1"/>
      <c r="AC23" s="1"/>
      <c r="AD23" s="1"/>
    </row>
    <row r="24" spans="1:31">
      <c r="A24" s="165" t="s">
        <v>1536</v>
      </c>
      <c r="B24" s="165"/>
      <c r="C24" s="161"/>
      <c r="D24" s="161"/>
      <c r="E24" s="161"/>
      <c r="F24" s="161"/>
      <c r="G24" s="161"/>
      <c r="H24" s="161"/>
      <c r="I24" s="161"/>
      <c r="J24" s="161"/>
      <c r="K24" s="161"/>
      <c r="L24" s="1"/>
      <c r="M24" s="1"/>
      <c r="N24" s="1"/>
      <c r="O24" s="1"/>
      <c r="P24" s="1"/>
      <c r="Q24" s="1"/>
      <c r="R24" s="1"/>
      <c r="S24" s="1"/>
      <c r="T24" s="1"/>
      <c r="U24" s="1"/>
      <c r="V24" s="1"/>
      <c r="W24" s="1"/>
      <c r="X24" s="1"/>
      <c r="Y24" s="1"/>
      <c r="Z24" s="1"/>
      <c r="AA24" s="1"/>
      <c r="AB24" s="1"/>
      <c r="AC24" s="1"/>
    </row>
    <row r="25" spans="1:31">
      <c r="A25" s="1"/>
      <c r="B25" s="161"/>
      <c r="C25" s="161"/>
      <c r="D25" s="161"/>
      <c r="E25" s="161"/>
      <c r="F25" s="161"/>
      <c r="G25" s="161"/>
      <c r="H25" s="161"/>
      <c r="I25" s="161"/>
      <c r="K25" s="161"/>
      <c r="L25" s="161"/>
      <c r="M25" s="161"/>
      <c r="N25" s="1"/>
      <c r="O25" s="1"/>
      <c r="P25" s="1"/>
      <c r="Q25" s="1"/>
      <c r="R25" s="1"/>
      <c r="S25" s="1"/>
      <c r="T25" s="1"/>
      <c r="U25" s="1"/>
      <c r="V25" s="1"/>
      <c r="W25" s="1"/>
      <c r="X25" s="1"/>
      <c r="Y25" s="1"/>
      <c r="Z25" s="1"/>
      <c r="AA25" s="1"/>
      <c r="AB25" s="1"/>
      <c r="AC25" s="1"/>
      <c r="AD25" s="1"/>
      <c r="AE25" s="1"/>
    </row>
  </sheetData>
  <phoneticPr fontId="18"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26"/>
  <sheetViews>
    <sheetView zoomScaleNormal="100" workbookViewId="0">
      <selection activeCell="F20" sqref="F20"/>
    </sheetView>
  </sheetViews>
  <sheetFormatPr baseColWidth="10" defaultRowHeight="12.75"/>
  <cols>
    <col min="1" max="2" width="5.42578125" customWidth="1"/>
    <col min="3" max="3" width="7.28515625" customWidth="1"/>
    <col min="4" max="4" width="5.7109375" customWidth="1"/>
    <col min="5" max="5" width="6.42578125" customWidth="1"/>
    <col min="6" max="6" width="5.42578125" customWidth="1"/>
    <col min="7" max="7" width="5.28515625" customWidth="1"/>
    <col min="8" max="8" width="5.7109375" customWidth="1"/>
    <col min="9" max="9" width="5.42578125" customWidth="1"/>
    <col min="10" max="10" width="4.7109375" customWidth="1"/>
    <col min="11" max="11" width="5.42578125" customWidth="1"/>
    <col min="12" max="12" width="4.7109375" customWidth="1"/>
    <col min="13" max="13" width="6" customWidth="1"/>
    <col min="14" max="14" width="4.7109375" customWidth="1"/>
    <col min="15" max="15" width="5.5703125" customWidth="1"/>
    <col min="16" max="16" width="4.7109375" customWidth="1"/>
    <col min="17" max="17" width="5.5703125" customWidth="1"/>
    <col min="18" max="18" width="5.7109375" customWidth="1"/>
    <col min="19" max="19" width="5.28515625" customWidth="1"/>
    <col min="20" max="20" width="4.7109375" customWidth="1"/>
    <col min="21" max="21" width="6.28515625" customWidth="1"/>
    <col min="22" max="22" width="4.7109375" customWidth="1"/>
    <col min="23" max="23" width="5" customWidth="1"/>
    <col min="24" max="24" width="4.7109375" customWidth="1"/>
    <col min="25" max="25" width="6.28515625" customWidth="1"/>
    <col min="26" max="26" width="4.7109375" customWidth="1"/>
    <col min="27" max="27" width="5.7109375" customWidth="1"/>
    <col min="28" max="28" width="3.5703125" customWidth="1"/>
    <col min="29" max="29" width="6.28515625" customWidth="1"/>
    <col min="30" max="30" width="4.7109375" customWidth="1"/>
    <col min="31" max="31" width="5.42578125" customWidth="1"/>
  </cols>
  <sheetData>
    <row r="1" spans="1:31">
      <c r="A1" s="115" t="s">
        <v>623</v>
      </c>
      <c r="B1" s="1065"/>
      <c r="C1" s="1065"/>
      <c r="D1" s="1065"/>
      <c r="E1" s="1065"/>
      <c r="F1" s="1065"/>
      <c r="G1" s="1065"/>
      <c r="H1" s="1065"/>
      <c r="I1" s="1065"/>
      <c r="J1" s="1065"/>
      <c r="K1" s="1065"/>
      <c r="L1" s="1065"/>
      <c r="M1" s="1065"/>
      <c r="N1" s="1065"/>
      <c r="O1" s="1065"/>
      <c r="P1" s="1065"/>
      <c r="Q1" s="1065"/>
      <c r="R1" s="1065"/>
      <c r="S1" s="1065"/>
      <c r="T1" s="1065"/>
      <c r="U1" s="1065"/>
      <c r="V1" s="1065"/>
      <c r="W1" s="1065"/>
      <c r="X1" s="86"/>
      <c r="Y1" s="86"/>
      <c r="Z1" s="86"/>
      <c r="AA1" s="86"/>
      <c r="AB1" s="86"/>
      <c r="AC1" s="86"/>
      <c r="AD1" s="86"/>
      <c r="AE1" s="86"/>
    </row>
    <row r="2" spans="1:31">
      <c r="A2" s="115"/>
      <c r="B2" s="1065"/>
      <c r="C2" s="1065"/>
      <c r="D2" s="1065"/>
      <c r="E2" s="1065"/>
      <c r="F2" s="1065"/>
      <c r="G2" s="1065"/>
      <c r="H2" s="1065"/>
      <c r="I2" s="1065"/>
      <c r="J2" s="1065"/>
      <c r="K2" s="1065"/>
      <c r="L2" s="1065"/>
      <c r="M2" s="1065"/>
      <c r="N2" s="1065"/>
      <c r="O2" s="1065"/>
      <c r="P2" s="1065"/>
      <c r="Q2" s="1065"/>
      <c r="R2" s="1065"/>
      <c r="S2" s="1065"/>
      <c r="T2" s="1065"/>
      <c r="U2" s="1065"/>
      <c r="V2" s="1065"/>
      <c r="W2" s="1065"/>
      <c r="X2" s="86"/>
      <c r="Y2" s="86"/>
      <c r="Z2" s="86"/>
      <c r="AA2" s="86"/>
      <c r="AB2" s="86"/>
      <c r="AC2" s="86"/>
      <c r="AD2" s="86"/>
      <c r="AE2" s="86"/>
    </row>
    <row r="3" spans="1:31">
      <c r="A3" s="115" t="str">
        <f>+'23'!A3</f>
        <v>AÑOS   2014  - 2023</v>
      </c>
      <c r="B3" s="1065"/>
      <c r="C3" s="1065"/>
      <c r="D3" s="1065"/>
      <c r="E3" s="1065"/>
      <c r="F3" s="1065"/>
      <c r="G3" s="1065"/>
      <c r="H3" s="1065"/>
      <c r="I3" s="1065"/>
      <c r="J3" s="1065"/>
      <c r="K3" s="1065"/>
      <c r="L3" s="1065"/>
      <c r="M3" s="1065"/>
      <c r="N3" s="1065"/>
      <c r="O3" s="1065"/>
      <c r="P3" s="1065"/>
      <c r="Q3" s="1065"/>
      <c r="R3" s="1065"/>
      <c r="S3" s="1065"/>
      <c r="T3" s="1065"/>
      <c r="U3" s="1065"/>
      <c r="V3" s="1065"/>
      <c r="W3" s="1065"/>
      <c r="X3" s="86"/>
      <c r="Y3" s="86"/>
      <c r="Z3" s="86"/>
      <c r="AA3" s="86"/>
      <c r="AB3" s="86"/>
      <c r="AC3" s="86"/>
      <c r="AD3" s="86"/>
      <c r="AE3" s="86"/>
    </row>
    <row r="4" spans="1:31">
      <c r="A4" s="86"/>
      <c r="B4" s="1065"/>
      <c r="C4" s="1065"/>
      <c r="D4" s="1065"/>
      <c r="E4" s="1065"/>
      <c r="F4" s="1065"/>
      <c r="G4" s="1065"/>
      <c r="H4" s="1065"/>
      <c r="I4" s="1065"/>
      <c r="J4" s="1065"/>
      <c r="K4" s="1065"/>
      <c r="L4" s="1065"/>
      <c r="M4" s="1065"/>
      <c r="N4" s="1065"/>
      <c r="O4" s="1065"/>
      <c r="P4" s="1065"/>
      <c r="Q4" s="1065"/>
      <c r="R4" s="1065"/>
      <c r="S4" s="1065"/>
      <c r="T4" s="1065"/>
      <c r="U4" s="1065"/>
      <c r="V4" s="1065"/>
      <c r="W4" s="1065"/>
      <c r="X4" s="86"/>
      <c r="Y4" s="86"/>
      <c r="Z4" s="86"/>
      <c r="AA4" s="86"/>
      <c r="AB4" s="86"/>
      <c r="AC4" s="86"/>
      <c r="AD4" s="86"/>
      <c r="AE4" s="86"/>
    </row>
    <row r="5" spans="1:31">
      <c r="A5" s="1"/>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row>
    <row r="6" spans="1:31" ht="18.75" customHeight="1">
      <c r="A6" s="1058"/>
      <c r="B6" s="1059"/>
      <c r="C6" s="1060"/>
      <c r="D6" s="1059"/>
      <c r="E6" s="1060"/>
      <c r="F6" s="1059"/>
      <c r="G6" s="1060"/>
      <c r="H6" s="1032"/>
      <c r="I6" s="1033"/>
      <c r="J6" s="967" t="s">
        <v>596</v>
      </c>
      <c r="K6" s="967"/>
      <c r="L6" s="967"/>
      <c r="M6" s="967"/>
      <c r="N6" s="967"/>
      <c r="O6" s="967"/>
      <c r="P6" s="967"/>
      <c r="Q6" s="967"/>
      <c r="R6" s="967"/>
      <c r="S6" s="967"/>
      <c r="T6" s="967"/>
      <c r="U6" s="967"/>
      <c r="V6" s="967"/>
      <c r="W6" s="967"/>
      <c r="X6" s="967"/>
      <c r="Y6" s="967"/>
      <c r="Z6" s="967"/>
      <c r="AA6" s="967"/>
      <c r="AB6" s="967"/>
      <c r="AC6" s="967"/>
      <c r="AD6" s="1033"/>
      <c r="AE6" s="1034"/>
    </row>
    <row r="7" spans="1:31">
      <c r="A7" s="1042"/>
      <c r="B7" s="992"/>
      <c r="C7" s="1043"/>
      <c r="D7" s="992"/>
      <c r="E7" s="1045"/>
      <c r="F7" s="1037" t="s">
        <v>604</v>
      </c>
      <c r="G7" s="1061"/>
      <c r="H7" s="965" t="s">
        <v>605</v>
      </c>
      <c r="I7" s="1038"/>
      <c r="J7" s="1039"/>
      <c r="K7" s="1040"/>
      <c r="L7" s="1039"/>
      <c r="M7" s="1040"/>
      <c r="N7" s="1039"/>
      <c r="O7" s="1040"/>
      <c r="P7" s="1039"/>
      <c r="Q7" s="1040"/>
      <c r="R7" s="965" t="s">
        <v>605</v>
      </c>
      <c r="S7" s="1038"/>
      <c r="T7" s="1039"/>
      <c r="U7" s="1040"/>
      <c r="V7" s="1039"/>
      <c r="W7" s="1040"/>
      <c r="X7" s="1039"/>
      <c r="Y7" s="1040"/>
      <c r="Z7" s="1041"/>
      <c r="AA7" s="1040"/>
      <c r="AB7" s="1039"/>
      <c r="AC7" s="1040"/>
      <c r="AD7" s="1039"/>
      <c r="AE7" s="1040"/>
    </row>
    <row r="8" spans="1:31" ht="17.25" customHeight="1">
      <c r="A8" s="1042" t="s">
        <v>597</v>
      </c>
      <c r="B8" s="992" t="s">
        <v>602</v>
      </c>
      <c r="C8" s="992"/>
      <c r="D8" s="992" t="s">
        <v>603</v>
      </c>
      <c r="E8" s="1043"/>
      <c r="F8" s="992" t="s">
        <v>606</v>
      </c>
      <c r="G8" s="1043"/>
      <c r="H8" s="992" t="s">
        <v>587</v>
      </c>
      <c r="I8" s="1043"/>
      <c r="J8" s="992" t="s">
        <v>587</v>
      </c>
      <c r="K8" s="1043"/>
      <c r="L8" s="1044" t="s">
        <v>384</v>
      </c>
      <c r="M8" s="1045"/>
      <c r="N8" s="992" t="s">
        <v>608</v>
      </c>
      <c r="O8" s="1043"/>
      <c r="P8" s="992" t="s">
        <v>387</v>
      </c>
      <c r="Q8" s="1043"/>
      <c r="R8" s="992" t="s">
        <v>609</v>
      </c>
      <c r="S8" s="1043"/>
      <c r="T8" s="992" t="s">
        <v>609</v>
      </c>
      <c r="U8" s="1043"/>
      <c r="V8" s="992" t="s">
        <v>351</v>
      </c>
      <c r="W8" s="1043"/>
      <c r="X8" s="992" t="s">
        <v>369</v>
      </c>
      <c r="Y8" s="1043"/>
      <c r="Z8" s="992" t="s">
        <v>374</v>
      </c>
      <c r="AA8" s="1043"/>
      <c r="AB8" s="992" t="s">
        <v>610</v>
      </c>
      <c r="AC8" s="1043"/>
      <c r="AD8" s="992" t="s">
        <v>376</v>
      </c>
      <c r="AE8" s="1043"/>
    </row>
    <row r="9" spans="1:31" ht="18.75" customHeight="1">
      <c r="A9" s="1046"/>
      <c r="B9" s="1047" t="s">
        <v>614</v>
      </c>
      <c r="C9" s="1048" t="s">
        <v>615</v>
      </c>
      <c r="D9" s="1047" t="s">
        <v>614</v>
      </c>
      <c r="E9" s="1048" t="s">
        <v>615</v>
      </c>
      <c r="F9" s="1047" t="s">
        <v>614</v>
      </c>
      <c r="G9" s="1048" t="s">
        <v>615</v>
      </c>
      <c r="H9" s="1047" t="s">
        <v>614</v>
      </c>
      <c r="I9" s="1049" t="s">
        <v>615</v>
      </c>
      <c r="J9" s="1047" t="s">
        <v>614</v>
      </c>
      <c r="K9" s="1049" t="s">
        <v>615</v>
      </c>
      <c r="L9" s="1047" t="s">
        <v>614</v>
      </c>
      <c r="M9" s="1048" t="s">
        <v>615</v>
      </c>
      <c r="N9" s="1047" t="s">
        <v>614</v>
      </c>
      <c r="O9" s="1048" t="s">
        <v>615</v>
      </c>
      <c r="P9" s="1047" t="s">
        <v>614</v>
      </c>
      <c r="Q9" s="1048" t="s">
        <v>615</v>
      </c>
      <c r="R9" s="1047" t="s">
        <v>614</v>
      </c>
      <c r="S9" s="1049" t="s">
        <v>615</v>
      </c>
      <c r="T9" s="1047" t="s">
        <v>614</v>
      </c>
      <c r="U9" s="1048" t="s">
        <v>615</v>
      </c>
      <c r="V9" s="1047" t="s">
        <v>614</v>
      </c>
      <c r="W9" s="1048" t="s">
        <v>615</v>
      </c>
      <c r="X9" s="1047" t="s">
        <v>614</v>
      </c>
      <c r="Y9" s="1048" t="s">
        <v>615</v>
      </c>
      <c r="Z9" s="1047" t="s">
        <v>614</v>
      </c>
      <c r="AA9" s="1048" t="s">
        <v>615</v>
      </c>
      <c r="AB9" s="1047" t="s">
        <v>614</v>
      </c>
      <c r="AC9" s="1048" t="s">
        <v>615</v>
      </c>
      <c r="AD9" s="1047" t="s">
        <v>614</v>
      </c>
      <c r="AE9" s="1048" t="s">
        <v>615</v>
      </c>
    </row>
    <row r="10" spans="1:31">
      <c r="A10" s="66"/>
      <c r="B10" s="206"/>
      <c r="C10" s="207"/>
      <c r="D10" s="206"/>
      <c r="E10" s="207"/>
      <c r="F10" s="206"/>
      <c r="G10" s="207"/>
      <c r="H10" s="208"/>
      <c r="I10" s="208"/>
      <c r="J10" s="206"/>
      <c r="K10" s="207"/>
      <c r="L10" s="206"/>
      <c r="M10" s="207"/>
      <c r="N10" s="206"/>
      <c r="O10" s="207"/>
      <c r="P10" s="206"/>
      <c r="Q10" s="207"/>
      <c r="R10" s="208"/>
      <c r="S10" s="208"/>
      <c r="T10" s="206"/>
      <c r="U10" s="207"/>
      <c r="V10" s="206"/>
      <c r="W10" s="207"/>
      <c r="X10" s="206"/>
      <c r="Y10" s="207"/>
      <c r="Z10" s="206"/>
      <c r="AA10" s="207"/>
      <c r="AB10" s="206"/>
      <c r="AC10" s="207"/>
      <c r="AD10" s="208"/>
      <c r="AE10" s="207"/>
    </row>
    <row r="11" spans="1:31" s="6" customFormat="1" ht="27.75" customHeight="1">
      <c r="A11" s="186">
        <f>+'23'!A11</f>
        <v>2014</v>
      </c>
      <c r="B11" s="199">
        <v>1812</v>
      </c>
      <c r="C11" s="187">
        <f>+B11/'18'!B11*1000</f>
        <v>7.4305538469109074</v>
      </c>
      <c r="D11" s="199">
        <v>121</v>
      </c>
      <c r="E11" s="187">
        <f>+D11/'18'!D11*1000</f>
        <v>4.9905138991998683</v>
      </c>
      <c r="F11" s="152">
        <v>28</v>
      </c>
      <c r="G11" s="187">
        <f>+F11/'18'!F11*1000</f>
        <v>7.4606981081801225</v>
      </c>
      <c r="H11" s="198">
        <v>8</v>
      </c>
      <c r="I11" s="187">
        <f>+H11/'18'!H11*1000</f>
        <v>5.1249199231262006</v>
      </c>
      <c r="J11" s="199">
        <v>4</v>
      </c>
      <c r="K11" s="187">
        <f>+J11/'18'!J11*1000</f>
        <v>3.90625</v>
      </c>
      <c r="L11" s="199">
        <v>2</v>
      </c>
      <c r="M11" s="187">
        <f>+L11/'18'!L11*1000</f>
        <v>7.8740157480314963</v>
      </c>
      <c r="N11" s="199">
        <v>0</v>
      </c>
      <c r="O11" s="187">
        <f>+N11/'18'!N11*1000</f>
        <v>0</v>
      </c>
      <c r="P11" s="199">
        <v>2</v>
      </c>
      <c r="Q11" s="187">
        <f>+P11/'18'!P11*1000</f>
        <v>15.151515151515152</v>
      </c>
      <c r="R11" s="152">
        <v>20</v>
      </c>
      <c r="S11" s="187">
        <f>+R11/'18'!R11*1000</f>
        <v>9.1240875912408743</v>
      </c>
      <c r="T11" s="199">
        <v>13</v>
      </c>
      <c r="U11" s="187">
        <f>+T11/'18'!T11*1000</f>
        <v>11.807447774750226</v>
      </c>
      <c r="V11" s="199">
        <v>2</v>
      </c>
      <c r="W11" s="187">
        <f>+V11/'18'!V11*1000</f>
        <v>10.309278350515465</v>
      </c>
      <c r="X11" s="199">
        <v>0</v>
      </c>
      <c r="Y11" s="187">
        <f>+X11/'18'!X11*1000</f>
        <v>0</v>
      </c>
      <c r="Z11" s="199">
        <v>2</v>
      </c>
      <c r="AA11" s="187">
        <f>+Z11/'18'!Z11*1000</f>
        <v>17.391304347826086</v>
      </c>
      <c r="AB11" s="199">
        <v>2</v>
      </c>
      <c r="AC11" s="187">
        <f>+AB11/'18'!AB11*1000</f>
        <v>5.1020408163265305</v>
      </c>
      <c r="AD11" s="199">
        <v>1</v>
      </c>
      <c r="AE11" s="187">
        <f>+AD11/'18'!AD11*1000</f>
        <v>5.0761421319796947</v>
      </c>
    </row>
    <row r="12" spans="1:31" s="6" customFormat="1" ht="27.75" customHeight="1">
      <c r="A12" s="186">
        <f>+'23'!A12</f>
        <v>2015</v>
      </c>
      <c r="B12" s="199">
        <v>1683</v>
      </c>
      <c r="C12" s="187">
        <f>+B12/'18'!B12*1000</f>
        <v>6.8786528793885644</v>
      </c>
      <c r="D12" s="199">
        <v>156</v>
      </c>
      <c r="E12" s="187">
        <f>+D12/'18'!D12*1000</f>
        <v>6.6107297228578688</v>
      </c>
      <c r="F12" s="152">
        <v>30</v>
      </c>
      <c r="G12" s="187">
        <f>+F12/'18'!F12*1000</f>
        <v>7.7740347240217673</v>
      </c>
      <c r="H12" s="198">
        <v>11</v>
      </c>
      <c r="I12" s="187">
        <f>+H12/'18'!H12*1000</f>
        <v>6.9708491761723703</v>
      </c>
      <c r="J12" s="199">
        <v>6</v>
      </c>
      <c r="K12" s="187">
        <f>+J12/'18'!J12*1000</f>
        <v>6.1919504643962853</v>
      </c>
      <c r="L12" s="199">
        <v>4</v>
      </c>
      <c r="M12" s="187">
        <f>+L12/'18'!L12*1000</f>
        <v>16.597510373443985</v>
      </c>
      <c r="N12" s="199">
        <v>1</v>
      </c>
      <c r="O12" s="187">
        <f>+N12/'18'!N12*1000</f>
        <v>4.5248868778280551</v>
      </c>
      <c r="P12" s="199">
        <v>0</v>
      </c>
      <c r="Q12" s="187">
        <f>+P12/'18'!P12*1000</f>
        <v>0</v>
      </c>
      <c r="R12" s="152">
        <v>19</v>
      </c>
      <c r="S12" s="187">
        <f>+R12/'18'!R12*1000</f>
        <v>8.3296799649276636</v>
      </c>
      <c r="T12" s="199">
        <v>11</v>
      </c>
      <c r="U12" s="187">
        <f>+T12/'18'!T12*1000</f>
        <v>9.2514718250630779</v>
      </c>
      <c r="V12" s="199">
        <v>3</v>
      </c>
      <c r="W12" s="187">
        <f>+V12/'18'!V12*1000</f>
        <v>13.45291479820628</v>
      </c>
      <c r="X12" s="199">
        <v>3</v>
      </c>
      <c r="Y12" s="187">
        <f>+X12/'18'!X12*1000</f>
        <v>13.513513513513514</v>
      </c>
      <c r="Z12" s="199">
        <v>0</v>
      </c>
      <c r="AA12" s="187">
        <f>+Z12/'18'!Z12*1000</f>
        <v>0</v>
      </c>
      <c r="AB12" s="199">
        <v>2</v>
      </c>
      <c r="AC12" s="187">
        <f>+AB12/'18'!AB12*1000</f>
        <v>5.6657223796034</v>
      </c>
      <c r="AD12" s="199">
        <v>0</v>
      </c>
      <c r="AE12" s="187">
        <f>+AD12/'18'!AD12*1000</f>
        <v>0</v>
      </c>
    </row>
    <row r="13" spans="1:31" s="6" customFormat="1" ht="27.75" customHeight="1">
      <c r="A13" s="186">
        <f>+'23'!A13</f>
        <v>2016</v>
      </c>
      <c r="B13" s="199">
        <v>1596</v>
      </c>
      <c r="C13" s="187">
        <f>+B13/'18'!B13*1000</f>
        <v>6.9135802469135808</v>
      </c>
      <c r="D13" s="199">
        <v>137</v>
      </c>
      <c r="E13" s="187">
        <f>+D13/'18'!D13*1000</f>
        <v>7.6549142314354368</v>
      </c>
      <c r="F13" s="152">
        <v>16</v>
      </c>
      <c r="G13" s="187">
        <f>+F13/'18'!F13*1000</f>
        <v>4.8617441507140686</v>
      </c>
      <c r="H13" s="198">
        <v>5</v>
      </c>
      <c r="I13" s="187">
        <f>+H13/'18'!H13*1000</f>
        <v>3.6845983787767134</v>
      </c>
      <c r="J13" s="199">
        <v>0</v>
      </c>
      <c r="K13" s="187">
        <f>+J13/'18'!J13*1000</f>
        <v>0</v>
      </c>
      <c r="L13" s="199">
        <v>0</v>
      </c>
      <c r="M13" s="187">
        <f>+L13/'18'!L13*1000</f>
        <v>0</v>
      </c>
      <c r="N13" s="199">
        <v>3</v>
      </c>
      <c r="O13" s="187">
        <f>+N13/'18'!N13*1000</f>
        <v>15.789473684210527</v>
      </c>
      <c r="P13" s="199">
        <v>2</v>
      </c>
      <c r="Q13" s="187">
        <f>+P13/'18'!P13*1000</f>
        <v>17.241379310344826</v>
      </c>
      <c r="R13" s="152">
        <v>11</v>
      </c>
      <c r="S13" s="187">
        <f>+R13/'18'!R13*1000</f>
        <v>5.6876938986556356</v>
      </c>
      <c r="T13" s="199">
        <v>7</v>
      </c>
      <c r="U13" s="187">
        <f>+T13/'18'!T13*1000</f>
        <v>6.7307692307692308</v>
      </c>
      <c r="V13" s="199">
        <v>1</v>
      </c>
      <c r="W13" s="187">
        <f>+V13/'18'!V13*1000</f>
        <v>5.6497175141242941</v>
      </c>
      <c r="X13" s="199">
        <v>1</v>
      </c>
      <c r="Y13" s="187">
        <f>+X13/'18'!X13*1000</f>
        <v>5.1020408163265305</v>
      </c>
      <c r="Z13" s="199">
        <v>0</v>
      </c>
      <c r="AA13" s="187">
        <f>+Z13/'18'!Z13*1000</f>
        <v>0</v>
      </c>
      <c r="AB13" s="199">
        <v>1</v>
      </c>
      <c r="AC13" s="187">
        <f>+AB13/'18'!AB13*1000</f>
        <v>3.5971223021582737</v>
      </c>
      <c r="AD13" s="199">
        <v>1</v>
      </c>
      <c r="AE13" s="187">
        <f>+AD13/'18'!AD13*1000</f>
        <v>6.4516129032258061</v>
      </c>
    </row>
    <row r="14" spans="1:31" s="6" customFormat="1" ht="27.75" customHeight="1">
      <c r="A14" s="186">
        <f>+'23'!A14</f>
        <v>2017</v>
      </c>
      <c r="B14" s="199">
        <v>1301</v>
      </c>
      <c r="C14" s="187">
        <f>+B14/'18'!B14*1000</f>
        <v>5.9316199568692358</v>
      </c>
      <c r="D14" s="199">
        <v>143</v>
      </c>
      <c r="E14" s="187">
        <f>+D14/'18'!D14*1000</f>
        <v>7.0329021787242416</v>
      </c>
      <c r="F14" s="152">
        <v>19</v>
      </c>
      <c r="G14" s="187">
        <f>+F14/'18'!F14*1000</f>
        <v>6.3779791876468614</v>
      </c>
      <c r="H14" s="198">
        <v>7</v>
      </c>
      <c r="I14" s="187">
        <f>+H14/'18'!H14*1000</f>
        <v>5.8430717863105173</v>
      </c>
      <c r="J14" s="199">
        <v>5</v>
      </c>
      <c r="K14" s="187">
        <f>+J14/'18'!J14*1000</f>
        <v>6.9735006973500697</v>
      </c>
      <c r="L14" s="199">
        <v>0</v>
      </c>
      <c r="M14" s="187">
        <f>+L14/'18'!L14*1000</f>
        <v>0</v>
      </c>
      <c r="N14" s="199">
        <v>0</v>
      </c>
      <c r="O14" s="187">
        <f>+N14/'18'!N14*1000</f>
        <v>0</v>
      </c>
      <c r="P14" s="199">
        <v>2</v>
      </c>
      <c r="Q14" s="187">
        <f>+P14/'18'!P14*1000</f>
        <v>14.925373134328359</v>
      </c>
      <c r="R14" s="152">
        <v>12</v>
      </c>
      <c r="S14" s="187">
        <f>+R14/'18'!R14*1000</f>
        <v>6.7377877596855695</v>
      </c>
      <c r="T14" s="199">
        <v>8</v>
      </c>
      <c r="U14" s="187">
        <f>+T14/'18'!T14*1000</f>
        <v>8.4210526315789469</v>
      </c>
      <c r="V14" s="199">
        <v>0</v>
      </c>
      <c r="W14" s="187">
        <f>+V14/'18'!V14*1000</f>
        <v>0</v>
      </c>
      <c r="X14" s="199">
        <v>0</v>
      </c>
      <c r="Y14" s="187">
        <f>+X14/'18'!X14*1000</f>
        <v>0</v>
      </c>
      <c r="Z14" s="199">
        <v>0</v>
      </c>
      <c r="AA14" s="187">
        <f>+Z14/'18'!Z14*1000</f>
        <v>0</v>
      </c>
      <c r="AB14" s="199">
        <v>2</v>
      </c>
      <c r="AC14" s="187">
        <f>+AB14/'18'!AB14*1000</f>
        <v>6.8728522336769755</v>
      </c>
      <c r="AD14" s="199">
        <v>2</v>
      </c>
      <c r="AE14" s="187">
        <f>+AD14/'18'!AD14*1000</f>
        <v>12.738853503184714</v>
      </c>
    </row>
    <row r="15" spans="1:31" s="6" customFormat="1" ht="27.75" customHeight="1">
      <c r="A15" s="186">
        <f>+'23'!A15</f>
        <v>2018</v>
      </c>
      <c r="B15" s="199">
        <v>1294</v>
      </c>
      <c r="C15" s="187">
        <f>+B15/'18'!B15*1000</f>
        <v>5.8359002575192465</v>
      </c>
      <c r="D15" s="199">
        <v>120</v>
      </c>
      <c r="E15" s="187">
        <f>+D15/'18'!D15*1000</f>
        <v>5.6250878919983132</v>
      </c>
      <c r="F15" s="152">
        <v>19</v>
      </c>
      <c r="G15" s="187">
        <f>+F15/'18'!F15*1000</f>
        <v>6.1053984575835472</v>
      </c>
      <c r="H15" s="198">
        <v>9</v>
      </c>
      <c r="I15" s="187">
        <f>+H15/'18'!H15*1000</f>
        <v>7.832898172323759</v>
      </c>
      <c r="J15" s="199">
        <v>7</v>
      </c>
      <c r="K15" s="187">
        <f>+J15/'18'!J15*1000</f>
        <v>9.7629009762900978</v>
      </c>
      <c r="L15" s="199">
        <v>1</v>
      </c>
      <c r="M15" s="187">
        <f>+L15/'18'!L15*1000</f>
        <v>5.8479532163742682</v>
      </c>
      <c r="N15" s="199">
        <v>1</v>
      </c>
      <c r="O15" s="187">
        <f>+N15/'18'!N15*1000</f>
        <v>7.1942446043165473</v>
      </c>
      <c r="P15" s="199">
        <v>0</v>
      </c>
      <c r="Q15" s="187">
        <f>+P15/'18'!P15*1000</f>
        <v>0</v>
      </c>
      <c r="R15" s="152">
        <v>10</v>
      </c>
      <c r="S15" s="187">
        <f>+R15/'18'!R15*1000</f>
        <v>5.0942435048395316</v>
      </c>
      <c r="T15" s="199">
        <v>4</v>
      </c>
      <c r="U15" s="187">
        <f>+T15/'18'!T15*1000</f>
        <v>3.8986354775828458</v>
      </c>
      <c r="V15" s="199">
        <v>1</v>
      </c>
      <c r="W15" s="187">
        <f>+V15/'18'!V15*1000</f>
        <v>4.6296296296296298</v>
      </c>
      <c r="X15" s="199">
        <v>1</v>
      </c>
      <c r="Y15" s="187">
        <f>+X15/'18'!X15*1000</f>
        <v>6.1728395061728394</v>
      </c>
      <c r="Z15" s="199">
        <v>0</v>
      </c>
      <c r="AA15" s="187">
        <f>+Z15/'18'!Z15*1000</f>
        <v>0</v>
      </c>
      <c r="AB15" s="199">
        <v>4</v>
      </c>
      <c r="AC15" s="187">
        <f>+AB15/'18'!AB15*1000</f>
        <v>13.377926421404682</v>
      </c>
      <c r="AD15" s="199">
        <v>0</v>
      </c>
      <c r="AE15" s="187">
        <f>+AD15/'18'!AD15*1000</f>
        <v>0</v>
      </c>
    </row>
    <row r="16" spans="1:31" s="6" customFormat="1" ht="27.75" customHeight="1">
      <c r="A16" s="186">
        <f>+'23'!A16</f>
        <v>2019</v>
      </c>
      <c r="B16" s="199">
        <v>1207</v>
      </c>
      <c r="C16" s="187">
        <f>+B16/'18'!B16*1000</f>
        <v>5.783060949725221</v>
      </c>
      <c r="D16" s="199">
        <v>118</v>
      </c>
      <c r="E16" s="187">
        <f>+D16/'18'!D16*1000</f>
        <v>6.0718328702274365</v>
      </c>
      <c r="F16" s="152">
        <v>19</v>
      </c>
      <c r="G16" s="187">
        <f>+F16/'18'!F16*1000</f>
        <v>6.1231066709635842</v>
      </c>
      <c r="H16" s="198">
        <v>5</v>
      </c>
      <c r="I16" s="187">
        <f>+H16/'18'!H16*1000</f>
        <v>4.1736227045075127</v>
      </c>
      <c r="J16" s="199">
        <v>2</v>
      </c>
      <c r="K16" s="187">
        <f>+J16/'18'!J16*1000</f>
        <v>2.7472527472527473</v>
      </c>
      <c r="L16" s="199">
        <v>2</v>
      </c>
      <c r="M16" s="187">
        <f>+L16/'18'!L16*1000</f>
        <v>10.638297872340425</v>
      </c>
      <c r="N16" s="199">
        <v>0</v>
      </c>
      <c r="O16" s="187">
        <f>+N16/'18'!N16*1000</f>
        <v>0</v>
      </c>
      <c r="P16" s="199">
        <v>1</v>
      </c>
      <c r="Q16" s="187">
        <f>+P16/'18'!P16*1000</f>
        <v>8.4033613445378155</v>
      </c>
      <c r="R16" s="152">
        <v>14</v>
      </c>
      <c r="S16" s="187">
        <f>+R16/'18'!R16*1000</f>
        <v>7.349081364829396</v>
      </c>
      <c r="T16" s="199">
        <v>8</v>
      </c>
      <c r="U16" s="187">
        <f>+T16/'18'!T16*1000</f>
        <v>7.6849183477425553</v>
      </c>
      <c r="V16" s="199">
        <v>0</v>
      </c>
      <c r="W16" s="187">
        <f>+V16/'18'!V16*1000</f>
        <v>0</v>
      </c>
      <c r="X16" s="199">
        <v>1</v>
      </c>
      <c r="Y16" s="187">
        <f>+X16/'18'!X16*1000</f>
        <v>6.8027210884353737</v>
      </c>
      <c r="Z16" s="199">
        <v>1</v>
      </c>
      <c r="AA16" s="187">
        <f>+Z16/'18'!Z16*1000</f>
        <v>13.698630136986301</v>
      </c>
      <c r="AB16" s="199">
        <v>1</v>
      </c>
      <c r="AC16" s="187">
        <f>+AB16/'18'!AB16*1000</f>
        <v>3.2051282051282048</v>
      </c>
      <c r="AD16" s="199">
        <v>3</v>
      </c>
      <c r="AE16" s="187">
        <f>+AD16/'18'!AD16*1000</f>
        <v>18.518518518518519</v>
      </c>
    </row>
    <row r="17" spans="1:31" s="6" customFormat="1" ht="27.75" customHeight="1">
      <c r="A17" s="186">
        <f>+'23'!A17</f>
        <v>2020</v>
      </c>
      <c r="B17" s="199">
        <v>1086</v>
      </c>
      <c r="C17" s="187">
        <f>+B17/'18'!B17*1000</f>
        <v>5.5396575206206862</v>
      </c>
      <c r="D17" s="199">
        <v>74</v>
      </c>
      <c r="E17" s="187">
        <f>+D17/'18'!D17*1000</f>
        <v>4.014974770766643</v>
      </c>
      <c r="F17" s="152">
        <v>16</v>
      </c>
      <c r="G17" s="187">
        <f>+F17/'18'!F17*1000</f>
        <v>6.1302681992337167</v>
      </c>
      <c r="H17" s="198">
        <v>6</v>
      </c>
      <c r="I17" s="187">
        <f>+H17/'18'!H17*1000</f>
        <v>6.1475409836065573</v>
      </c>
      <c r="J17" s="199">
        <v>6</v>
      </c>
      <c r="K17" s="187">
        <f>+J17/'18'!J17*1000</f>
        <v>10.169491525423728</v>
      </c>
      <c r="L17" s="199">
        <v>0</v>
      </c>
      <c r="M17" s="187">
        <f>+L17/'18'!L17*1000</f>
        <v>0</v>
      </c>
      <c r="N17" s="199">
        <v>0</v>
      </c>
      <c r="O17" s="187">
        <f>+N17/'18'!N17*1000</f>
        <v>0</v>
      </c>
      <c r="P17" s="199">
        <v>0</v>
      </c>
      <c r="Q17" s="187">
        <f>+P17/'18'!P17*1000</f>
        <v>0</v>
      </c>
      <c r="R17" s="152">
        <v>10</v>
      </c>
      <c r="S17" s="187">
        <f>+R17/'18'!R17*1000</f>
        <v>6.119951040391677</v>
      </c>
      <c r="T17" s="199">
        <v>8</v>
      </c>
      <c r="U17" s="187">
        <f>+T17/'18'!T17*1000</f>
        <v>9.1954022988505741</v>
      </c>
      <c r="V17" s="199">
        <v>1</v>
      </c>
      <c r="W17" s="187">
        <f>+V17/'18'!V17*1000</f>
        <v>5.6818181818181817</v>
      </c>
      <c r="X17" s="199">
        <v>0</v>
      </c>
      <c r="Y17" s="187">
        <f>+X17/'18'!X17*1000</f>
        <v>0</v>
      </c>
      <c r="Z17" s="199">
        <v>0</v>
      </c>
      <c r="AA17" s="187">
        <f>+Z17/'18'!Z17*1000</f>
        <v>0</v>
      </c>
      <c r="AB17" s="199">
        <v>1</v>
      </c>
      <c r="AC17" s="187">
        <f>+AB17/'18'!AB17*1000</f>
        <v>3.8314176245210727</v>
      </c>
      <c r="AD17" s="199">
        <v>0</v>
      </c>
      <c r="AE17" s="187">
        <f>+AD17/'18'!AD17*1000</f>
        <v>0</v>
      </c>
    </row>
    <row r="18" spans="1:31" s="6" customFormat="1" ht="27.75" customHeight="1">
      <c r="A18" s="186">
        <f>+'23'!A18</f>
        <v>2021</v>
      </c>
      <c r="B18" s="199">
        <v>1024</v>
      </c>
      <c r="C18" s="187">
        <f>+B18/'18'!B18*1000</f>
        <v>5.7764013696389185</v>
      </c>
      <c r="D18" s="199">
        <v>52</v>
      </c>
      <c r="E18" s="187">
        <f>+D18/'18'!D18*1000</f>
        <v>3.7900874635568513</v>
      </c>
      <c r="F18" s="152">
        <v>12</v>
      </c>
      <c r="G18" s="187">
        <f>+F18/'18'!F18*1000</f>
        <v>5.452067242162653</v>
      </c>
      <c r="H18" s="198">
        <v>4</v>
      </c>
      <c r="I18" s="187">
        <f>+H18/'18'!H18*1000</f>
        <v>4.6082949308755756</v>
      </c>
      <c r="J18" s="199">
        <v>3</v>
      </c>
      <c r="K18" s="187">
        <f>+J18/'18'!J18*1000</f>
        <v>5.9880239520958085</v>
      </c>
      <c r="L18" s="199">
        <v>0</v>
      </c>
      <c r="M18" s="187">
        <f>+L18/'18'!L18*1000</f>
        <v>0</v>
      </c>
      <c r="N18" s="199">
        <v>1</v>
      </c>
      <c r="O18" s="187">
        <f>+N18/'18'!N18*1000</f>
        <v>8.1300813008130088</v>
      </c>
      <c r="P18" s="199">
        <v>0</v>
      </c>
      <c r="Q18" s="187">
        <f>+P18/'18'!P18*1000</f>
        <v>0</v>
      </c>
      <c r="R18" s="152">
        <v>8</v>
      </c>
      <c r="S18" s="187">
        <f>+R18/'18'!R18*1000</f>
        <v>6.0015003750937739</v>
      </c>
      <c r="T18" s="199">
        <v>4</v>
      </c>
      <c r="U18" s="187">
        <f>+T18/'18'!T18*1000</f>
        <v>5.7803468208092479</v>
      </c>
      <c r="V18" s="199">
        <v>0</v>
      </c>
      <c r="W18" s="187">
        <f>+V18/'18'!V18*1000</f>
        <v>0</v>
      </c>
      <c r="X18" s="199">
        <v>2</v>
      </c>
      <c r="Y18" s="187">
        <f>+X18/'18'!X18*1000</f>
        <v>20.618556701030929</v>
      </c>
      <c r="Z18" s="199">
        <v>0</v>
      </c>
      <c r="AA18" s="187">
        <f>+Z18/'18'!Z18*1000</f>
        <v>0</v>
      </c>
      <c r="AB18" s="199">
        <v>2</v>
      </c>
      <c r="AC18" s="187">
        <f>+AB18/'18'!AB18*1000</f>
        <v>8.695652173913043</v>
      </c>
      <c r="AD18" s="199">
        <v>0</v>
      </c>
      <c r="AE18" s="187">
        <f>+AD18/'18'!AD18*1000</f>
        <v>0</v>
      </c>
    </row>
    <row r="19" spans="1:31" s="6" customFormat="1" ht="27.75" customHeight="1">
      <c r="A19" s="186">
        <f>+'23'!A19</f>
        <v>2022</v>
      </c>
      <c r="B19" s="199">
        <f>+'23'!B19+'22'!B19</f>
        <v>1133</v>
      </c>
      <c r="C19" s="187">
        <f>+B19/'18'!B19*1000</f>
        <v>5.7054229213981049</v>
      </c>
      <c r="D19" s="199">
        <f>+'23'!D19+'22'!D19</f>
        <v>96</v>
      </c>
      <c r="E19" s="187">
        <f>+D19/'18'!D19*1000</f>
        <v>6.2463400351356633</v>
      </c>
      <c r="F19" s="152">
        <f>+J19+L19+N19+P19+T19+V19+X19+Z19+AB19+AD19</f>
        <v>6</v>
      </c>
      <c r="G19" s="187">
        <f>+F19/'18'!F19*1000</f>
        <v>2.4979184013322233</v>
      </c>
      <c r="H19" s="198">
        <f>+J19+L19+N19+P19</f>
        <v>3</v>
      </c>
      <c r="I19" s="187">
        <f>+H19/'18'!H19*1000</f>
        <v>3.1578947368421053</v>
      </c>
      <c r="J19" s="199">
        <f>+'23'!J19+'22'!J19</f>
        <v>1</v>
      </c>
      <c r="K19" s="187">
        <f>+J19/'18'!J19*1000</f>
        <v>1.7636684303350969</v>
      </c>
      <c r="L19" s="199">
        <f>+'23'!L19+'22'!L19</f>
        <v>2</v>
      </c>
      <c r="M19" s="187">
        <f>+L19/'18'!L19*1000</f>
        <v>13.333333333333334</v>
      </c>
      <c r="N19" s="199">
        <f>+'23'!N19+'22'!N19</f>
        <v>0</v>
      </c>
      <c r="O19" s="187">
        <f>+N19/'18'!N19*1000</f>
        <v>0</v>
      </c>
      <c r="P19" s="199">
        <f>+'23'!P19+'22'!P19</f>
        <v>0</v>
      </c>
      <c r="Q19" s="187">
        <f>+P19/'18'!P19*1000</f>
        <v>0</v>
      </c>
      <c r="R19" s="152">
        <f>+T19+V19+X19+Z19+AB19+AD19</f>
        <v>3</v>
      </c>
      <c r="S19" s="187">
        <f>+R19/'18'!R19*1000</f>
        <v>2.0661157024793391</v>
      </c>
      <c r="T19" s="199">
        <f>+'23'!T19+'22'!T19</f>
        <v>0</v>
      </c>
      <c r="U19" s="187">
        <f>+T19/'18'!T19*1000</f>
        <v>0</v>
      </c>
      <c r="V19" s="199">
        <f>+'23'!V19+'22'!V19</f>
        <v>1</v>
      </c>
      <c r="W19" s="187">
        <f>+V19/'18'!V19*1000</f>
        <v>7.4626865671641793</v>
      </c>
      <c r="X19" s="199">
        <f>+'23'!X19+'22'!X19</f>
        <v>0</v>
      </c>
      <c r="Y19" s="187">
        <f>+X19/'18'!X19*1000</f>
        <v>0</v>
      </c>
      <c r="Z19" s="199">
        <f>+'23'!Z19+'22'!Z19</f>
        <v>1</v>
      </c>
      <c r="AA19" s="187">
        <f>+Z19/'18'!Z19*1000</f>
        <v>15.151515151515152</v>
      </c>
      <c r="AB19" s="199">
        <f>+'23'!AB19+'22'!AB19</f>
        <v>1</v>
      </c>
      <c r="AC19" s="187">
        <f>+AB19/'18'!AB19*1000</f>
        <v>3.8314176245210727</v>
      </c>
      <c r="AD19" s="199">
        <f>+'23'!AD19+'22'!AD19</f>
        <v>0</v>
      </c>
      <c r="AE19" s="187">
        <f>+AD19/'18'!AD19*1000</f>
        <v>0</v>
      </c>
    </row>
    <row r="20" spans="1:31" s="6" customFormat="1" ht="27.75" customHeight="1">
      <c r="A20" s="186">
        <f>+'23'!A20</f>
        <v>2023</v>
      </c>
      <c r="B20" s="199">
        <f>+'23'!B20+'22'!B20</f>
        <v>1133</v>
      </c>
      <c r="C20" s="187">
        <f>+B20/'18'!B20*1000</f>
        <v>6.4821012763961123</v>
      </c>
      <c r="D20" s="199">
        <f>+'23'!D20+'22'!D20</f>
        <v>123</v>
      </c>
      <c r="E20" s="187">
        <f>+D20/'18'!D20*1000</f>
        <v>7.279829545454545</v>
      </c>
      <c r="F20" s="152">
        <f>+J20+L20+N20+P20+T20+V20+X20+Z20+AB20+AD20</f>
        <v>13</v>
      </c>
      <c r="G20" s="187">
        <f>+F20/'18'!F20*1000</f>
        <v>5.7344508160564622</v>
      </c>
      <c r="H20" s="198">
        <f>+J20+L20+N20+P20</f>
        <v>7</v>
      </c>
      <c r="I20" s="187">
        <f>+H20/'18'!H20*1000</f>
        <v>8.1967213114754109</v>
      </c>
      <c r="J20" s="199">
        <f>+'23'!J20+'22'!J20</f>
        <v>3</v>
      </c>
      <c r="K20" s="187">
        <f>+J20/'18'!J20*1000</f>
        <v>5.7692307692307692</v>
      </c>
      <c r="L20" s="199">
        <f>+'23'!L20+'22'!L20</f>
        <v>1</v>
      </c>
      <c r="M20" s="187">
        <f>+L20/'18'!L20*1000</f>
        <v>6.9444444444444438</v>
      </c>
      <c r="N20" s="199">
        <f>+'23'!N20+'22'!N20</f>
        <v>3</v>
      </c>
      <c r="O20" s="187">
        <f>+N20/'18'!N20*1000</f>
        <v>22.900763358778626</v>
      </c>
      <c r="P20" s="199">
        <f>+'23'!P20+'22'!P20</f>
        <v>0</v>
      </c>
      <c r="Q20" s="187">
        <f>+P20/'18'!P20*1000</f>
        <v>0</v>
      </c>
      <c r="R20" s="152">
        <f>+T20+V20+X20+Z20+AB20+AD20</f>
        <v>6</v>
      </c>
      <c r="S20" s="187">
        <f>+R20/'18'!R20*1000</f>
        <v>4.2462845010615711</v>
      </c>
      <c r="T20" s="199">
        <f>+'23'!T20+'22'!T20</f>
        <v>5</v>
      </c>
      <c r="U20" s="187">
        <f>+T20/'18'!T20*1000</f>
        <v>6.5616797900262469</v>
      </c>
      <c r="V20" s="199">
        <f>+'23'!V20+'22'!V20</f>
        <v>0</v>
      </c>
      <c r="W20" s="187">
        <f>+V20/'18'!V20*1000</f>
        <v>0</v>
      </c>
      <c r="X20" s="199">
        <f>+'23'!X20+'22'!X20</f>
        <v>0</v>
      </c>
      <c r="Y20" s="187">
        <f>+X20/'18'!X20*1000</f>
        <v>0</v>
      </c>
      <c r="Z20" s="199">
        <f>+'23'!Z20+'22'!Z20</f>
        <v>0</v>
      </c>
      <c r="AA20" s="187">
        <f>+Z20/'18'!Z20*1000</f>
        <v>0</v>
      </c>
      <c r="AB20" s="199">
        <f>+'23'!AB20+'22'!AB20</f>
        <v>1</v>
      </c>
      <c r="AC20" s="187">
        <f>+AB20/'18'!AB20*1000</f>
        <v>4.3103448275862064</v>
      </c>
      <c r="AD20" s="199">
        <f>+'23'!AD20+'22'!AD20</f>
        <v>0</v>
      </c>
      <c r="AE20" s="187">
        <f>+AD20/'18'!AD20*1000</f>
        <v>0</v>
      </c>
    </row>
    <row r="21" spans="1:31">
      <c r="A21" s="192"/>
      <c r="B21" s="155"/>
      <c r="C21" s="193"/>
      <c r="D21" s="155"/>
      <c r="E21" s="193"/>
      <c r="F21" s="160"/>
      <c r="G21" s="605"/>
      <c r="H21" s="194"/>
      <c r="I21" s="194"/>
      <c r="J21" s="155"/>
      <c r="K21" s="193"/>
      <c r="L21" s="155"/>
      <c r="M21" s="193"/>
      <c r="N21" s="155"/>
      <c r="O21" s="193"/>
      <c r="P21" s="155"/>
      <c r="Q21" s="193"/>
      <c r="R21" s="194"/>
      <c r="S21" s="194"/>
      <c r="T21" s="155"/>
      <c r="U21" s="193"/>
      <c r="V21" s="155"/>
      <c r="W21" s="193"/>
      <c r="X21" s="155"/>
      <c r="Y21" s="193"/>
      <c r="Z21" s="155"/>
      <c r="AA21" s="193"/>
      <c r="AB21" s="155"/>
      <c r="AC21" s="193"/>
      <c r="AD21" s="194"/>
      <c r="AE21" s="193"/>
    </row>
    <row r="22" spans="1:31">
      <c r="A22" s="1"/>
      <c r="B22" s="165"/>
      <c r="C22" s="161"/>
      <c r="D22" s="161"/>
      <c r="E22" s="161"/>
      <c r="F22" s="161"/>
      <c r="G22" s="161">
        <f>+G11/G20*100-100</f>
        <v>30.103097009571826</v>
      </c>
      <c r="H22" s="161"/>
      <c r="I22" s="161"/>
      <c r="J22" s="161"/>
      <c r="K22" s="1"/>
      <c r="L22" s="1"/>
      <c r="M22" s="1"/>
      <c r="N22" s="1"/>
      <c r="O22" s="1"/>
      <c r="P22" s="1"/>
      <c r="Q22" s="1"/>
      <c r="R22" s="1"/>
      <c r="S22" s="1"/>
      <c r="T22" s="1"/>
      <c r="U22" s="1"/>
      <c r="V22" s="1"/>
      <c r="W22" s="1"/>
      <c r="X22" s="1"/>
      <c r="Y22" s="1"/>
      <c r="Z22" s="1"/>
      <c r="AA22" s="1"/>
      <c r="AB22" s="1"/>
      <c r="AC22" s="1"/>
      <c r="AD22" s="1"/>
      <c r="AE22" s="1"/>
    </row>
    <row r="23" spans="1:31">
      <c r="A23" s="165" t="str">
        <f>+'21'!A23</f>
        <v>AÑO   2023  :   DATOS POR RESIDENCIA</v>
      </c>
      <c r="B23" s="165"/>
      <c r="C23" s="165"/>
      <c r="D23" s="165"/>
      <c r="E23" s="165"/>
      <c r="F23" s="165"/>
      <c r="G23" s="165"/>
      <c r="H23" s="165"/>
      <c r="I23" s="165"/>
      <c r="L23" s="1"/>
      <c r="M23" s="1"/>
      <c r="N23" s="1"/>
      <c r="O23" s="1"/>
      <c r="P23" s="1"/>
      <c r="Q23" s="1"/>
      <c r="R23" s="1"/>
      <c r="S23" s="1"/>
      <c r="T23" s="1"/>
      <c r="U23" s="1"/>
      <c r="V23" s="1"/>
      <c r="W23" s="1"/>
      <c r="X23" s="1"/>
      <c r="Y23" s="1"/>
      <c r="Z23" s="1"/>
      <c r="AA23" s="1"/>
      <c r="AB23" s="1"/>
      <c r="AC23" s="1"/>
      <c r="AD23" s="1"/>
    </row>
    <row r="24" spans="1:31">
      <c r="A24" s="162" t="s">
        <v>1486</v>
      </c>
      <c r="D24" s="161"/>
      <c r="E24" s="161"/>
      <c r="F24" s="161"/>
      <c r="G24" s="161"/>
      <c r="H24" s="161"/>
      <c r="I24" s="161"/>
      <c r="J24" s="1"/>
      <c r="K24" s="1"/>
      <c r="L24" s="1"/>
      <c r="M24" s="1"/>
      <c r="N24" s="1"/>
      <c r="O24" s="1"/>
      <c r="P24" s="1"/>
      <c r="Q24" s="1"/>
      <c r="R24" s="1"/>
      <c r="S24" s="1"/>
      <c r="T24" s="1"/>
      <c r="U24" s="1"/>
      <c r="V24" s="1"/>
      <c r="W24" s="1"/>
      <c r="X24" s="1"/>
      <c r="Y24" s="1"/>
      <c r="Z24" s="1"/>
      <c r="AA24" s="1"/>
      <c r="AB24" s="1"/>
      <c r="AC24" s="1"/>
      <c r="AD24" s="1"/>
    </row>
    <row r="25" spans="1:31">
      <c r="A25" s="1"/>
      <c r="B25" s="161"/>
      <c r="C25" s="161"/>
      <c r="D25" s="161"/>
      <c r="E25" s="161"/>
      <c r="F25" s="161"/>
      <c r="G25" s="161"/>
      <c r="H25" s="161"/>
      <c r="I25" s="161"/>
      <c r="J25" s="161"/>
      <c r="K25" s="1"/>
      <c r="L25" s="1"/>
      <c r="M25" s="1"/>
      <c r="N25" s="1"/>
      <c r="O25" s="1"/>
      <c r="P25" s="1"/>
      <c r="Q25" s="1"/>
      <c r="R25" s="1"/>
      <c r="S25" s="1"/>
      <c r="T25" s="1"/>
      <c r="U25" s="1"/>
      <c r="V25" s="1"/>
      <c r="W25" s="1"/>
      <c r="X25" s="1"/>
      <c r="Y25" s="1"/>
      <c r="Z25" s="1"/>
      <c r="AA25" s="1"/>
      <c r="AB25" s="1"/>
      <c r="AC25" s="1"/>
      <c r="AD25" s="1"/>
      <c r="AE25" s="1"/>
    </row>
    <row r="26" spans="1:31">
      <c r="B26" s="165"/>
      <c r="C26" s="165"/>
      <c r="D26" s="165"/>
      <c r="E26" s="165"/>
      <c r="F26" s="165"/>
      <c r="G26" s="165"/>
      <c r="H26" s="165"/>
      <c r="I26" s="165"/>
      <c r="J26" s="165"/>
    </row>
  </sheetData>
  <phoneticPr fontId="18" type="noConversion"/>
  <pageMargins left="0.78740157480314965" right="0.59055118110236227" top="1.7716535433070868" bottom="0.59055118110236227" header="0.51181102362204722" footer="0.51181102362204722"/>
  <pageSetup paperSize="258" scale="90" orientation="landscape"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E25"/>
  <sheetViews>
    <sheetView zoomScaleNormal="100" workbookViewId="0">
      <selection activeCell="B20" sqref="B20"/>
    </sheetView>
  </sheetViews>
  <sheetFormatPr baseColWidth="10" defaultRowHeight="12.75"/>
  <cols>
    <col min="1" max="2" width="5.5703125" customWidth="1"/>
    <col min="3" max="3" width="6.85546875" customWidth="1"/>
    <col min="4" max="4" width="4.5703125" customWidth="1"/>
    <col min="5" max="5" width="6.28515625" customWidth="1"/>
    <col min="6" max="6" width="5.7109375" customWidth="1"/>
    <col min="7" max="9" width="5.28515625" customWidth="1"/>
    <col min="10" max="10" width="4.7109375" customWidth="1"/>
    <col min="11" max="11" width="5.7109375" customWidth="1"/>
    <col min="12" max="12" width="4.42578125" customWidth="1"/>
    <col min="13" max="13" width="5.7109375" customWidth="1"/>
    <col min="14" max="14" width="4.28515625" customWidth="1"/>
    <col min="15" max="15" width="5.28515625" customWidth="1"/>
    <col min="16" max="16" width="4.28515625" customWidth="1"/>
    <col min="17" max="18" width="5.7109375" customWidth="1"/>
    <col min="19" max="19" width="5.28515625" customWidth="1"/>
    <col min="20" max="21" width="5" customWidth="1"/>
    <col min="22" max="22" width="4.28515625" customWidth="1"/>
    <col min="23" max="23" width="5.7109375" customWidth="1"/>
    <col min="24" max="24" width="4.28515625" customWidth="1"/>
    <col min="25" max="25" width="5.28515625" customWidth="1"/>
    <col min="26" max="26" width="4.7109375" customWidth="1"/>
    <col min="27" max="27" width="5.28515625" customWidth="1"/>
    <col min="28" max="28" width="4.28515625" customWidth="1"/>
    <col min="29" max="29" width="5.28515625" customWidth="1"/>
    <col min="30" max="30" width="4.5703125" customWidth="1"/>
    <col min="31" max="31" width="5" customWidth="1"/>
  </cols>
  <sheetData>
    <row r="1" spans="1:31" s="1067" customFormat="1">
      <c r="A1" s="1066" t="s">
        <v>624</v>
      </c>
      <c r="B1" s="1066"/>
      <c r="C1" s="1066"/>
      <c r="D1" s="1066"/>
      <c r="E1" s="1065"/>
      <c r="F1" s="1065"/>
      <c r="G1" s="1065"/>
      <c r="H1" s="1065"/>
      <c r="I1" s="1065"/>
      <c r="J1" s="1065"/>
      <c r="K1" s="1065"/>
      <c r="L1" s="1065"/>
      <c r="M1" s="1065"/>
      <c r="N1" s="1065"/>
      <c r="O1" s="1065"/>
      <c r="P1" s="1065"/>
      <c r="Q1" s="1065"/>
      <c r="R1" s="1065"/>
      <c r="S1" s="1065"/>
      <c r="T1" s="1065"/>
      <c r="U1" s="1065"/>
      <c r="V1" s="1065"/>
      <c r="W1" s="1065"/>
      <c r="X1" s="1065"/>
      <c r="Y1" s="1065"/>
      <c r="Z1" s="1065"/>
      <c r="AA1" s="1065"/>
      <c r="AB1" s="1065"/>
      <c r="AC1" s="1065"/>
      <c r="AD1" s="1065"/>
      <c r="AE1" s="1065"/>
    </row>
    <row r="2" spans="1:31" s="1067" customFormat="1">
      <c r="A2" s="1066"/>
      <c r="B2" s="1066"/>
      <c r="C2" s="1066"/>
      <c r="D2" s="1066"/>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row>
    <row r="3" spans="1:31" s="1067" customFormat="1">
      <c r="A3" s="1066" t="str">
        <f>+'24'!A3</f>
        <v>AÑOS   2014  - 2023</v>
      </c>
      <c r="B3" s="1066"/>
      <c r="C3" s="1066"/>
      <c r="D3" s="1066"/>
      <c r="E3" s="1065"/>
      <c r="F3" s="1065"/>
      <c r="G3" s="1065"/>
      <c r="H3" s="1065"/>
      <c r="I3" s="1065"/>
      <c r="J3" s="1065"/>
      <c r="K3" s="1065"/>
      <c r="L3" s="1065"/>
      <c r="M3" s="1065"/>
      <c r="N3" s="1065"/>
      <c r="O3" s="1065"/>
      <c r="P3" s="1065"/>
      <c r="Q3" s="1065"/>
      <c r="R3" s="1065"/>
      <c r="S3" s="1065"/>
      <c r="T3" s="1065"/>
      <c r="U3" s="1065"/>
      <c r="V3" s="1065"/>
      <c r="W3" s="1065"/>
      <c r="X3" s="1065"/>
      <c r="Y3" s="1065"/>
      <c r="Z3" s="1065"/>
      <c r="AA3" s="1065"/>
      <c r="AB3" s="1065"/>
      <c r="AC3" s="1065"/>
      <c r="AD3" s="1065"/>
      <c r="AE3" s="1065"/>
    </row>
    <row r="4" spans="1:31">
      <c r="A4" s="86"/>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row>
    <row r="5" spans="1:31">
      <c r="A5" s="1"/>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row>
    <row r="6" spans="1:31" ht="18.75" customHeight="1">
      <c r="A6" s="1058"/>
      <c r="B6" s="1059"/>
      <c r="C6" s="1060"/>
      <c r="D6" s="1059"/>
      <c r="E6" s="1060"/>
      <c r="F6" s="1059"/>
      <c r="G6" s="1060"/>
      <c r="H6" s="1032"/>
      <c r="I6" s="1033"/>
      <c r="J6" s="967" t="s">
        <v>596</v>
      </c>
      <c r="K6" s="967"/>
      <c r="L6" s="967"/>
      <c r="M6" s="967"/>
      <c r="N6" s="967"/>
      <c r="O6" s="967"/>
      <c r="P6" s="967"/>
      <c r="Q6" s="967"/>
      <c r="R6" s="967"/>
      <c r="S6" s="967"/>
      <c r="T6" s="967"/>
      <c r="U6" s="967"/>
      <c r="V6" s="967"/>
      <c r="W6" s="967"/>
      <c r="X6" s="967"/>
      <c r="Y6" s="967"/>
      <c r="Z6" s="967"/>
      <c r="AA6" s="967"/>
      <c r="AB6" s="967"/>
      <c r="AC6" s="967"/>
      <c r="AD6" s="1033"/>
      <c r="AE6" s="1034"/>
    </row>
    <row r="7" spans="1:31">
      <c r="A7" s="1042"/>
      <c r="B7" s="992"/>
      <c r="C7" s="1043"/>
      <c r="D7" s="992"/>
      <c r="E7" s="1045"/>
      <c r="F7" s="1037" t="s">
        <v>604</v>
      </c>
      <c r="G7" s="1061"/>
      <c r="H7" s="965" t="s">
        <v>605</v>
      </c>
      <c r="I7" s="1038"/>
      <c r="J7" s="1039"/>
      <c r="K7" s="1040"/>
      <c r="L7" s="1039"/>
      <c r="M7" s="1040"/>
      <c r="N7" s="1039"/>
      <c r="O7" s="1040"/>
      <c r="P7" s="1039"/>
      <c r="Q7" s="1040"/>
      <c r="R7" s="965" t="s">
        <v>605</v>
      </c>
      <c r="S7" s="1038"/>
      <c r="T7" s="1039"/>
      <c r="U7" s="1040"/>
      <c r="V7" s="1039"/>
      <c r="W7" s="1040"/>
      <c r="X7" s="1039"/>
      <c r="Y7" s="1040"/>
      <c r="Z7" s="1041"/>
      <c r="AA7" s="1040"/>
      <c r="AB7" s="1039"/>
      <c r="AC7" s="1040"/>
      <c r="AD7" s="1039"/>
      <c r="AE7" s="1040"/>
    </row>
    <row r="8" spans="1:31" ht="18.75" customHeight="1">
      <c r="A8" s="1042" t="s">
        <v>597</v>
      </c>
      <c r="B8" s="992" t="s">
        <v>602</v>
      </c>
      <c r="C8" s="992"/>
      <c r="D8" s="992" t="s">
        <v>603</v>
      </c>
      <c r="E8" s="1043"/>
      <c r="F8" s="992" t="s">
        <v>606</v>
      </c>
      <c r="G8" s="1043"/>
      <c r="H8" s="992" t="s">
        <v>587</v>
      </c>
      <c r="I8" s="1043"/>
      <c r="J8" s="992" t="s">
        <v>587</v>
      </c>
      <c r="K8" s="1043"/>
      <c r="L8" s="1044" t="s">
        <v>384</v>
      </c>
      <c r="M8" s="1045"/>
      <c r="N8" s="992" t="s">
        <v>608</v>
      </c>
      <c r="O8" s="1043"/>
      <c r="P8" s="992" t="s">
        <v>387</v>
      </c>
      <c r="Q8" s="1043"/>
      <c r="R8" s="992" t="s">
        <v>609</v>
      </c>
      <c r="S8" s="1043"/>
      <c r="T8" s="992" t="s">
        <v>609</v>
      </c>
      <c r="U8" s="1043"/>
      <c r="V8" s="992" t="s">
        <v>351</v>
      </c>
      <c r="W8" s="1043"/>
      <c r="X8" s="992" t="s">
        <v>369</v>
      </c>
      <c r="Y8" s="1043"/>
      <c r="Z8" s="992" t="s">
        <v>374</v>
      </c>
      <c r="AA8" s="1043"/>
      <c r="AB8" s="992" t="s">
        <v>610</v>
      </c>
      <c r="AC8" s="1043"/>
      <c r="AD8" s="992" t="s">
        <v>376</v>
      </c>
      <c r="AE8" s="1043"/>
    </row>
    <row r="9" spans="1:31" ht="20.25" customHeight="1">
      <c r="A9" s="1046"/>
      <c r="B9" s="1047" t="s">
        <v>614</v>
      </c>
      <c r="C9" s="1048" t="s">
        <v>615</v>
      </c>
      <c r="D9" s="1047" t="s">
        <v>614</v>
      </c>
      <c r="E9" s="1048" t="s">
        <v>615</v>
      </c>
      <c r="F9" s="1047" t="s">
        <v>614</v>
      </c>
      <c r="G9" s="1048" t="s">
        <v>615</v>
      </c>
      <c r="H9" s="1047" t="s">
        <v>614</v>
      </c>
      <c r="I9" s="1049" t="s">
        <v>615</v>
      </c>
      <c r="J9" s="1047" t="s">
        <v>614</v>
      </c>
      <c r="K9" s="1049" t="s">
        <v>615</v>
      </c>
      <c r="L9" s="1047" t="s">
        <v>614</v>
      </c>
      <c r="M9" s="1048" t="s">
        <v>615</v>
      </c>
      <c r="N9" s="1047" t="s">
        <v>614</v>
      </c>
      <c r="O9" s="1048" t="s">
        <v>615</v>
      </c>
      <c r="P9" s="1047" t="s">
        <v>614</v>
      </c>
      <c r="Q9" s="1048" t="s">
        <v>615</v>
      </c>
      <c r="R9" s="1047" t="s">
        <v>614</v>
      </c>
      <c r="S9" s="1049" t="s">
        <v>615</v>
      </c>
      <c r="T9" s="1047" t="s">
        <v>614</v>
      </c>
      <c r="U9" s="1048" t="s">
        <v>615</v>
      </c>
      <c r="V9" s="1047" t="s">
        <v>614</v>
      </c>
      <c r="W9" s="1048" t="s">
        <v>615</v>
      </c>
      <c r="X9" s="1047" t="s">
        <v>614</v>
      </c>
      <c r="Y9" s="1048" t="s">
        <v>615</v>
      </c>
      <c r="Z9" s="1047" t="s">
        <v>614</v>
      </c>
      <c r="AA9" s="1048" t="s">
        <v>615</v>
      </c>
      <c r="AB9" s="1047" t="s">
        <v>614</v>
      </c>
      <c r="AC9" s="1048" t="s">
        <v>615</v>
      </c>
      <c r="AD9" s="1047" t="s">
        <v>614</v>
      </c>
      <c r="AE9" s="1048" t="s">
        <v>615</v>
      </c>
    </row>
    <row r="10" spans="1:31">
      <c r="A10" s="66"/>
      <c r="B10" s="206"/>
      <c r="C10" s="207"/>
      <c r="D10" s="206"/>
      <c r="E10" s="207"/>
      <c r="F10" s="206"/>
      <c r="G10" s="207"/>
      <c r="H10" s="208"/>
      <c r="I10" s="208"/>
      <c r="J10" s="206"/>
      <c r="K10" s="207"/>
      <c r="L10" s="206"/>
      <c r="M10" s="207"/>
      <c r="N10" s="206"/>
      <c r="O10" s="207"/>
      <c r="P10" s="206"/>
      <c r="Q10" s="207"/>
      <c r="R10" s="208"/>
      <c r="S10" s="208"/>
      <c r="T10" s="206"/>
      <c r="U10" s="207"/>
      <c r="V10" s="206"/>
      <c r="W10" s="207"/>
      <c r="X10" s="206"/>
      <c r="Y10" s="207"/>
      <c r="Z10" s="206"/>
      <c r="AA10" s="207"/>
      <c r="AB10" s="206"/>
      <c r="AC10" s="207"/>
      <c r="AD10" s="208"/>
      <c r="AE10" s="207"/>
    </row>
    <row r="11" spans="1:31" s="6" customFormat="1" ht="26.25" customHeight="1">
      <c r="A11" s="186">
        <f>+'24'!A11</f>
        <v>2014</v>
      </c>
      <c r="B11" s="152">
        <v>38</v>
      </c>
      <c r="C11" s="196">
        <f>+B11/'18'!B11*10000</f>
        <v>1.5582839193301019</v>
      </c>
      <c r="D11" s="188">
        <v>2</v>
      </c>
      <c r="E11" s="196">
        <f>+D11/'18'!D11*10000</f>
        <v>0.82487833044625913</v>
      </c>
      <c r="F11" s="152">
        <v>2</v>
      </c>
      <c r="G11" s="196">
        <f>+F11/'18'!F11*10000</f>
        <v>5.329070077271516</v>
      </c>
      <c r="H11" s="152">
        <v>1</v>
      </c>
      <c r="I11" s="197">
        <f>+H11/'18'!H11*10000</f>
        <v>6.4061499039077514</v>
      </c>
      <c r="J11" s="152">
        <v>0</v>
      </c>
      <c r="K11" s="196">
        <f>+J11/'18'!J11*10000</f>
        <v>0</v>
      </c>
      <c r="L11" s="188">
        <v>1</v>
      </c>
      <c r="M11" s="191">
        <f>+L11/'18'!L11*10000</f>
        <v>39.370078740157481</v>
      </c>
      <c r="N11" s="188">
        <v>0</v>
      </c>
      <c r="O11" s="191">
        <f>+N11/'18'!N11*10000</f>
        <v>0</v>
      </c>
      <c r="P11" s="188">
        <v>0</v>
      </c>
      <c r="Q11" s="191">
        <f>+P11/'18'!P11*10000</f>
        <v>0</v>
      </c>
      <c r="R11" s="153">
        <v>1</v>
      </c>
      <c r="S11" s="197">
        <f>+R11/'18'!R11*10000</f>
        <v>4.562043795620438</v>
      </c>
      <c r="T11" s="152">
        <v>1</v>
      </c>
      <c r="U11" s="191">
        <f>+T11/'18'!T11*10000</f>
        <v>9.0826521344232507</v>
      </c>
      <c r="V11" s="188">
        <v>0</v>
      </c>
      <c r="W11" s="191">
        <f>+V11/'18'!V11*10000</f>
        <v>0</v>
      </c>
      <c r="X11" s="188">
        <v>0</v>
      </c>
      <c r="Y11" s="191">
        <f>+X11/'18'!X11*10000</f>
        <v>0</v>
      </c>
      <c r="Z11" s="188">
        <v>0</v>
      </c>
      <c r="AA11" s="191">
        <f>+Z11/'18'!Z11*10000</f>
        <v>0</v>
      </c>
      <c r="AB11" s="188">
        <v>0</v>
      </c>
      <c r="AC11" s="191">
        <f>+AB11/'18'!AB11*10000</f>
        <v>0</v>
      </c>
      <c r="AD11" s="189">
        <v>0</v>
      </c>
      <c r="AE11" s="191">
        <f>+AD11/'18'!AD11*10000</f>
        <v>0</v>
      </c>
    </row>
    <row r="12" spans="1:31" s="6" customFormat="1" ht="26.25" customHeight="1">
      <c r="A12" s="186">
        <f>+'24'!A12</f>
        <v>2015</v>
      </c>
      <c r="B12" s="152">
        <v>38</v>
      </c>
      <c r="C12" s="196">
        <f>+B12/'18'!B12*10000</f>
        <v>1.553112355417501</v>
      </c>
      <c r="D12" s="188">
        <v>1</v>
      </c>
      <c r="E12" s="196">
        <f>+D12/'18'!D12*10000</f>
        <v>0.42376472582422242</v>
      </c>
      <c r="F12" s="152">
        <v>1</v>
      </c>
      <c r="G12" s="196">
        <f>+F12/'18'!F12*10000</f>
        <v>2.5913449080072559</v>
      </c>
      <c r="H12" s="152">
        <v>1</v>
      </c>
      <c r="I12" s="197">
        <f>+H12/'18'!H12*10000</f>
        <v>6.337135614702154</v>
      </c>
      <c r="J12" s="152">
        <v>1</v>
      </c>
      <c r="K12" s="196">
        <f>+J12/'18'!J12*10000</f>
        <v>10.319917440660474</v>
      </c>
      <c r="L12" s="188">
        <v>0</v>
      </c>
      <c r="M12" s="191">
        <f>+L12/'18'!L12*10000</f>
        <v>0</v>
      </c>
      <c r="N12" s="188">
        <v>0</v>
      </c>
      <c r="O12" s="191">
        <f>+N12/'18'!N12*10000</f>
        <v>0</v>
      </c>
      <c r="P12" s="188">
        <v>0</v>
      </c>
      <c r="Q12" s="191">
        <f>+P12/'18'!P12*10000</f>
        <v>0</v>
      </c>
      <c r="R12" s="153">
        <v>0</v>
      </c>
      <c r="S12" s="197">
        <f>+R12/'18'!R12*10000</f>
        <v>0</v>
      </c>
      <c r="T12" s="152">
        <v>0</v>
      </c>
      <c r="U12" s="191">
        <f>+T12/'18'!T12*10000</f>
        <v>0</v>
      </c>
      <c r="V12" s="188">
        <v>0</v>
      </c>
      <c r="W12" s="191">
        <f>+V12/'18'!V12*10000</f>
        <v>0</v>
      </c>
      <c r="X12" s="188">
        <v>0</v>
      </c>
      <c r="Y12" s="191">
        <f>+X12/'18'!X12*10000</f>
        <v>0</v>
      </c>
      <c r="Z12" s="188">
        <v>0</v>
      </c>
      <c r="AA12" s="191">
        <f>+Z12/'18'!Z12*10000</f>
        <v>0</v>
      </c>
      <c r="AB12" s="188">
        <v>0</v>
      </c>
      <c r="AC12" s="191">
        <f>+AB12/'18'!AB12*10000</f>
        <v>0</v>
      </c>
      <c r="AD12" s="189">
        <v>0</v>
      </c>
      <c r="AE12" s="191">
        <f>+AD12/'18'!AD12*10000</f>
        <v>0</v>
      </c>
    </row>
    <row r="13" spans="1:31" s="6" customFormat="1" ht="26.25" customHeight="1">
      <c r="A13" s="186">
        <f>+'24'!A13</f>
        <v>2016</v>
      </c>
      <c r="B13" s="152">
        <v>34</v>
      </c>
      <c r="C13" s="196">
        <f>+B13/'18'!B13*10000</f>
        <v>1.4728178470868529</v>
      </c>
      <c r="D13" s="188">
        <v>1</v>
      </c>
      <c r="E13" s="196">
        <f>+D13/'18'!D13*10000</f>
        <v>0.55875286360842602</v>
      </c>
      <c r="F13" s="152">
        <v>1</v>
      </c>
      <c r="G13" s="196">
        <f>+F13/'18'!F13*10000</f>
        <v>3.0385900941962927</v>
      </c>
      <c r="H13" s="152">
        <v>0</v>
      </c>
      <c r="I13" s="197">
        <f>+H13/'18'!H13*10000</f>
        <v>0</v>
      </c>
      <c r="J13" s="152">
        <v>0</v>
      </c>
      <c r="K13" s="196">
        <f>+J13/'18'!J13*10000</f>
        <v>0</v>
      </c>
      <c r="L13" s="188">
        <v>0</v>
      </c>
      <c r="M13" s="191">
        <f>+L13/'18'!L13*10000</f>
        <v>0</v>
      </c>
      <c r="N13" s="188">
        <v>0</v>
      </c>
      <c r="O13" s="191">
        <f>+N13/'18'!N13*10000</f>
        <v>0</v>
      </c>
      <c r="P13" s="188">
        <v>0</v>
      </c>
      <c r="Q13" s="191">
        <f>+P13/'18'!P13*10000</f>
        <v>0</v>
      </c>
      <c r="R13" s="153">
        <v>1</v>
      </c>
      <c r="S13" s="197">
        <f>+R13/'18'!R13*10000</f>
        <v>5.1706308169596698</v>
      </c>
      <c r="T13" s="152">
        <v>0</v>
      </c>
      <c r="U13" s="191">
        <f>+T13/'18'!T13*10000</f>
        <v>0</v>
      </c>
      <c r="V13" s="188">
        <v>1</v>
      </c>
      <c r="W13" s="191">
        <f>+V13/'18'!V13*10000</f>
        <v>56.497175141242934</v>
      </c>
      <c r="X13" s="188">
        <v>0</v>
      </c>
      <c r="Y13" s="191">
        <f>+X13/'18'!X13*10000</f>
        <v>0</v>
      </c>
      <c r="Z13" s="188">
        <v>0</v>
      </c>
      <c r="AA13" s="191">
        <f>+Z13/'18'!Z13*10000</f>
        <v>0</v>
      </c>
      <c r="AB13" s="188">
        <v>0</v>
      </c>
      <c r="AC13" s="191">
        <f>+AB13/'18'!AB13*10000</f>
        <v>0</v>
      </c>
      <c r="AD13" s="189">
        <v>0</v>
      </c>
      <c r="AE13" s="191">
        <f>+AD13/'18'!AD13*10000</f>
        <v>0</v>
      </c>
    </row>
    <row r="14" spans="1:31" s="6" customFormat="1" ht="26.25" customHeight="1">
      <c r="A14" s="186">
        <f>+'24'!A14</f>
        <v>2017</v>
      </c>
      <c r="B14" s="152">
        <v>33</v>
      </c>
      <c r="C14" s="196">
        <f>+B14/'18'!B14*10000</f>
        <v>1.5045615570844333</v>
      </c>
      <c r="D14" s="188">
        <v>3</v>
      </c>
      <c r="E14" s="196">
        <f>+D14/'18'!D14*10000</f>
        <v>1.4754340235085821</v>
      </c>
      <c r="F14" s="152">
        <v>1</v>
      </c>
      <c r="G14" s="196">
        <f>+F14/'18'!F14*10000</f>
        <v>3.3568311513930849</v>
      </c>
      <c r="H14" s="152">
        <v>0</v>
      </c>
      <c r="I14" s="197">
        <f>+H14/'18'!H14*10000</f>
        <v>0</v>
      </c>
      <c r="J14" s="152">
        <v>0</v>
      </c>
      <c r="K14" s="196">
        <f>+J14/'18'!J14*10000</f>
        <v>0</v>
      </c>
      <c r="L14" s="188">
        <v>0</v>
      </c>
      <c r="M14" s="191">
        <f>+L14/'18'!L14*10000</f>
        <v>0</v>
      </c>
      <c r="N14" s="188">
        <v>0</v>
      </c>
      <c r="O14" s="191">
        <f>+N14/'18'!N14*10000</f>
        <v>0</v>
      </c>
      <c r="P14" s="188">
        <v>0</v>
      </c>
      <c r="Q14" s="191">
        <f>+P14/'18'!P14*10000</f>
        <v>0</v>
      </c>
      <c r="R14" s="153">
        <v>1</v>
      </c>
      <c r="S14" s="197">
        <f>+R14/'18'!R14*10000</f>
        <v>5.614823133071309</v>
      </c>
      <c r="T14" s="152">
        <v>0</v>
      </c>
      <c r="U14" s="191">
        <f>+T14/'18'!T14*10000</f>
        <v>0</v>
      </c>
      <c r="V14" s="188">
        <v>0</v>
      </c>
      <c r="W14" s="191">
        <f>+V14/'18'!V14*10000</f>
        <v>0</v>
      </c>
      <c r="X14" s="188">
        <v>1</v>
      </c>
      <c r="Y14" s="191">
        <f>+X14/'18'!X14*10000</f>
        <v>69.930069930069934</v>
      </c>
      <c r="Z14" s="188">
        <v>0</v>
      </c>
      <c r="AA14" s="191">
        <f>+Z14/'18'!Z14*10000</f>
        <v>0</v>
      </c>
      <c r="AB14" s="188">
        <v>0</v>
      </c>
      <c r="AC14" s="191">
        <f>+AB14/'18'!AB14*10000</f>
        <v>0</v>
      </c>
      <c r="AD14" s="189">
        <v>0</v>
      </c>
      <c r="AE14" s="191">
        <f>+AD14/'18'!AD14*10000</f>
        <v>0</v>
      </c>
    </row>
    <row r="15" spans="1:31" s="6" customFormat="1" ht="26.25" customHeight="1">
      <c r="A15" s="186">
        <f>+'24'!A15</f>
        <v>2018</v>
      </c>
      <c r="B15" s="152">
        <v>34</v>
      </c>
      <c r="C15" s="196">
        <f>+B15/'18'!B15*10000</f>
        <v>1.5333895576171128</v>
      </c>
      <c r="D15" s="188">
        <v>0</v>
      </c>
      <c r="E15" s="196">
        <f>+D15/'18'!D15*10000</f>
        <v>0</v>
      </c>
      <c r="F15" s="152">
        <v>0</v>
      </c>
      <c r="G15" s="196">
        <f>+F15/'18'!F15*10000</f>
        <v>0</v>
      </c>
      <c r="H15" s="152">
        <v>0</v>
      </c>
      <c r="I15" s="197">
        <f>+H15/'18'!H15*10000</f>
        <v>0</v>
      </c>
      <c r="J15" s="152">
        <v>0</v>
      </c>
      <c r="K15" s="196">
        <f>+J15/'18'!J15*10000</f>
        <v>0</v>
      </c>
      <c r="L15" s="188">
        <v>0</v>
      </c>
      <c r="M15" s="191">
        <f>+L15/'18'!L15*10000</f>
        <v>0</v>
      </c>
      <c r="N15" s="188">
        <v>0</v>
      </c>
      <c r="O15" s="191">
        <f>+N15/'18'!N15*10000</f>
        <v>0</v>
      </c>
      <c r="P15" s="188">
        <v>0</v>
      </c>
      <c r="Q15" s="191">
        <f>+P15/'18'!P15*10000</f>
        <v>0</v>
      </c>
      <c r="R15" s="153">
        <v>0</v>
      </c>
      <c r="S15" s="197">
        <f>+R15/'18'!R15*10000</f>
        <v>0</v>
      </c>
      <c r="T15" s="152">
        <v>0</v>
      </c>
      <c r="U15" s="191">
        <f>+T15/'18'!T15*10000</f>
        <v>0</v>
      </c>
      <c r="V15" s="188">
        <v>0</v>
      </c>
      <c r="W15" s="191">
        <f>+V15/'18'!V15*10000</f>
        <v>0</v>
      </c>
      <c r="X15" s="188">
        <v>0</v>
      </c>
      <c r="Y15" s="191">
        <f>+X15/'18'!X15*10000</f>
        <v>0</v>
      </c>
      <c r="Z15" s="188">
        <v>0</v>
      </c>
      <c r="AA15" s="191">
        <f>+Z15/'18'!Z15*10000</f>
        <v>0</v>
      </c>
      <c r="AB15" s="188">
        <v>0</v>
      </c>
      <c r="AC15" s="191">
        <f>+AB15/'18'!AB15*10000</f>
        <v>0</v>
      </c>
      <c r="AD15" s="189">
        <v>0</v>
      </c>
      <c r="AE15" s="191">
        <f>+AD15/'18'!AD15*10000</f>
        <v>0</v>
      </c>
    </row>
    <row r="16" spans="1:31" s="6" customFormat="1" ht="26.25" customHeight="1">
      <c r="A16" s="186">
        <f>+'24'!A16</f>
        <v>2019</v>
      </c>
      <c r="B16" s="152">
        <v>33</v>
      </c>
      <c r="C16" s="196">
        <f>+B16/'18'!B16*10000</f>
        <v>1.5811185695189087</v>
      </c>
      <c r="D16" s="188">
        <v>4</v>
      </c>
      <c r="E16" s="196">
        <f>+D16/'18'!D16*10000</f>
        <v>2.0582484305855715</v>
      </c>
      <c r="F16" s="152">
        <v>1</v>
      </c>
      <c r="G16" s="196">
        <f>+F16/'18'!F16*10000</f>
        <v>3.2226877215597813</v>
      </c>
      <c r="H16" s="152">
        <v>0</v>
      </c>
      <c r="I16" s="197">
        <f>+H16/'18'!H16*10000</f>
        <v>0</v>
      </c>
      <c r="J16" s="152">
        <v>0</v>
      </c>
      <c r="K16" s="196">
        <f>+J16/'18'!J16*10000</f>
        <v>0</v>
      </c>
      <c r="L16" s="188">
        <v>0</v>
      </c>
      <c r="M16" s="191">
        <f>+L16/'18'!L16*10000</f>
        <v>0</v>
      </c>
      <c r="N16" s="188">
        <v>0</v>
      </c>
      <c r="O16" s="191">
        <f>+N16/'18'!N16*10000</f>
        <v>0</v>
      </c>
      <c r="P16" s="188">
        <v>0</v>
      </c>
      <c r="Q16" s="191">
        <f>+P16/'18'!P16*10000</f>
        <v>0</v>
      </c>
      <c r="R16" s="153">
        <v>1</v>
      </c>
      <c r="S16" s="197">
        <f>+R16/'18'!R16*10000</f>
        <v>5.2493438320209975</v>
      </c>
      <c r="T16" s="152">
        <v>1</v>
      </c>
      <c r="U16" s="191">
        <f>+T16/'18'!T16*10000</f>
        <v>9.6061479346781944</v>
      </c>
      <c r="V16" s="188">
        <v>0</v>
      </c>
      <c r="W16" s="191">
        <f>+V16/'18'!V16*10000</f>
        <v>0</v>
      </c>
      <c r="X16" s="188">
        <v>0</v>
      </c>
      <c r="Y16" s="191">
        <f>+X16/'18'!X16*10000</f>
        <v>0</v>
      </c>
      <c r="Z16" s="188">
        <v>0</v>
      </c>
      <c r="AA16" s="191">
        <f>+Z16/'18'!Z16*10000</f>
        <v>0</v>
      </c>
      <c r="AB16" s="188">
        <v>0</v>
      </c>
      <c r="AC16" s="191">
        <f>+AB16/'18'!AB16*10000</f>
        <v>0</v>
      </c>
      <c r="AD16" s="189">
        <v>0</v>
      </c>
      <c r="AE16" s="191">
        <f>+AD16/'18'!AD16*10000</f>
        <v>0</v>
      </c>
    </row>
    <row r="17" spans="1:31" s="6" customFormat="1" ht="26.25" customHeight="1">
      <c r="A17" s="186">
        <f>+'24'!A17</f>
        <v>2020</v>
      </c>
      <c r="B17" s="152">
        <v>34</v>
      </c>
      <c r="C17" s="196">
        <f>+B17/'18'!B17*10000</f>
        <v>1.7343310838038981</v>
      </c>
      <c r="D17" s="188">
        <v>8</v>
      </c>
      <c r="E17" s="196">
        <f>+D17/'18'!D17*10000</f>
        <v>4.3405132656936685</v>
      </c>
      <c r="F17" s="152">
        <v>0</v>
      </c>
      <c r="G17" s="196">
        <f>+F17/'18'!F17*10000</f>
        <v>0</v>
      </c>
      <c r="H17" s="152">
        <v>0</v>
      </c>
      <c r="I17" s="197">
        <f>+H17/'18'!H17*10000</f>
        <v>0</v>
      </c>
      <c r="J17" s="152">
        <v>0</v>
      </c>
      <c r="K17" s="196">
        <f>+J17/'18'!J17*10000</f>
        <v>0</v>
      </c>
      <c r="L17" s="188">
        <v>0</v>
      </c>
      <c r="M17" s="191">
        <f>+L17/'18'!L17*10000</f>
        <v>0</v>
      </c>
      <c r="N17" s="188">
        <v>0</v>
      </c>
      <c r="O17" s="191">
        <f>+N17/'18'!N17*10000</f>
        <v>0</v>
      </c>
      <c r="P17" s="188">
        <v>0</v>
      </c>
      <c r="Q17" s="191">
        <f>+P17/'18'!P17*10000</f>
        <v>0</v>
      </c>
      <c r="R17" s="153">
        <v>0</v>
      </c>
      <c r="S17" s="197">
        <f>+R17/'18'!R17*10000</f>
        <v>0</v>
      </c>
      <c r="T17" s="152">
        <v>0</v>
      </c>
      <c r="U17" s="191">
        <f>+T17/'18'!T17*10000</f>
        <v>0</v>
      </c>
      <c r="V17" s="188">
        <v>0</v>
      </c>
      <c r="W17" s="191">
        <f>+V17/'18'!V17*10000</f>
        <v>0</v>
      </c>
      <c r="X17" s="188">
        <v>0</v>
      </c>
      <c r="Y17" s="191">
        <f>+X17/'18'!X17*10000</f>
        <v>0</v>
      </c>
      <c r="Z17" s="188">
        <v>0</v>
      </c>
      <c r="AA17" s="191">
        <f>+Z17/'18'!Z17*10000</f>
        <v>0</v>
      </c>
      <c r="AB17" s="188">
        <v>0</v>
      </c>
      <c r="AC17" s="191">
        <f>+AB17/'18'!AB17*10000</f>
        <v>0</v>
      </c>
      <c r="AD17" s="189">
        <v>0</v>
      </c>
      <c r="AE17" s="191">
        <f>+AD17/'18'!AD17*10000</f>
        <v>0</v>
      </c>
    </row>
    <row r="18" spans="1:31" s="6" customFormat="1" ht="26.25" customHeight="1">
      <c r="A18" s="186">
        <f>+'24'!A18</f>
        <v>2021</v>
      </c>
      <c r="B18" s="152">
        <v>43</v>
      </c>
      <c r="C18" s="196">
        <f>+B18/'18'!B18*10000</f>
        <v>2.4256372938913429</v>
      </c>
      <c r="D18" s="188">
        <v>0</v>
      </c>
      <c r="E18" s="196">
        <f>+D18/'18'!D18*10000</f>
        <v>0</v>
      </c>
      <c r="F18" s="152">
        <v>0</v>
      </c>
      <c r="G18" s="196">
        <f>+F18/'18'!F18*10000</f>
        <v>0</v>
      </c>
      <c r="H18" s="152">
        <v>0</v>
      </c>
      <c r="I18" s="197">
        <f>+H18/'18'!H18*10000</f>
        <v>0</v>
      </c>
      <c r="J18" s="152">
        <v>0</v>
      </c>
      <c r="K18" s="196">
        <f>+J18/'18'!J18*10000</f>
        <v>0</v>
      </c>
      <c r="L18" s="188">
        <v>0</v>
      </c>
      <c r="M18" s="191">
        <f>+L18/'18'!L18*10000</f>
        <v>0</v>
      </c>
      <c r="N18" s="188">
        <v>0</v>
      </c>
      <c r="O18" s="191">
        <f>+N18/'18'!N18*10000</f>
        <v>0</v>
      </c>
      <c r="P18" s="188">
        <v>0</v>
      </c>
      <c r="Q18" s="191">
        <f>+P18/'18'!P18*10000</f>
        <v>0</v>
      </c>
      <c r="R18" s="153">
        <v>0</v>
      </c>
      <c r="S18" s="197">
        <f>+R18/'18'!R18*10000</f>
        <v>0</v>
      </c>
      <c r="T18" s="152">
        <v>0</v>
      </c>
      <c r="U18" s="191">
        <f>+T18/'18'!T18*10000</f>
        <v>0</v>
      </c>
      <c r="V18" s="188">
        <v>0</v>
      </c>
      <c r="W18" s="191">
        <f>+V18/'18'!V18*10000</f>
        <v>0</v>
      </c>
      <c r="X18" s="188">
        <v>0</v>
      </c>
      <c r="Y18" s="191">
        <f>+X18/'18'!X18*10000</f>
        <v>0</v>
      </c>
      <c r="Z18" s="188">
        <v>0</v>
      </c>
      <c r="AA18" s="191">
        <f>+Z18/'18'!Z18*10000</f>
        <v>0</v>
      </c>
      <c r="AB18" s="188">
        <v>0</v>
      </c>
      <c r="AC18" s="191">
        <f>+AB18/'18'!AB18*10000</f>
        <v>0</v>
      </c>
      <c r="AD18" s="189">
        <v>0</v>
      </c>
      <c r="AE18" s="191">
        <f>+AD18/'18'!AD18*10000</f>
        <v>0</v>
      </c>
    </row>
    <row r="19" spans="1:31" s="6" customFormat="1" ht="26.25" customHeight="1">
      <c r="A19" s="186">
        <f>+'24'!A19</f>
        <v>2022</v>
      </c>
      <c r="B19" s="152">
        <v>27</v>
      </c>
      <c r="C19" s="196">
        <f>+B19/'18'!B19*10000</f>
        <v>1.3596329998036085</v>
      </c>
      <c r="D19" s="188">
        <v>1</v>
      </c>
      <c r="E19" s="196">
        <f>+D19/'18'!D19*10000</f>
        <v>0.65066042032663152</v>
      </c>
      <c r="F19" s="152">
        <f>+J19+L19+N19+P19+T19+V19+X19+Z19+AB19+AD19</f>
        <v>1</v>
      </c>
      <c r="G19" s="196">
        <f>+F19/'18'!F19*10000</f>
        <v>4.1631973355537051</v>
      </c>
      <c r="H19" s="152">
        <f>+J19+L19+N19+P19</f>
        <v>0</v>
      </c>
      <c r="I19" s="197">
        <f>+H19/'18'!H19*10000</f>
        <v>0</v>
      </c>
      <c r="J19" s="152">
        <v>0</v>
      </c>
      <c r="K19" s="196">
        <f>+J19/'18'!J19*10000</f>
        <v>0</v>
      </c>
      <c r="L19" s="188">
        <v>0</v>
      </c>
      <c r="M19" s="191">
        <f>+L19/'18'!L19*10000</f>
        <v>0</v>
      </c>
      <c r="N19" s="188">
        <v>0</v>
      </c>
      <c r="O19" s="191">
        <f>+N19/'18'!N19*10000</f>
        <v>0</v>
      </c>
      <c r="P19" s="188">
        <v>0</v>
      </c>
      <c r="Q19" s="191">
        <f>+P19/'18'!P19*10000</f>
        <v>0</v>
      </c>
      <c r="R19" s="153">
        <f>+T19+V19+X19+Z19+AB19+AD19</f>
        <v>1</v>
      </c>
      <c r="S19" s="197">
        <f>+R19/'18'!R19*10000</f>
        <v>6.887052341597796</v>
      </c>
      <c r="T19" s="152">
        <v>1</v>
      </c>
      <c r="U19" s="191">
        <f>+T19/'18'!T19*10000</f>
        <v>13.531799729364007</v>
      </c>
      <c r="V19" s="188">
        <v>0</v>
      </c>
      <c r="W19" s="191">
        <f>+V19/'18'!V19*10000</f>
        <v>0</v>
      </c>
      <c r="X19" s="188">
        <v>0</v>
      </c>
      <c r="Y19" s="191">
        <f>+X19/'18'!X19*10000</f>
        <v>0</v>
      </c>
      <c r="Z19" s="188">
        <v>0</v>
      </c>
      <c r="AA19" s="191">
        <f>+Z19/'18'!Z19*10000</f>
        <v>0</v>
      </c>
      <c r="AB19" s="188">
        <v>0</v>
      </c>
      <c r="AC19" s="191">
        <f>+AB19/'18'!AB19*10000</f>
        <v>0</v>
      </c>
      <c r="AD19" s="189">
        <v>0</v>
      </c>
      <c r="AE19" s="191">
        <f>+AD19/'18'!AD19*10000</f>
        <v>0</v>
      </c>
    </row>
    <row r="20" spans="1:31" s="6" customFormat="1" ht="26.25" customHeight="1">
      <c r="A20" s="186">
        <f>+'24'!A20</f>
        <v>2023</v>
      </c>
      <c r="B20" s="152">
        <v>36</v>
      </c>
      <c r="C20" s="196">
        <f>+B20/'18'!B20*10000</f>
        <v>2.0596261778487204</v>
      </c>
      <c r="D20" s="188">
        <v>2</v>
      </c>
      <c r="E20" s="196">
        <f>+D20/'18'!D20*10000</f>
        <v>1.1837121212121213</v>
      </c>
      <c r="F20" s="152">
        <f>+J20+L20+N20+P20+T20+V20+X20+Z20+AB20+AD20</f>
        <v>0</v>
      </c>
      <c r="G20" s="196">
        <f>+F20/'18'!F20*10000</f>
        <v>0</v>
      </c>
      <c r="H20" s="152">
        <f>+J20+L20+N20+P20</f>
        <v>0</v>
      </c>
      <c r="I20" s="197">
        <f>+H20/'18'!H20*10000</f>
        <v>0</v>
      </c>
      <c r="J20" s="152">
        <v>0</v>
      </c>
      <c r="K20" s="196">
        <f>+J20/'18'!J20*10000</f>
        <v>0</v>
      </c>
      <c r="L20" s="188">
        <v>0</v>
      </c>
      <c r="M20" s="191">
        <f>+L20/'18'!L20*10000</f>
        <v>0</v>
      </c>
      <c r="N20" s="188">
        <v>0</v>
      </c>
      <c r="O20" s="191">
        <f>+N20/'18'!N20*10000</f>
        <v>0</v>
      </c>
      <c r="P20" s="188">
        <v>0</v>
      </c>
      <c r="Q20" s="191">
        <f>+P20/'18'!P20*10000</f>
        <v>0</v>
      </c>
      <c r="R20" s="153">
        <f>+T20+V20+X20+Z20+AB20+AD20</f>
        <v>0</v>
      </c>
      <c r="S20" s="197">
        <f>+R20/'18'!R20*10000</f>
        <v>0</v>
      </c>
      <c r="T20" s="152">
        <v>0</v>
      </c>
      <c r="U20" s="191">
        <f>+T20/'18'!T20*10000</f>
        <v>0</v>
      </c>
      <c r="V20" s="188">
        <v>0</v>
      </c>
      <c r="W20" s="191">
        <f>+V20/'18'!V20*10000</f>
        <v>0</v>
      </c>
      <c r="X20" s="188">
        <v>0</v>
      </c>
      <c r="Y20" s="191">
        <f>+X20/'18'!X20*10000</f>
        <v>0</v>
      </c>
      <c r="Z20" s="188">
        <v>0</v>
      </c>
      <c r="AA20" s="191">
        <f>+Z20/'18'!Z20*10000</f>
        <v>0</v>
      </c>
      <c r="AB20" s="188">
        <v>0</v>
      </c>
      <c r="AC20" s="191">
        <f>+AB20/'18'!AB20*10000</f>
        <v>0</v>
      </c>
      <c r="AD20" s="189">
        <v>0</v>
      </c>
      <c r="AE20" s="191">
        <f>+AD20/'18'!AD20*10000</f>
        <v>0</v>
      </c>
    </row>
    <row r="21" spans="1:31">
      <c r="A21" s="192"/>
      <c r="B21" s="155"/>
      <c r="C21" s="193"/>
      <c r="D21" s="155"/>
      <c r="E21" s="193"/>
      <c r="F21" s="160"/>
      <c r="G21" s="193"/>
      <c r="H21" s="194"/>
      <c r="I21" s="194"/>
      <c r="J21" s="155"/>
      <c r="K21" s="193"/>
      <c r="L21" s="155"/>
      <c r="M21" s="193"/>
      <c r="N21" s="155"/>
      <c r="O21" s="193"/>
      <c r="P21" s="155"/>
      <c r="Q21" s="193"/>
      <c r="R21" s="194"/>
      <c r="S21" s="194"/>
      <c r="T21" s="155"/>
      <c r="U21" s="193"/>
      <c r="V21" s="155"/>
      <c r="W21" s="193"/>
      <c r="X21" s="155"/>
      <c r="Y21" s="193"/>
      <c r="Z21" s="155"/>
      <c r="AA21" s="193"/>
      <c r="AB21" s="155"/>
      <c r="AC21" s="193"/>
      <c r="AD21" s="194"/>
      <c r="AE21" s="193"/>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65" t="str">
        <f>+'21'!A23</f>
        <v>AÑO   2023  :   DATOS POR RESIDENCIA</v>
      </c>
      <c r="B23" s="165"/>
      <c r="C23" s="165"/>
      <c r="D23" s="165"/>
      <c r="E23" s="165"/>
      <c r="F23" s="165"/>
      <c r="G23" s="165"/>
      <c r="H23" s="165"/>
      <c r="I23" s="165"/>
      <c r="J23" s="161"/>
      <c r="K23" s="161"/>
      <c r="L23" s="1"/>
      <c r="M23" s="1"/>
      <c r="N23" s="1"/>
      <c r="O23" s="1"/>
      <c r="P23" s="1"/>
      <c r="Q23" s="1"/>
      <c r="R23" s="1"/>
      <c r="S23" s="1"/>
      <c r="T23" s="1"/>
      <c r="U23" s="1"/>
      <c r="V23" s="1"/>
      <c r="W23" s="1"/>
      <c r="X23" s="1"/>
      <c r="Y23" s="1"/>
      <c r="Z23" s="1"/>
      <c r="AA23" s="1"/>
      <c r="AB23" s="1"/>
      <c r="AC23" s="1"/>
      <c r="AD23" s="1"/>
    </row>
    <row r="24" spans="1:31">
      <c r="A24" s="162" t="s">
        <v>1539</v>
      </c>
      <c r="B24" s="165"/>
      <c r="C24" s="161"/>
      <c r="D24" s="161"/>
      <c r="E24" s="161"/>
      <c r="F24" s="161"/>
      <c r="G24" s="161"/>
      <c r="H24" s="161"/>
      <c r="I24" s="161"/>
      <c r="J24" s="161"/>
      <c r="K24" s="1"/>
      <c r="L24" s="1"/>
      <c r="M24" s="1"/>
      <c r="N24" s="1"/>
      <c r="O24" s="1"/>
      <c r="P24" s="1"/>
      <c r="Q24" s="1"/>
      <c r="R24" s="1"/>
      <c r="S24" s="1"/>
      <c r="T24" s="1"/>
      <c r="U24" s="1"/>
      <c r="V24" s="1"/>
      <c r="W24" s="1"/>
      <c r="X24" s="1"/>
      <c r="Y24" s="1"/>
      <c r="Z24" s="1"/>
      <c r="AA24" s="1"/>
      <c r="AB24" s="1"/>
      <c r="AC24" s="1"/>
    </row>
    <row r="25" spans="1:3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8" type="noConversion"/>
  <pageMargins left="0.98425196850393704" right="0.59055118110236227" top="1.7716535433070868" bottom="0.59055118110236227" header="0.51181102362204722" footer="0.51181102362204722"/>
  <pageSetup paperSize="5" scale="90"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E29"/>
  <sheetViews>
    <sheetView zoomScaleNormal="100" workbookViewId="0">
      <selection activeCell="F20" sqref="F20"/>
    </sheetView>
  </sheetViews>
  <sheetFormatPr baseColWidth="10" defaultRowHeight="12.75"/>
  <cols>
    <col min="1" max="1" width="5.28515625" customWidth="1"/>
    <col min="2" max="2" width="7.7109375" customWidth="1"/>
    <col min="3" max="3" width="5.7109375" customWidth="1"/>
    <col min="4" max="4" width="5.5703125" customWidth="1"/>
    <col min="5" max="7" width="5.7109375" customWidth="1"/>
    <col min="8" max="8" width="5.42578125" customWidth="1"/>
    <col min="9" max="9" width="6.7109375" customWidth="1"/>
    <col min="10" max="11" width="5.28515625" customWidth="1"/>
    <col min="12" max="12" width="4.7109375" customWidth="1"/>
    <col min="13" max="13" width="5.28515625" customWidth="1"/>
    <col min="14" max="14" width="4.7109375" customWidth="1"/>
    <col min="15" max="15" width="5.28515625" customWidth="1"/>
    <col min="16" max="16" width="4.7109375" customWidth="1"/>
    <col min="17" max="23" width="5.28515625" customWidth="1"/>
    <col min="24" max="24" width="4.7109375" customWidth="1"/>
    <col min="25" max="31" width="5.28515625" customWidth="1"/>
  </cols>
  <sheetData>
    <row r="1" spans="1:31" s="1069" customFormat="1">
      <c r="A1" s="949" t="s">
        <v>625</v>
      </c>
      <c r="B1" s="949"/>
      <c r="C1" s="950"/>
      <c r="D1" s="950"/>
      <c r="E1" s="950"/>
      <c r="F1" s="950"/>
      <c r="G1" s="950"/>
      <c r="H1" s="950"/>
      <c r="I1" s="950"/>
      <c r="J1" s="950"/>
      <c r="K1" s="950"/>
      <c r="L1" s="950"/>
      <c r="M1" s="950"/>
      <c r="N1" s="950"/>
      <c r="O1" s="950"/>
      <c r="P1" s="950"/>
      <c r="Q1" s="950"/>
      <c r="R1" s="950"/>
      <c r="S1" s="950"/>
      <c r="T1" s="950"/>
      <c r="U1" s="950"/>
      <c r="V1" s="950"/>
      <c r="W1" s="950"/>
      <c r="X1" s="950"/>
      <c r="Y1" s="950"/>
      <c r="Z1" s="950"/>
      <c r="AA1" s="950"/>
      <c r="AB1" s="950"/>
      <c r="AC1" s="950"/>
      <c r="AD1" s="950"/>
      <c r="AE1" s="950"/>
    </row>
    <row r="2" spans="1:31" s="1069" customFormat="1">
      <c r="A2" s="949"/>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row>
    <row r="3" spans="1:31" s="1069" customFormat="1">
      <c r="A3" s="949" t="str">
        <f>+'25'!A3</f>
        <v>AÑOS   2014  - 2023</v>
      </c>
      <c r="B3" s="949"/>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row>
    <row r="4" spans="1:31">
      <c r="A4" s="86"/>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row>
    <row r="5" spans="1:31">
      <c r="A5" s="1"/>
      <c r="B5" s="86"/>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row>
    <row r="6" spans="1:31" ht="18.75" customHeight="1">
      <c r="A6" s="975"/>
      <c r="B6" s="974"/>
      <c r="C6" s="968"/>
      <c r="D6" s="974"/>
      <c r="E6" s="968"/>
      <c r="F6" s="974"/>
      <c r="G6" s="968"/>
      <c r="H6" s="1032"/>
      <c r="I6" s="1033"/>
      <c r="J6" s="967" t="s">
        <v>596</v>
      </c>
      <c r="K6" s="967"/>
      <c r="L6" s="967"/>
      <c r="M6" s="967"/>
      <c r="N6" s="967"/>
      <c r="O6" s="967"/>
      <c r="P6" s="967"/>
      <c r="Q6" s="967"/>
      <c r="R6" s="967"/>
      <c r="S6" s="967"/>
      <c r="T6" s="967"/>
      <c r="U6" s="967"/>
      <c r="V6" s="967"/>
      <c r="W6" s="967"/>
      <c r="X6" s="967"/>
      <c r="Y6" s="967"/>
      <c r="Z6" s="967"/>
      <c r="AA6" s="967"/>
      <c r="AB6" s="967"/>
      <c r="AC6" s="967"/>
      <c r="AD6" s="1033"/>
      <c r="AE6" s="1034"/>
    </row>
    <row r="7" spans="1:31">
      <c r="A7" s="969"/>
      <c r="B7" s="970"/>
      <c r="C7" s="1035"/>
      <c r="D7" s="970"/>
      <c r="E7" s="1036"/>
      <c r="F7" s="1037" t="s">
        <v>604</v>
      </c>
      <c r="G7" s="1037"/>
      <c r="H7" s="965" t="s">
        <v>605</v>
      </c>
      <c r="I7" s="1038"/>
      <c r="J7" s="1039"/>
      <c r="K7" s="1040"/>
      <c r="L7" s="1039"/>
      <c r="M7" s="1040"/>
      <c r="N7" s="1039"/>
      <c r="O7" s="1040"/>
      <c r="P7" s="1039"/>
      <c r="Q7" s="1040"/>
      <c r="R7" s="965" t="s">
        <v>605</v>
      </c>
      <c r="S7" s="1038"/>
      <c r="T7" s="1039"/>
      <c r="U7" s="1040"/>
      <c r="V7" s="1039"/>
      <c r="W7" s="1040"/>
      <c r="X7" s="1039"/>
      <c r="Y7" s="1040"/>
      <c r="Z7" s="1041"/>
      <c r="AA7" s="1040"/>
      <c r="AB7" s="1039"/>
      <c r="AC7" s="1040"/>
      <c r="AD7" s="1039"/>
      <c r="AE7" s="1040"/>
    </row>
    <row r="8" spans="1:31" ht="18.75" customHeight="1">
      <c r="A8" s="969" t="s">
        <v>597</v>
      </c>
      <c r="B8" s="970" t="s">
        <v>602</v>
      </c>
      <c r="C8" s="970"/>
      <c r="D8" s="970" t="s">
        <v>603</v>
      </c>
      <c r="E8" s="1035"/>
      <c r="F8" s="992" t="s">
        <v>606</v>
      </c>
      <c r="G8" s="1035"/>
      <c r="H8" s="992" t="s">
        <v>587</v>
      </c>
      <c r="I8" s="1043"/>
      <c r="J8" s="992" t="s">
        <v>587</v>
      </c>
      <c r="K8" s="1043"/>
      <c r="L8" s="1044" t="s">
        <v>384</v>
      </c>
      <c r="M8" s="1045"/>
      <c r="N8" s="992" t="s">
        <v>608</v>
      </c>
      <c r="O8" s="1043"/>
      <c r="P8" s="992" t="s">
        <v>387</v>
      </c>
      <c r="Q8" s="1043"/>
      <c r="R8" s="992" t="s">
        <v>609</v>
      </c>
      <c r="S8" s="1043"/>
      <c r="T8" s="992" t="s">
        <v>609</v>
      </c>
      <c r="U8" s="1043"/>
      <c r="V8" s="992" t="s">
        <v>351</v>
      </c>
      <c r="W8" s="1043"/>
      <c r="X8" s="992" t="s">
        <v>369</v>
      </c>
      <c r="Y8" s="1043"/>
      <c r="Z8" s="992" t="s">
        <v>374</v>
      </c>
      <c r="AA8" s="1043"/>
      <c r="AB8" s="992" t="s">
        <v>610</v>
      </c>
      <c r="AC8" s="1043"/>
      <c r="AD8" s="992" t="s">
        <v>376</v>
      </c>
      <c r="AE8" s="1043"/>
    </row>
    <row r="9" spans="1:31" ht="18.75" customHeight="1">
      <c r="A9" s="1070"/>
      <c r="B9" s="995" t="s">
        <v>614</v>
      </c>
      <c r="C9" s="1071" t="s">
        <v>615</v>
      </c>
      <c r="D9" s="995" t="s">
        <v>614</v>
      </c>
      <c r="E9" s="1071" t="s">
        <v>615</v>
      </c>
      <c r="F9" s="995" t="s">
        <v>614</v>
      </c>
      <c r="G9" s="1071" t="s">
        <v>615</v>
      </c>
      <c r="H9" s="1047" t="s">
        <v>614</v>
      </c>
      <c r="I9" s="1049" t="s">
        <v>615</v>
      </c>
      <c r="J9" s="1047" t="s">
        <v>614</v>
      </c>
      <c r="K9" s="1049" t="s">
        <v>615</v>
      </c>
      <c r="L9" s="1047" t="s">
        <v>614</v>
      </c>
      <c r="M9" s="1048" t="s">
        <v>615</v>
      </c>
      <c r="N9" s="1047" t="s">
        <v>614</v>
      </c>
      <c r="O9" s="1048" t="s">
        <v>615</v>
      </c>
      <c r="P9" s="1047" t="s">
        <v>614</v>
      </c>
      <c r="Q9" s="1048" t="s">
        <v>615</v>
      </c>
      <c r="R9" s="1047" t="s">
        <v>614</v>
      </c>
      <c r="S9" s="1049" t="s">
        <v>615</v>
      </c>
      <c r="T9" s="1047" t="s">
        <v>614</v>
      </c>
      <c r="U9" s="1048" t="s">
        <v>615</v>
      </c>
      <c r="V9" s="1047" t="s">
        <v>614</v>
      </c>
      <c r="W9" s="1048" t="s">
        <v>615</v>
      </c>
      <c r="X9" s="1047" t="s">
        <v>614</v>
      </c>
      <c r="Y9" s="1048" t="s">
        <v>615</v>
      </c>
      <c r="Z9" s="1047" t="s">
        <v>614</v>
      </c>
      <c r="AA9" s="1048" t="s">
        <v>615</v>
      </c>
      <c r="AB9" s="1047" t="s">
        <v>614</v>
      </c>
      <c r="AC9" s="1048" t="s">
        <v>615</v>
      </c>
      <c r="AD9" s="1047" t="s">
        <v>614</v>
      </c>
      <c r="AE9" s="1048" t="s">
        <v>615</v>
      </c>
    </row>
    <row r="10" spans="1:31">
      <c r="A10" s="141"/>
      <c r="B10" s="142"/>
      <c r="C10" s="180"/>
      <c r="D10" s="142"/>
      <c r="E10" s="180"/>
      <c r="F10" s="142"/>
      <c r="G10" s="180"/>
      <c r="H10" s="185"/>
      <c r="I10" s="185"/>
      <c r="J10" s="142"/>
      <c r="K10" s="180"/>
      <c r="L10" s="142"/>
      <c r="M10" s="180"/>
      <c r="N10" s="142"/>
      <c r="O10" s="180"/>
      <c r="P10" s="142"/>
      <c r="Q10" s="180"/>
      <c r="R10" s="185"/>
      <c r="S10" s="185"/>
      <c r="T10" s="142"/>
      <c r="U10" s="180"/>
      <c r="V10" s="142"/>
      <c r="W10" s="180"/>
      <c r="X10" s="142"/>
      <c r="Y10" s="180"/>
      <c r="Z10" s="142"/>
      <c r="AA10" s="180"/>
      <c r="AB10" s="142"/>
      <c r="AC10" s="180"/>
      <c r="AD10" s="185"/>
      <c r="AE10" s="180"/>
    </row>
    <row r="11" spans="1:31" s="6" customFormat="1" ht="25.5" customHeight="1">
      <c r="A11" s="186">
        <f>+'25'!A11</f>
        <v>2014</v>
      </c>
      <c r="B11" s="152">
        <v>101960</v>
      </c>
      <c r="C11" s="187">
        <f>+B11/'7'!B11*1000</f>
        <v>5.732077545856761</v>
      </c>
      <c r="D11" s="152">
        <v>12106</v>
      </c>
      <c r="E11" s="187">
        <f>+D11/'7'!C11*1000</f>
        <v>6.6339989982694387</v>
      </c>
      <c r="F11" s="152">
        <v>1706</v>
      </c>
      <c r="G11" s="187">
        <f>+F11/'7'!D11*1000</f>
        <v>6.4753908577805275</v>
      </c>
      <c r="H11" s="198">
        <v>640</v>
      </c>
      <c r="I11" s="197">
        <f>+H11/'7'!E11*1000</f>
        <v>5.9111480557864597</v>
      </c>
      <c r="J11" s="152">
        <v>407</v>
      </c>
      <c r="K11" s="187">
        <f>+J11/'7'!F11*1000</f>
        <v>6.2146892655367232</v>
      </c>
      <c r="L11" s="152">
        <v>108</v>
      </c>
      <c r="M11" s="187">
        <f>+L11/'7'!G11*1000</f>
        <v>5.8133275917752183</v>
      </c>
      <c r="N11" s="152">
        <v>70</v>
      </c>
      <c r="O11" s="187">
        <f>+N11/'7'!H11*1000</f>
        <v>4.8705816866128586</v>
      </c>
      <c r="P11" s="152">
        <v>55</v>
      </c>
      <c r="Q11" s="187">
        <f>+P11/'7'!I11*1000</f>
        <v>5.5951169888097656</v>
      </c>
      <c r="R11" s="153">
        <v>1066</v>
      </c>
      <c r="S11" s="197">
        <f>+R11/'7'!J11*1000</f>
        <v>6.869043553344631</v>
      </c>
      <c r="T11" s="152">
        <v>542</v>
      </c>
      <c r="U11" s="187">
        <f>+T11/'7'!K11*1000</f>
        <v>7.0367677606979644</v>
      </c>
      <c r="V11" s="152">
        <v>122</v>
      </c>
      <c r="W11" s="187">
        <f>+V11/'7'!L11*1000</f>
        <v>7.3088904864605801</v>
      </c>
      <c r="X11" s="152">
        <v>104</v>
      </c>
      <c r="Y11" s="187">
        <f>+X11/'7'!M11*1000</f>
        <v>6.8511198945981553</v>
      </c>
      <c r="Z11" s="152">
        <v>51</v>
      </c>
      <c r="AA11" s="187">
        <f>+Z11/'7'!N11*1000</f>
        <v>7.0646904003324558</v>
      </c>
      <c r="AB11" s="152">
        <v>170</v>
      </c>
      <c r="AC11" s="187">
        <f>+AB11/'7'!O11*1000</f>
        <v>6.8286804579232774</v>
      </c>
      <c r="AD11" s="152">
        <v>77</v>
      </c>
      <c r="AE11" s="187">
        <f>+AD11/'7'!P11*1000</f>
        <v>5.4305663304887517</v>
      </c>
    </row>
    <row r="12" spans="1:31" s="6" customFormat="1" ht="25.5" customHeight="1">
      <c r="A12" s="186">
        <f>+'25'!A12</f>
        <v>2015</v>
      </c>
      <c r="B12" s="152">
        <v>103327</v>
      </c>
      <c r="C12" s="187">
        <f>+B12/'7'!B12*1000</f>
        <v>5.7495168857802739</v>
      </c>
      <c r="D12" s="152">
        <v>12273</v>
      </c>
      <c r="E12" s="187">
        <f>+D12/'7'!C12*1000</f>
        <v>6.6534425452765333</v>
      </c>
      <c r="F12" s="152">
        <v>1612</v>
      </c>
      <c r="G12" s="187">
        <f>+F12/'7'!D12*1000</f>
        <v>6.0520506389944284</v>
      </c>
      <c r="H12" s="198">
        <v>600</v>
      </c>
      <c r="I12" s="197">
        <f>+H12/'7'!E12*1000</f>
        <v>5.4811038943243169</v>
      </c>
      <c r="J12" s="152">
        <v>403</v>
      </c>
      <c r="K12" s="187">
        <f>+J12/'7'!F12*1000</f>
        <v>6.1217359602618826</v>
      </c>
      <c r="L12" s="152">
        <v>105</v>
      </c>
      <c r="M12" s="187">
        <f>+L12/'7'!G12*1000</f>
        <v>5.5576139310855872</v>
      </c>
      <c r="N12" s="152">
        <v>43</v>
      </c>
      <c r="O12" s="187">
        <f>+N12/'7'!H12*1000</f>
        <v>2.9267628641437518</v>
      </c>
      <c r="P12" s="152">
        <v>49</v>
      </c>
      <c r="Q12" s="187">
        <f>+P12/'7'!I12*1000</f>
        <v>4.8751368023082282</v>
      </c>
      <c r="R12" s="153">
        <v>1012</v>
      </c>
      <c r="S12" s="197">
        <f>+R12/'7'!J12*1000</f>
        <v>6.450420360892096</v>
      </c>
      <c r="T12" s="152">
        <v>515</v>
      </c>
      <c r="U12" s="187">
        <f>+T12/'7'!K12*1000</f>
        <v>6.6047656911278114</v>
      </c>
      <c r="V12" s="152">
        <v>143</v>
      </c>
      <c r="W12" s="187">
        <f>+V12/'7'!L12*1000</f>
        <v>8.497236912472518</v>
      </c>
      <c r="X12" s="152">
        <v>83</v>
      </c>
      <c r="Y12" s="187">
        <f>+X12/'7'!M12*1000</f>
        <v>5.4061095551358038</v>
      </c>
      <c r="Z12" s="152">
        <v>45</v>
      </c>
      <c r="AA12" s="187">
        <f>+Z12/'7'!N12*1000</f>
        <v>6.1864173769590325</v>
      </c>
      <c r="AB12" s="152">
        <v>144</v>
      </c>
      <c r="AC12" s="187">
        <f>+AB12/'7'!O12*1000</f>
        <v>5.7302029446876244</v>
      </c>
      <c r="AD12" s="152">
        <v>82</v>
      </c>
      <c r="AE12" s="187">
        <f>+AD12/'7'!P12*1000</f>
        <v>5.7226603391723074</v>
      </c>
    </row>
    <row r="13" spans="1:31" s="6" customFormat="1" ht="25.5" customHeight="1">
      <c r="A13" s="186">
        <f>+'25'!A13</f>
        <v>2016</v>
      </c>
      <c r="B13" s="152">
        <v>103986</v>
      </c>
      <c r="C13" s="187">
        <f>+B13/'7'!B13*1000</f>
        <v>5.7238486593409519</v>
      </c>
      <c r="D13" s="152">
        <v>12179</v>
      </c>
      <c r="E13" s="187">
        <f>+D13/'7'!C13*1000</f>
        <v>6.5333461364530034</v>
      </c>
      <c r="F13" s="152">
        <v>1593</v>
      </c>
      <c r="G13" s="187">
        <f>+F13/'7'!D13*1000</f>
        <v>5.9166762616114301</v>
      </c>
      <c r="H13" s="198">
        <v>610</v>
      </c>
      <c r="I13" s="197">
        <f>+H13/'7'!E13*1000</f>
        <v>5.5120813980807108</v>
      </c>
      <c r="J13" s="152">
        <v>392</v>
      </c>
      <c r="K13" s="187">
        <f>+J13/'7'!F13*1000</f>
        <v>5.9250302297460697</v>
      </c>
      <c r="L13" s="152">
        <v>99</v>
      </c>
      <c r="M13" s="187">
        <f>+L13/'7'!G13*1000</f>
        <v>5.1554444618028441</v>
      </c>
      <c r="N13" s="152">
        <v>59</v>
      </c>
      <c r="O13" s="187">
        <f>+N13/'7'!H13*1000</f>
        <v>3.927311455767823</v>
      </c>
      <c r="P13" s="152">
        <v>60</v>
      </c>
      <c r="Q13" s="187">
        <f>+P13/'7'!I13*1000</f>
        <v>5.836575875486381</v>
      </c>
      <c r="R13" s="153">
        <v>983</v>
      </c>
      <c r="S13" s="197">
        <f>+R13/'7'!J13*1000</f>
        <v>6.1990376671942888</v>
      </c>
      <c r="T13" s="152">
        <v>482</v>
      </c>
      <c r="U13" s="187">
        <f>+T13/'7'!K13*1000</f>
        <v>6.107682755299872</v>
      </c>
      <c r="V13" s="152">
        <v>140</v>
      </c>
      <c r="W13" s="187">
        <f>+V13/'7'!L13*1000</f>
        <v>8.2532570889583212</v>
      </c>
      <c r="X13" s="152">
        <v>77</v>
      </c>
      <c r="Y13" s="187">
        <f>+X13/'7'!M13*1000</f>
        <v>4.9597423510466996</v>
      </c>
      <c r="Z13" s="152">
        <v>37</v>
      </c>
      <c r="AA13" s="187">
        <f>+Z13/'7'!N13*1000</f>
        <v>5.0491266375545845</v>
      </c>
      <c r="AB13" s="152">
        <v>161</v>
      </c>
      <c r="AC13" s="187">
        <f>+AB13/'7'!O13*1000</f>
        <v>6.3478295154358708</v>
      </c>
      <c r="AD13" s="152">
        <v>86</v>
      </c>
      <c r="AE13" s="187">
        <f>+AD13/'7'!P13*1000</f>
        <v>5.9404572770601645</v>
      </c>
    </row>
    <row r="14" spans="1:31" s="6" customFormat="1" ht="25.5" customHeight="1">
      <c r="A14" s="186">
        <f>+'25'!A14</f>
        <v>2017</v>
      </c>
      <c r="B14" s="152">
        <v>106348</v>
      </c>
      <c r="C14" s="187">
        <f>+B14/'7'!B14*1000</f>
        <v>5.7737603256429484</v>
      </c>
      <c r="D14" s="152">
        <v>12574</v>
      </c>
      <c r="E14" s="187">
        <f>+D14/'7'!C14*1000</f>
        <v>6.6672039738105182</v>
      </c>
      <c r="F14" s="152">
        <v>1685</v>
      </c>
      <c r="G14" s="187">
        <f>+F14/'7'!D14*1000</f>
        <v>6.1845529320653467</v>
      </c>
      <c r="H14" s="198">
        <v>661</v>
      </c>
      <c r="I14" s="197">
        <f>+H14/'7'!E14*1000</f>
        <v>5.9019438020661266</v>
      </c>
      <c r="J14" s="152">
        <v>455</v>
      </c>
      <c r="K14" s="187">
        <f>+J14/'7'!F14*1000</f>
        <v>6.8347052814997298</v>
      </c>
      <c r="L14" s="152">
        <v>97</v>
      </c>
      <c r="M14" s="187">
        <f>+L14/'7'!G14*1000</f>
        <v>4.9639220101325412</v>
      </c>
      <c r="N14" s="152">
        <v>65</v>
      </c>
      <c r="O14" s="187">
        <f>+N14/'7'!H14*1000</f>
        <v>4.2287424370567948</v>
      </c>
      <c r="P14" s="152">
        <v>44</v>
      </c>
      <c r="Q14" s="187">
        <f>+P14/'7'!I14*1000</f>
        <v>4.1852943974127266</v>
      </c>
      <c r="R14" s="153">
        <v>1024</v>
      </c>
      <c r="S14" s="197">
        <f>+R14/'7'!J14*1000</f>
        <v>6.3818118362666407</v>
      </c>
      <c r="T14" s="152">
        <v>492</v>
      </c>
      <c r="U14" s="187">
        <f>+T14/'7'!K14*1000</f>
        <v>6.1529995872988081</v>
      </c>
      <c r="V14" s="152">
        <v>132</v>
      </c>
      <c r="W14" s="187">
        <f>+V14/'7'!L14*1000</f>
        <v>7.7120822622107967</v>
      </c>
      <c r="X14" s="152">
        <v>96</v>
      </c>
      <c r="Y14" s="187">
        <f>+X14/'7'!M14*1000</f>
        <v>6.1084245355052174</v>
      </c>
      <c r="Z14" s="152">
        <v>48</v>
      </c>
      <c r="AA14" s="187">
        <f>+Z14/'7'!N14*1000</f>
        <v>6.4917500676223963</v>
      </c>
      <c r="AB14" s="152">
        <v>176</v>
      </c>
      <c r="AC14" s="187">
        <f>+AB14/'7'!O14*1000</f>
        <v>6.8680246624521963</v>
      </c>
      <c r="AD14" s="152">
        <v>80</v>
      </c>
      <c r="AE14" s="187">
        <f>+AD14/'7'!P14*1000</f>
        <v>5.4633613330601651</v>
      </c>
    </row>
    <row r="15" spans="1:31" s="6" customFormat="1" ht="25.5" customHeight="1">
      <c r="A15" s="186">
        <f>+'25'!A15</f>
        <v>2018</v>
      </c>
      <c r="B15" s="152">
        <v>105977</v>
      </c>
      <c r="C15" s="187">
        <f>+B15/'7'!B15*1000</f>
        <v>5.6516831672080041</v>
      </c>
      <c r="D15" s="152">
        <v>12865</v>
      </c>
      <c r="E15" s="187">
        <f>+D15/'7'!C15*1000</f>
        <v>6.7342446679595991</v>
      </c>
      <c r="F15" s="152">
        <v>1610</v>
      </c>
      <c r="G15" s="187">
        <f>+F15/'7'!D15*1000</f>
        <v>5.8321922522405032</v>
      </c>
      <c r="H15" s="198">
        <v>652</v>
      </c>
      <c r="I15" s="197">
        <f>+H15/'7'!E15*1000</f>
        <v>5.7453033026682183</v>
      </c>
      <c r="J15" s="152">
        <v>436</v>
      </c>
      <c r="K15" s="187">
        <f>+J15/'7'!F15*1000</f>
        <v>6.5005740185773284</v>
      </c>
      <c r="L15" s="152">
        <v>94</v>
      </c>
      <c r="M15" s="187">
        <f>+L15/'7'!G15*1000</f>
        <v>4.7224315498618434</v>
      </c>
      <c r="N15" s="152">
        <v>85</v>
      </c>
      <c r="O15" s="187">
        <f>+N15/'7'!H15*1000</f>
        <v>5.3988821138211378</v>
      </c>
      <c r="P15" s="152">
        <v>37</v>
      </c>
      <c r="Q15" s="187">
        <f>+P15/'7'!I15*1000</f>
        <v>3.4373838721664809</v>
      </c>
      <c r="R15" s="153">
        <v>958</v>
      </c>
      <c r="S15" s="197">
        <f>+R15/'7'!J15*1000</f>
        <v>5.8928461585778438</v>
      </c>
      <c r="T15" s="152">
        <v>479</v>
      </c>
      <c r="U15" s="187">
        <f>+T15/'7'!K15*1000</f>
        <v>5.9048323471400392</v>
      </c>
      <c r="V15" s="152">
        <v>112</v>
      </c>
      <c r="W15" s="187">
        <f>+V15/'7'!L15*1000</f>
        <v>6.4769835762202179</v>
      </c>
      <c r="X15" s="152">
        <v>77</v>
      </c>
      <c r="Y15" s="187">
        <f>+X15/'7'!M15*1000</f>
        <v>4.8336472065285623</v>
      </c>
      <c r="Z15" s="152">
        <v>42</v>
      </c>
      <c r="AA15" s="187">
        <f>+Z15/'7'!N15*1000</f>
        <v>5.6209850107066384</v>
      </c>
      <c r="AB15" s="152">
        <v>166</v>
      </c>
      <c r="AC15" s="187">
        <f>+AB15/'7'!O15*1000</f>
        <v>6.4030858244937319</v>
      </c>
      <c r="AD15" s="152">
        <v>82</v>
      </c>
      <c r="AE15" s="187">
        <f>+AD15/'7'!P15*1000</f>
        <v>5.5289596116243009</v>
      </c>
    </row>
    <row r="16" spans="1:31" s="6" customFormat="1" ht="25.5" customHeight="1">
      <c r="A16" s="186">
        <f>+'25'!A16</f>
        <v>2019</v>
      </c>
      <c r="B16" s="152">
        <v>108393</v>
      </c>
      <c r="C16" s="187">
        <f>+B16/'7'!B16*1000</f>
        <v>5.6728829568891666</v>
      </c>
      <c r="D16" s="152">
        <v>13131</v>
      </c>
      <c r="E16" s="187">
        <f>+D16/'7'!C16*1000</f>
        <v>6.7844512013970881</v>
      </c>
      <c r="F16" s="152">
        <v>1709</v>
      </c>
      <c r="G16" s="187">
        <f>+F16/'7'!D16*1000</f>
        <v>6.1097466367793158</v>
      </c>
      <c r="H16" s="198">
        <v>660</v>
      </c>
      <c r="I16" s="197">
        <f>+H16/'7'!E16*1000</f>
        <v>5.7403284163651547</v>
      </c>
      <c r="J16" s="152">
        <v>422</v>
      </c>
      <c r="K16" s="187">
        <f>+J16/'7'!F16*1000</f>
        <v>6.2441738306970684</v>
      </c>
      <c r="L16" s="152">
        <v>121</v>
      </c>
      <c r="M16" s="187">
        <f>+L16/'7'!G16*1000</f>
        <v>5.967646478595384</v>
      </c>
      <c r="N16" s="152">
        <v>71</v>
      </c>
      <c r="O16" s="187">
        <f>+N16/'7'!H16*1000</f>
        <v>4.4080213571739</v>
      </c>
      <c r="P16" s="152">
        <v>46</v>
      </c>
      <c r="Q16" s="187">
        <f>+P16/'7'!I16*1000</f>
        <v>4.1780199818346961</v>
      </c>
      <c r="R16" s="153">
        <v>1049</v>
      </c>
      <c r="S16" s="197">
        <f>+R16/'7'!J16*1000</f>
        <v>6.3675709143443342</v>
      </c>
      <c r="T16" s="152">
        <v>511</v>
      </c>
      <c r="U16" s="187">
        <f>+T16/'7'!K16*1000</f>
        <v>6.2080863057634366</v>
      </c>
      <c r="V16" s="152">
        <v>146</v>
      </c>
      <c r="W16" s="187">
        <f>+V16/'7'!L16*1000</f>
        <v>8.3567053975158831</v>
      </c>
      <c r="X16" s="152">
        <v>103</v>
      </c>
      <c r="Y16" s="187">
        <f>+X16/'7'!M16*1000</f>
        <v>6.3777089783281733</v>
      </c>
      <c r="Z16" s="152">
        <v>38</v>
      </c>
      <c r="AA16" s="187">
        <f>+Z16/'7'!N16*1000</f>
        <v>5.0311134648484046</v>
      </c>
      <c r="AB16" s="152">
        <v>161</v>
      </c>
      <c r="AC16" s="187">
        <f>+AB16/'7'!O16*1000</f>
        <v>6.1375419335163164</v>
      </c>
      <c r="AD16" s="152">
        <v>90</v>
      </c>
      <c r="AE16" s="187">
        <f>+AD16/'7'!P16*1000</f>
        <v>5.9908140850695597</v>
      </c>
    </row>
    <row r="17" spans="1:31" s="6" customFormat="1" ht="25.5" customHeight="1">
      <c r="A17" s="186">
        <f>+'25'!A17</f>
        <v>2020</v>
      </c>
      <c r="B17" s="152">
        <v>125833</v>
      </c>
      <c r="C17" s="187">
        <f>+B17/'7'!B17*1000</f>
        <v>6.582529338454572</v>
      </c>
      <c r="D17" s="152">
        <v>14481</v>
      </c>
      <c r="E17" s="187">
        <f>+D17/'7'!C17*1000</f>
        <v>7.3876245427692497</v>
      </c>
      <c r="F17" s="152">
        <v>1959</v>
      </c>
      <c r="G17" s="187">
        <f>+F17/'7'!D17*1000</f>
        <v>6.913320581862326</v>
      </c>
      <c r="H17" s="198">
        <v>784</v>
      </c>
      <c r="I17" s="197">
        <f>+H17/'7'!E17*1000</f>
        <v>6.7307114465020046</v>
      </c>
      <c r="J17" s="152">
        <v>541</v>
      </c>
      <c r="K17" s="187">
        <f>+J17/'7'!F17*1000</f>
        <v>7.9450163746640632</v>
      </c>
      <c r="L17" s="152">
        <v>111</v>
      </c>
      <c r="M17" s="187">
        <f>+L17/'7'!G17*1000</f>
        <v>5.3771254178171777</v>
      </c>
      <c r="N17" s="152">
        <v>74</v>
      </c>
      <c r="O17" s="187">
        <f>+N17/'7'!H17*1000</f>
        <v>4.4897463900012138</v>
      </c>
      <c r="P17" s="152">
        <v>58</v>
      </c>
      <c r="Q17" s="187">
        <f>+P17/'7'!I17*1000</f>
        <v>5.1496049010032854</v>
      </c>
      <c r="R17" s="153">
        <v>1175</v>
      </c>
      <c r="S17" s="197">
        <f>+R17/'7'!J17*1000</f>
        <v>7.0407765826766937</v>
      </c>
      <c r="T17" s="152">
        <v>578</v>
      </c>
      <c r="U17" s="187">
        <f>+T17/'7'!K17*1000</f>
        <v>6.922653124775433</v>
      </c>
      <c r="V17" s="152">
        <v>143</v>
      </c>
      <c r="W17" s="187">
        <f>+V17/'7'!L17*1000</f>
        <v>8.1042788325304631</v>
      </c>
      <c r="X17" s="152">
        <v>93</v>
      </c>
      <c r="Y17" s="187">
        <f>+X17/'7'!M17*1000</f>
        <v>5.6821653326816151</v>
      </c>
      <c r="Z17" s="152">
        <v>52</v>
      </c>
      <c r="AA17" s="187">
        <f>+Z17/'7'!N17*1000</f>
        <v>6.8125245643914587</v>
      </c>
      <c r="AB17" s="152">
        <v>207</v>
      </c>
      <c r="AC17" s="187">
        <f>+AB17/'7'!O17*1000</f>
        <v>7.8016055478083892</v>
      </c>
      <c r="AD17" s="152">
        <v>102</v>
      </c>
      <c r="AE17" s="187">
        <f>+AD17/'7'!P17*1000</f>
        <v>6.7047919542496546</v>
      </c>
    </row>
    <row r="18" spans="1:31" s="6" customFormat="1" ht="25.5" customHeight="1">
      <c r="A18" s="186">
        <f>+'25'!A18</f>
        <v>2021</v>
      </c>
      <c r="B18" s="152">
        <v>125833</v>
      </c>
      <c r="C18" s="187">
        <f>+B18/'7'!B18*1000</f>
        <v>6.5143738356928029</v>
      </c>
      <c r="D18" s="152">
        <v>14481</v>
      </c>
      <c r="E18" s="187">
        <f>+D18/'7'!C18*1000</f>
        <v>7.3159530821123653</v>
      </c>
      <c r="F18" s="152">
        <f>+J18+L18+N18+P18+T18+V18+X18+Z18+AB18+AD18</f>
        <v>1959</v>
      </c>
      <c r="G18" s="187">
        <f>+F18/'7'!D18*1000</f>
        <v>6.8450072328560347</v>
      </c>
      <c r="H18" s="198">
        <f>+J18+L18+N18+P18</f>
        <v>784</v>
      </c>
      <c r="I18" s="197">
        <f>+H18/'7'!E18*1000</f>
        <v>6.665079742918353</v>
      </c>
      <c r="J18" s="152">
        <v>541</v>
      </c>
      <c r="K18" s="187">
        <f>+J18/'7'!F18*1000</f>
        <v>7.9092410929664778</v>
      </c>
      <c r="L18" s="152">
        <v>111</v>
      </c>
      <c r="M18" s="187">
        <f>+L18/'7'!G18*1000</f>
        <v>5.2978235967926688</v>
      </c>
      <c r="N18" s="152">
        <v>74</v>
      </c>
      <c r="O18" s="187">
        <f>+N18/'7'!H18*1000</f>
        <v>4.4037134015710544</v>
      </c>
      <c r="P18" s="152">
        <v>58</v>
      </c>
      <c r="Q18" s="187">
        <f>+P18/'7'!I18*1000</f>
        <v>5.0562287507627932</v>
      </c>
      <c r="R18" s="153">
        <f>+T18+V18+X18+Z18+AB18+AD18</f>
        <v>1175</v>
      </c>
      <c r="S18" s="197">
        <f>+R18/'7'!J18*1000</f>
        <v>6.9705634588232499</v>
      </c>
      <c r="T18" s="152">
        <v>578</v>
      </c>
      <c r="U18" s="187">
        <f>+T18/'7'!K18*1000</f>
        <v>6.8446918112380839</v>
      </c>
      <c r="V18" s="152">
        <v>143</v>
      </c>
      <c r="W18" s="187">
        <f>+V18/'7'!L18*1000</f>
        <v>8.0481764970733902</v>
      </c>
      <c r="X18" s="152">
        <v>93</v>
      </c>
      <c r="Y18" s="187">
        <f>+X18/'7'!M18*1000</f>
        <v>5.6230727371666971</v>
      </c>
      <c r="Z18" s="152">
        <v>52</v>
      </c>
      <c r="AA18" s="187">
        <f>+Z18/'7'!N18*1000</f>
        <v>6.7585131271120353</v>
      </c>
      <c r="AB18" s="152">
        <v>207</v>
      </c>
      <c r="AC18" s="187">
        <f>+AB18/'7'!O18*1000</f>
        <v>7.7354260089686102</v>
      </c>
      <c r="AD18" s="152">
        <v>102</v>
      </c>
      <c r="AE18" s="187">
        <f>+AD18/'7'!P18*1000</f>
        <v>6.640625</v>
      </c>
    </row>
    <row r="19" spans="1:31" s="6" customFormat="1" ht="25.5" customHeight="1">
      <c r="A19" s="186">
        <f>+'25'!A19</f>
        <v>2022</v>
      </c>
      <c r="B19" s="152">
        <v>137427</v>
      </c>
      <c r="C19" s="187">
        <f>+B19/'7'!B19*1000</f>
        <v>7.0500027086390809</v>
      </c>
      <c r="D19" s="152">
        <v>16160</v>
      </c>
      <c r="E19" s="187">
        <f>+D19/'7'!C19*1000</f>
        <v>8.0980667870018017</v>
      </c>
      <c r="F19" s="152">
        <f>+J19+L19+N19+P19+T19+V19+X19+Z19+AB19+AD19</f>
        <v>2191</v>
      </c>
      <c r="G19" s="187">
        <f>+F19/'7'!D19*1000</f>
        <v>7.5923750515456776</v>
      </c>
      <c r="H19" s="198">
        <f>+J19+L19+N19+P19</f>
        <v>871</v>
      </c>
      <c r="I19" s="197">
        <f>+H19/'7'!E19*1000</f>
        <v>7.3447566364218977</v>
      </c>
      <c r="J19" s="152">
        <v>546</v>
      </c>
      <c r="K19" s="187">
        <f>+J19/'7'!F19*1000</f>
        <v>7.9589516340631459</v>
      </c>
      <c r="L19" s="152">
        <v>148</v>
      </c>
      <c r="M19" s="187">
        <f>+L19/'7'!G19*1000</f>
        <v>6.9725807971355884</v>
      </c>
      <c r="N19" s="152">
        <v>102</v>
      </c>
      <c r="O19" s="187">
        <f>+N19/'7'!H19*1000</f>
        <v>5.9659589401649411</v>
      </c>
      <c r="P19" s="152">
        <v>75</v>
      </c>
      <c r="Q19" s="187">
        <f>+P19/'7'!I19*1000</f>
        <v>6.4305924719197458</v>
      </c>
      <c r="R19" s="153">
        <f>+T19+V19+X19+Z19+AB19+AD19</f>
        <v>1320</v>
      </c>
      <c r="S19" s="197">
        <f>+R19/'7'!J19*1000</f>
        <v>7.7651169767811234</v>
      </c>
      <c r="T19" s="152">
        <v>601</v>
      </c>
      <c r="U19" s="187">
        <f>+T19/'7'!K19*1000</f>
        <v>7.0481998358156446</v>
      </c>
      <c r="V19" s="152">
        <v>176</v>
      </c>
      <c r="W19" s="187">
        <f>+V19/'7'!L19*1000</f>
        <v>9.8533198969880189</v>
      </c>
      <c r="X19" s="152">
        <v>119</v>
      </c>
      <c r="Y19" s="187">
        <f>+X19/'7'!M19*1000</f>
        <v>7.1317271964521156</v>
      </c>
      <c r="Z19" s="152">
        <v>61</v>
      </c>
      <c r="AA19" s="187">
        <f>+Z19/'7'!N19*1000</f>
        <v>7.8760490639122018</v>
      </c>
      <c r="AB19" s="152">
        <v>228</v>
      </c>
      <c r="AC19" s="187">
        <f>+AB19/'7'!O19*1000</f>
        <v>8.4613671788020479</v>
      </c>
      <c r="AD19" s="152">
        <v>135</v>
      </c>
      <c r="AE19" s="187">
        <f>+AD19/'7'!P19*1000</f>
        <v>8.7198036429401888</v>
      </c>
    </row>
    <row r="20" spans="1:31" s="6" customFormat="1" ht="25.5" customHeight="1">
      <c r="A20" s="186">
        <f>+'25'!A20</f>
        <v>2023</v>
      </c>
      <c r="B20" s="152">
        <v>122022</v>
      </c>
      <c r="C20" s="187">
        <f>+B20/'7'!B20*1000</f>
        <v>6.1130543834996525</v>
      </c>
      <c r="D20" s="152">
        <v>14657</v>
      </c>
      <c r="E20" s="187">
        <f>+D20/'7'!C20*1000</f>
        <v>7.2889610308879487</v>
      </c>
      <c r="F20" s="152">
        <f>+J20+L20+N20+P20+T20+V20+X20+Z20+AB20+AD20</f>
        <v>1920</v>
      </c>
      <c r="G20" s="187">
        <f>+F20/'7'!D20*1000</f>
        <v>6.6010458532023675</v>
      </c>
      <c r="H20" s="198">
        <f>+J20+L20+N20+P20</f>
        <v>729</v>
      </c>
      <c r="I20" s="197">
        <f>+H20/'7'!E20*1000</f>
        <v>6.0996017269654272</v>
      </c>
      <c r="J20" s="152">
        <f>+'27'!$E$23+'27'!$F$23</f>
        <v>466</v>
      </c>
      <c r="K20" s="187">
        <f>+J20/'7'!F20*1000</f>
        <v>6.7744374018724196</v>
      </c>
      <c r="L20" s="152">
        <f>+'27'!$G$23+'27'!$H$23</f>
        <v>132</v>
      </c>
      <c r="M20" s="187">
        <f>+L20/'7'!G20*1000</f>
        <v>6.141534453077746</v>
      </c>
      <c r="N20" s="152">
        <f>+'27'!$I$23+'27'!$J$23</f>
        <v>75</v>
      </c>
      <c r="O20" s="187">
        <f>+N20/'7'!H20*1000</f>
        <v>4.3133195307108352</v>
      </c>
      <c r="P20" s="152">
        <f>+'27'!$K$23+'27'!$L$23</f>
        <v>56</v>
      </c>
      <c r="Q20" s="187">
        <f>+P20/'7'!I20*1000</f>
        <v>4.7269350890520805</v>
      </c>
      <c r="R20" s="153">
        <f>+T20+V20+X20+Z20+AB20+AD20</f>
        <v>1191</v>
      </c>
      <c r="S20" s="197">
        <f>+R20/'7'!J20*1000</f>
        <v>6.9508074258668087</v>
      </c>
      <c r="T20" s="152">
        <f>+'27'!$O$23+'27'!$P$23</f>
        <v>585</v>
      </c>
      <c r="U20" s="187">
        <f>+T20/'7'!K20*1000</f>
        <v>6.7974251121284652</v>
      </c>
      <c r="V20" s="152">
        <f>+'27'!$Q$23+'27'!$R$23</f>
        <v>156</v>
      </c>
      <c r="W20" s="187">
        <f>+V20/'7'!L20*1000</f>
        <v>8.6932293117860127</v>
      </c>
      <c r="X20" s="152">
        <f>+'27'!$S$23+'27'!$T$23</f>
        <v>98</v>
      </c>
      <c r="Y20" s="187">
        <f>+X20/'7'!M20*1000</f>
        <v>5.8239733761217085</v>
      </c>
      <c r="Z20" s="152">
        <f>+'27'!$U$23+'27'!$V$23</f>
        <v>39</v>
      </c>
      <c r="AA20" s="187">
        <f>+Z20/'7'!N20*1000</f>
        <v>5.0038491147036188</v>
      </c>
      <c r="AB20" s="152">
        <f>+'27'!$W$23+'27'!$X$23</f>
        <v>200</v>
      </c>
      <c r="AC20" s="187">
        <f>+AB20/'7'!O20*1000</f>
        <v>7.3749032043954417</v>
      </c>
      <c r="AD20" s="152">
        <f>+'27'!$Y$23+'27'!$Z$23</f>
        <v>113</v>
      </c>
      <c r="AE20" s="187">
        <f>+AD20/'7'!P20*1000</f>
        <v>7.2435897435897436</v>
      </c>
    </row>
    <row r="21" spans="1:31">
      <c r="A21" s="192"/>
      <c r="B21" s="155"/>
      <c r="C21" s="193"/>
      <c r="D21" s="155"/>
      <c r="E21" s="193"/>
      <c r="F21" s="160"/>
      <c r="G21" s="193"/>
      <c r="H21" s="194"/>
      <c r="I21" s="194"/>
      <c r="J21" s="155"/>
      <c r="K21" s="193"/>
      <c r="L21" s="155"/>
      <c r="M21" s="193"/>
      <c r="N21" s="155"/>
      <c r="O21" s="193"/>
      <c r="P21" s="155"/>
      <c r="Q21" s="193"/>
      <c r="R21" s="194"/>
      <c r="S21" s="194"/>
      <c r="T21" s="155"/>
      <c r="U21" s="193"/>
      <c r="V21" s="155"/>
      <c r="W21" s="193"/>
      <c r="X21" s="155"/>
      <c r="Y21" s="193"/>
      <c r="Z21" s="155"/>
      <c r="AA21" s="193"/>
      <c r="AB21" s="155"/>
      <c r="AC21" s="193"/>
      <c r="AD21" s="194"/>
      <c r="AE21" s="193"/>
    </row>
    <row r="22" spans="1:31">
      <c r="A22" s="161"/>
      <c r="B22" s="161"/>
      <c r="C22" s="161"/>
      <c r="D22" s="161"/>
      <c r="E22" s="161"/>
      <c r="F22" s="16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65" t="str">
        <f>+'23'!A23</f>
        <v>AÑO   2023  :   DATOS POR RESIDENCIA</v>
      </c>
      <c r="B23" s="165"/>
      <c r="C23" s="165"/>
      <c r="D23" s="165"/>
      <c r="E23" s="165"/>
      <c r="K23" s="1"/>
      <c r="L23" s="1"/>
      <c r="M23" s="1"/>
      <c r="N23" s="1"/>
      <c r="O23" s="1"/>
      <c r="P23" s="1"/>
      <c r="Q23" s="1"/>
      <c r="R23" s="1"/>
      <c r="S23" s="1"/>
      <c r="T23" s="1"/>
      <c r="U23" s="1"/>
      <c r="V23" s="1"/>
      <c r="W23" s="1"/>
      <c r="X23" s="1"/>
      <c r="Y23" s="1"/>
      <c r="Z23" s="1"/>
      <c r="AA23" s="1"/>
      <c r="AB23" s="1"/>
      <c r="AC23" s="1"/>
      <c r="AD23" s="1"/>
    </row>
    <row r="24" spans="1:31">
      <c r="A24" s="165" t="s">
        <v>1540</v>
      </c>
      <c r="B24" s="165"/>
      <c r="C24" s="161"/>
      <c r="D24" s="161"/>
      <c r="E24" s="1"/>
      <c r="F24" s="1"/>
      <c r="G24" s="1"/>
      <c r="H24" s="1"/>
      <c r="I24" s="1"/>
      <c r="J24" s="1"/>
      <c r="K24" s="1"/>
      <c r="L24" s="1"/>
      <c r="M24" s="1"/>
      <c r="N24" s="1"/>
      <c r="O24" s="1"/>
      <c r="P24" s="1"/>
      <c r="Q24" s="1"/>
      <c r="R24" s="1"/>
      <c r="S24" s="1"/>
      <c r="T24" s="1"/>
      <c r="U24" s="1"/>
      <c r="V24" s="1"/>
      <c r="W24" s="1"/>
      <c r="X24" s="1"/>
      <c r="Y24" s="1"/>
      <c r="Z24" s="1"/>
      <c r="AA24" s="1"/>
      <c r="AB24" s="1"/>
      <c r="AC24" s="1"/>
    </row>
    <row r="25" spans="1:31">
      <c r="A25" s="161"/>
      <c r="B25" s="161"/>
      <c r="C25" s="161"/>
      <c r="D25" s="161"/>
      <c r="E25" s="161"/>
      <c r="F25" s="161"/>
      <c r="G25" s="1"/>
      <c r="H25" s="1"/>
      <c r="I25" s="1"/>
      <c r="J25" s="1"/>
      <c r="K25" s="1"/>
      <c r="L25" s="1"/>
      <c r="M25" s="1"/>
      <c r="N25" s="1"/>
      <c r="O25" s="1"/>
      <c r="P25" s="1"/>
      <c r="Q25" s="1"/>
      <c r="R25" s="1"/>
      <c r="S25" s="1"/>
      <c r="T25" s="1"/>
      <c r="U25" s="1"/>
      <c r="V25" s="1"/>
      <c r="W25" s="1"/>
      <c r="X25" s="1"/>
      <c r="Y25" s="1"/>
      <c r="Z25" s="1"/>
      <c r="AA25" s="1"/>
      <c r="AB25" s="1"/>
      <c r="AC25" s="1"/>
      <c r="AD25" s="1"/>
      <c r="AE25" s="1"/>
    </row>
    <row r="26" spans="1:31">
      <c r="A26" s="165"/>
      <c r="B26" s="165"/>
      <c r="C26" s="165"/>
      <c r="D26" s="165"/>
      <c r="E26" s="165"/>
      <c r="F26" s="165"/>
    </row>
    <row r="27" spans="1:31">
      <c r="A27" s="165"/>
      <c r="B27" s="165"/>
      <c r="C27" s="165"/>
      <c r="D27" s="165"/>
      <c r="E27" s="165"/>
      <c r="F27" s="165"/>
    </row>
    <row r="28" spans="1:31">
      <c r="A28" s="165"/>
      <c r="B28" s="165"/>
      <c r="C28" s="165"/>
      <c r="D28" s="165"/>
      <c r="E28" s="165"/>
      <c r="F28" s="165"/>
    </row>
    <row r="29" spans="1:31">
      <c r="A29" s="165"/>
      <c r="B29" s="165"/>
      <c r="C29" s="165"/>
      <c r="D29" s="165"/>
      <c r="E29" s="165"/>
      <c r="F29" s="165"/>
    </row>
  </sheetData>
  <phoneticPr fontId="18"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E80"/>
  <sheetViews>
    <sheetView zoomScaleNormal="100" workbookViewId="0">
      <selection activeCell="AE17" sqref="AE17"/>
    </sheetView>
  </sheetViews>
  <sheetFormatPr baseColWidth="10" defaultRowHeight="12.75"/>
  <cols>
    <col min="1" max="1" width="9" customWidth="1"/>
    <col min="2" max="2" width="25.7109375" customWidth="1"/>
    <col min="3" max="4" width="5.42578125" customWidth="1"/>
    <col min="5" max="12" width="5.28515625" customWidth="1"/>
    <col min="13" max="14" width="5.42578125" customWidth="1"/>
    <col min="15" max="26" width="6.5703125" customWidth="1"/>
    <col min="27" max="27" width="6.140625" customWidth="1"/>
    <col min="28" max="29" width="5.42578125" customWidth="1"/>
    <col min="30" max="30" width="8.7109375" customWidth="1"/>
    <col min="31" max="31" width="9.28515625" customWidth="1"/>
  </cols>
  <sheetData>
    <row r="1" spans="1:29" s="1069" customFormat="1">
      <c r="A1" s="949" t="s">
        <v>1350</v>
      </c>
      <c r="B1" s="949"/>
      <c r="C1" s="950"/>
      <c r="D1" s="950"/>
      <c r="E1" s="950"/>
      <c r="F1" s="950"/>
      <c r="G1" s="950"/>
      <c r="H1" s="950"/>
      <c r="I1" s="950"/>
      <c r="J1" s="950"/>
      <c r="K1" s="950"/>
      <c r="L1" s="950"/>
      <c r="M1" s="950"/>
      <c r="N1" s="950"/>
      <c r="O1" s="950"/>
      <c r="P1" s="950"/>
      <c r="Q1" s="950"/>
      <c r="R1" s="950"/>
      <c r="S1" s="950"/>
      <c r="T1" s="950"/>
      <c r="U1" s="950"/>
      <c r="V1" s="950"/>
      <c r="W1" s="950"/>
      <c r="X1" s="950"/>
      <c r="Y1" s="950"/>
    </row>
    <row r="2" spans="1:29" s="1069" customFormat="1">
      <c r="A2" s="949"/>
      <c r="B2" s="949"/>
      <c r="C2" s="950"/>
      <c r="D2" s="950"/>
      <c r="E2" s="950"/>
      <c r="F2" s="950"/>
      <c r="G2" s="950"/>
      <c r="H2" s="950"/>
      <c r="I2" s="950"/>
      <c r="J2" s="950"/>
      <c r="K2" s="950"/>
      <c r="L2" s="950"/>
      <c r="M2" s="950"/>
      <c r="N2" s="950"/>
      <c r="O2" s="950"/>
      <c r="P2" s="950"/>
      <c r="Q2" s="950"/>
      <c r="R2" s="950"/>
      <c r="S2" s="950"/>
      <c r="T2" s="950"/>
      <c r="U2" s="950"/>
      <c r="V2" s="950"/>
      <c r="W2" s="950"/>
      <c r="X2" s="950"/>
      <c r="Y2" s="950"/>
    </row>
    <row r="3" spans="1:29" s="1069" customFormat="1">
      <c r="A3" s="949" t="s">
        <v>1541</v>
      </c>
      <c r="B3" s="949"/>
      <c r="C3" s="950"/>
      <c r="D3" s="950"/>
      <c r="E3" s="950"/>
      <c r="F3" s="950"/>
      <c r="G3" s="950"/>
      <c r="H3" s="950"/>
      <c r="I3" s="950"/>
      <c r="J3" s="950"/>
      <c r="K3" s="950"/>
      <c r="L3" s="950"/>
      <c r="M3" s="950"/>
      <c r="N3" s="950"/>
      <c r="O3" s="950"/>
      <c r="P3" s="950"/>
      <c r="Q3" s="950"/>
      <c r="R3" s="950"/>
      <c r="S3" s="950"/>
      <c r="T3" s="950"/>
      <c r="U3" s="950"/>
      <c r="V3" s="950"/>
      <c r="W3" s="950"/>
      <c r="X3" s="950"/>
      <c r="Y3" s="950"/>
    </row>
    <row r="4" spans="1:29" s="1069" customFormat="1">
      <c r="A4" s="949" t="s">
        <v>626</v>
      </c>
      <c r="B4" s="949"/>
      <c r="C4" s="950"/>
      <c r="D4" s="950"/>
      <c r="E4" s="950"/>
      <c r="F4" s="950"/>
      <c r="G4" s="950"/>
      <c r="H4" s="950"/>
      <c r="I4" s="950"/>
      <c r="J4" s="950"/>
      <c r="K4" s="950"/>
      <c r="L4" s="950"/>
      <c r="M4" s="950"/>
      <c r="N4" s="950"/>
      <c r="O4" s="950"/>
      <c r="P4" s="950"/>
      <c r="Q4" s="950"/>
      <c r="R4" s="950"/>
      <c r="S4" s="950"/>
      <c r="T4" s="950"/>
      <c r="U4" s="950"/>
      <c r="V4" s="950"/>
      <c r="W4" s="950"/>
      <c r="X4" s="950"/>
      <c r="Y4" s="950"/>
    </row>
    <row r="5" spans="1:29" ht="18.75" customHeight="1" thickBot="1">
      <c r="A5" s="1072" t="s">
        <v>627</v>
      </c>
      <c r="B5" s="1073"/>
      <c r="C5" s="1074"/>
      <c r="D5" s="1074"/>
      <c r="E5" s="1075" t="s">
        <v>628</v>
      </c>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6"/>
    </row>
    <row r="6" spans="1:29" ht="23.25" customHeight="1">
      <c r="A6" s="1524" t="s">
        <v>629</v>
      </c>
      <c r="B6" s="1077" t="s">
        <v>630</v>
      </c>
      <c r="C6" s="1533" t="s">
        <v>631</v>
      </c>
      <c r="D6" s="1534"/>
      <c r="E6" s="1078" t="s">
        <v>587</v>
      </c>
      <c r="F6" s="1078"/>
      <c r="G6" s="1078" t="s">
        <v>632</v>
      </c>
      <c r="H6" s="1078"/>
      <c r="I6" s="1078" t="s">
        <v>633</v>
      </c>
      <c r="J6" s="1078"/>
      <c r="K6" s="1078" t="s">
        <v>387</v>
      </c>
      <c r="L6" s="1078"/>
      <c r="M6" s="1535" t="s">
        <v>634</v>
      </c>
      <c r="N6" s="1534"/>
      <c r="O6" s="1078" t="s">
        <v>635</v>
      </c>
      <c r="P6" s="1078"/>
      <c r="Q6" s="1078" t="s">
        <v>351</v>
      </c>
      <c r="R6" s="1078"/>
      <c r="S6" s="1078" t="s">
        <v>369</v>
      </c>
      <c r="T6" s="1078"/>
      <c r="U6" s="1078" t="s">
        <v>374</v>
      </c>
      <c r="V6" s="1078"/>
      <c r="W6" s="1078" t="s">
        <v>636</v>
      </c>
      <c r="X6" s="1078"/>
      <c r="Y6" s="1532" t="s">
        <v>376</v>
      </c>
      <c r="Z6" s="1532"/>
      <c r="AA6" s="1536" t="s">
        <v>474</v>
      </c>
      <c r="AB6" s="1537"/>
      <c r="AC6" s="1538"/>
    </row>
    <row r="7" spans="1:29" ht="23.25" customHeight="1" thickBot="1">
      <c r="A7" s="1525"/>
      <c r="B7" s="1079"/>
      <c r="C7" s="1080" t="s">
        <v>1542</v>
      </c>
      <c r="D7" s="1081" t="s">
        <v>835</v>
      </c>
      <c r="E7" s="1082" t="s">
        <v>1542</v>
      </c>
      <c r="F7" s="1082" t="s">
        <v>835</v>
      </c>
      <c r="G7" s="1083" t="s">
        <v>1542</v>
      </c>
      <c r="H7" s="1084" t="s">
        <v>835</v>
      </c>
      <c r="I7" s="1082" t="s">
        <v>1542</v>
      </c>
      <c r="J7" s="1084" t="s">
        <v>835</v>
      </c>
      <c r="K7" s="1083" t="s">
        <v>1542</v>
      </c>
      <c r="L7" s="1082" t="s">
        <v>835</v>
      </c>
      <c r="M7" s="1085" t="s">
        <v>1542</v>
      </c>
      <c r="N7" s="1086" t="s">
        <v>835</v>
      </c>
      <c r="O7" s="1082" t="s">
        <v>1542</v>
      </c>
      <c r="P7" s="1084" t="s">
        <v>835</v>
      </c>
      <c r="Q7" s="1083" t="s">
        <v>1542</v>
      </c>
      <c r="R7" s="1084" t="s">
        <v>835</v>
      </c>
      <c r="S7" s="1083" t="s">
        <v>1542</v>
      </c>
      <c r="T7" s="1084" t="s">
        <v>835</v>
      </c>
      <c r="U7" s="1083" t="s">
        <v>1542</v>
      </c>
      <c r="V7" s="1084" t="s">
        <v>835</v>
      </c>
      <c r="W7" s="1083" t="s">
        <v>1542</v>
      </c>
      <c r="X7" s="1084" t="s">
        <v>835</v>
      </c>
      <c r="Y7" s="1083" t="s">
        <v>1542</v>
      </c>
      <c r="Z7" s="1082" t="s">
        <v>835</v>
      </c>
      <c r="AA7" s="1085" t="s">
        <v>1542</v>
      </c>
      <c r="AB7" s="1084" t="s">
        <v>835</v>
      </c>
      <c r="AC7" s="1087" t="s">
        <v>474</v>
      </c>
    </row>
    <row r="8" spans="1:29" s="6" customFormat="1" ht="26.25" customHeight="1">
      <c r="A8" s="181" t="s">
        <v>638</v>
      </c>
      <c r="B8" s="182" t="s">
        <v>639</v>
      </c>
      <c r="C8" s="852">
        <f>+E8+G8+I8+K8</f>
        <v>99</v>
      </c>
      <c r="D8" s="853">
        <f>+F8+H8+J8+L8</f>
        <v>98</v>
      </c>
      <c r="E8" s="213">
        <v>64</v>
      </c>
      <c r="F8" s="213">
        <v>63</v>
      </c>
      <c r="G8" s="343">
        <v>15</v>
      </c>
      <c r="H8" s="344">
        <v>22</v>
      </c>
      <c r="I8" s="348">
        <v>14</v>
      </c>
      <c r="J8" s="346">
        <v>5</v>
      </c>
      <c r="K8" s="213">
        <v>6</v>
      </c>
      <c r="L8" s="213">
        <v>8</v>
      </c>
      <c r="M8" s="852">
        <f t="shared" ref="M8:M22" si="0">+O8+Q8+S8+U8+W8+Y8</f>
        <v>168</v>
      </c>
      <c r="N8" s="853">
        <f t="shared" ref="N8:N22" si="1">+P8+R8+T8+V8+X8+Z8</f>
        <v>158</v>
      </c>
      <c r="O8" s="213">
        <v>78</v>
      </c>
      <c r="P8" s="213">
        <v>75</v>
      </c>
      <c r="Q8" s="348">
        <v>23</v>
      </c>
      <c r="R8" s="346">
        <v>16</v>
      </c>
      <c r="S8" s="213">
        <v>13</v>
      </c>
      <c r="T8" s="213">
        <v>21</v>
      </c>
      <c r="U8" s="348">
        <v>8</v>
      </c>
      <c r="V8" s="346">
        <v>1</v>
      </c>
      <c r="W8" s="348">
        <v>29</v>
      </c>
      <c r="X8" s="346">
        <v>34</v>
      </c>
      <c r="Y8" s="213">
        <v>17</v>
      </c>
      <c r="Z8" s="213">
        <v>11</v>
      </c>
      <c r="AA8" s="852">
        <f t="shared" ref="AA8:AA22" si="2">+C8+M8</f>
        <v>267</v>
      </c>
      <c r="AB8" s="213">
        <f t="shared" ref="AB8:AB22" si="3">+D8+N8</f>
        <v>256</v>
      </c>
      <c r="AC8" s="858">
        <f>SUM(AA8:AB8)</f>
        <v>523</v>
      </c>
    </row>
    <row r="9" spans="1:29" s="6" customFormat="1" ht="26.25" customHeight="1">
      <c r="A9" s="181" t="s">
        <v>640</v>
      </c>
      <c r="B9" s="182" t="s">
        <v>641</v>
      </c>
      <c r="C9" s="852">
        <f>+E9+G9+I9+K9</f>
        <v>88</v>
      </c>
      <c r="D9" s="853">
        <f>+F9+H9+J9+L9</f>
        <v>74</v>
      </c>
      <c r="E9" s="213">
        <v>54</v>
      </c>
      <c r="F9" s="213">
        <v>49</v>
      </c>
      <c r="G9" s="343">
        <v>10</v>
      </c>
      <c r="H9" s="344">
        <v>11</v>
      </c>
      <c r="I9" s="343">
        <v>13</v>
      </c>
      <c r="J9" s="344">
        <v>9</v>
      </c>
      <c r="K9" s="213">
        <v>11</v>
      </c>
      <c r="L9" s="213">
        <v>5</v>
      </c>
      <c r="M9" s="852">
        <f t="shared" si="0"/>
        <v>134</v>
      </c>
      <c r="N9" s="853">
        <f t="shared" si="1"/>
        <v>118</v>
      </c>
      <c r="O9" s="213">
        <v>63</v>
      </c>
      <c r="P9" s="213">
        <v>61</v>
      </c>
      <c r="Q9" s="343">
        <v>21</v>
      </c>
      <c r="R9" s="344">
        <v>16</v>
      </c>
      <c r="S9" s="213">
        <v>8</v>
      </c>
      <c r="T9" s="213">
        <v>10</v>
      </c>
      <c r="U9" s="343">
        <v>4</v>
      </c>
      <c r="V9" s="344">
        <v>1</v>
      </c>
      <c r="W9" s="343">
        <v>25</v>
      </c>
      <c r="X9" s="344">
        <v>18</v>
      </c>
      <c r="Y9" s="213">
        <v>13</v>
      </c>
      <c r="Z9" s="213">
        <v>12</v>
      </c>
      <c r="AA9" s="852">
        <f t="shared" si="2"/>
        <v>222</v>
      </c>
      <c r="AB9" s="213">
        <f t="shared" si="3"/>
        <v>192</v>
      </c>
      <c r="AC9" s="858">
        <f>SUM(AA9:AB9)</f>
        <v>414</v>
      </c>
    </row>
    <row r="10" spans="1:29" s="6" customFormat="1" ht="26.25" customHeight="1">
      <c r="A10" s="181" t="s">
        <v>642</v>
      </c>
      <c r="B10" s="182" t="s">
        <v>643</v>
      </c>
      <c r="C10" s="852">
        <f t="shared" ref="C10:C22" si="4">+E10+G10+I10+K10</f>
        <v>40</v>
      </c>
      <c r="D10" s="853">
        <f t="shared" ref="D10:D22" si="5">+F10+H10+J10+L10</f>
        <v>35</v>
      </c>
      <c r="E10" s="213">
        <v>26</v>
      </c>
      <c r="F10" s="213">
        <v>21</v>
      </c>
      <c r="G10" s="343">
        <v>6</v>
      </c>
      <c r="H10" s="344">
        <v>6</v>
      </c>
      <c r="I10" s="343">
        <v>5</v>
      </c>
      <c r="J10" s="344">
        <v>5</v>
      </c>
      <c r="K10" s="213">
        <v>3</v>
      </c>
      <c r="L10" s="213">
        <v>3</v>
      </c>
      <c r="M10" s="852">
        <f t="shared" si="0"/>
        <v>73</v>
      </c>
      <c r="N10" s="853">
        <f t="shared" si="1"/>
        <v>63</v>
      </c>
      <c r="O10" s="213">
        <v>35</v>
      </c>
      <c r="P10" s="213">
        <v>23</v>
      </c>
      <c r="Q10" s="343">
        <v>13</v>
      </c>
      <c r="R10" s="344">
        <v>12</v>
      </c>
      <c r="S10" s="213">
        <v>5</v>
      </c>
      <c r="T10" s="213">
        <v>4</v>
      </c>
      <c r="U10" s="343">
        <v>3</v>
      </c>
      <c r="V10" s="344">
        <v>2</v>
      </c>
      <c r="W10" s="343">
        <v>12</v>
      </c>
      <c r="X10" s="344">
        <v>13</v>
      </c>
      <c r="Y10" s="213">
        <v>5</v>
      </c>
      <c r="Z10" s="213">
        <v>9</v>
      </c>
      <c r="AA10" s="852">
        <f t="shared" si="2"/>
        <v>113</v>
      </c>
      <c r="AB10" s="213">
        <f t="shared" si="3"/>
        <v>98</v>
      </c>
      <c r="AC10" s="858">
        <f t="shared" ref="AC10:AC22" si="6">SUM(AA10:AB10)</f>
        <v>211</v>
      </c>
    </row>
    <row r="11" spans="1:29" s="6" customFormat="1" ht="26.25" customHeight="1">
      <c r="A11" s="181" t="s">
        <v>645</v>
      </c>
      <c r="B11" s="182" t="s">
        <v>646</v>
      </c>
      <c r="C11" s="852">
        <f t="shared" si="4"/>
        <v>31</v>
      </c>
      <c r="D11" s="853">
        <f t="shared" si="5"/>
        <v>12</v>
      </c>
      <c r="E11" s="213">
        <v>19</v>
      </c>
      <c r="F11" s="213">
        <v>7</v>
      </c>
      <c r="G11" s="343">
        <v>8</v>
      </c>
      <c r="H11" s="344">
        <v>3</v>
      </c>
      <c r="I11" s="343">
        <v>3</v>
      </c>
      <c r="J11" s="344">
        <v>0</v>
      </c>
      <c r="K11" s="213">
        <v>1</v>
      </c>
      <c r="L11" s="213">
        <v>2</v>
      </c>
      <c r="M11" s="852">
        <f t="shared" si="0"/>
        <v>53</v>
      </c>
      <c r="N11" s="853">
        <f t="shared" si="1"/>
        <v>17</v>
      </c>
      <c r="O11" s="213">
        <v>26</v>
      </c>
      <c r="P11" s="213">
        <v>13</v>
      </c>
      <c r="Q11" s="343">
        <v>6</v>
      </c>
      <c r="R11" s="344">
        <v>2</v>
      </c>
      <c r="S11" s="213">
        <v>6</v>
      </c>
      <c r="T11" s="213">
        <v>1</v>
      </c>
      <c r="U11" s="343">
        <v>4</v>
      </c>
      <c r="V11" s="344">
        <v>0</v>
      </c>
      <c r="W11" s="343">
        <v>7</v>
      </c>
      <c r="X11" s="344">
        <v>0</v>
      </c>
      <c r="Y11" s="213">
        <v>4</v>
      </c>
      <c r="Z11" s="213">
        <v>1</v>
      </c>
      <c r="AA11" s="852">
        <f t="shared" si="2"/>
        <v>84</v>
      </c>
      <c r="AB11" s="213">
        <f t="shared" si="3"/>
        <v>29</v>
      </c>
      <c r="AC11" s="858">
        <f t="shared" si="6"/>
        <v>113</v>
      </c>
    </row>
    <row r="12" spans="1:29" s="6" customFormat="1" ht="26.25" customHeight="1">
      <c r="A12" s="181" t="s">
        <v>647</v>
      </c>
      <c r="B12" s="182" t="s">
        <v>648</v>
      </c>
      <c r="C12" s="852">
        <f t="shared" si="4"/>
        <v>28</v>
      </c>
      <c r="D12" s="853">
        <f t="shared" si="5"/>
        <v>23</v>
      </c>
      <c r="E12" s="213">
        <v>19</v>
      </c>
      <c r="F12" s="213">
        <v>15</v>
      </c>
      <c r="G12" s="343">
        <v>6</v>
      </c>
      <c r="H12" s="344">
        <v>4</v>
      </c>
      <c r="I12" s="343">
        <v>1</v>
      </c>
      <c r="J12" s="344">
        <v>3</v>
      </c>
      <c r="K12" s="213">
        <v>2</v>
      </c>
      <c r="L12" s="213">
        <v>1</v>
      </c>
      <c r="M12" s="852">
        <f t="shared" si="0"/>
        <v>49</v>
      </c>
      <c r="N12" s="853">
        <f t="shared" si="1"/>
        <v>42</v>
      </c>
      <c r="O12" s="213">
        <v>23</v>
      </c>
      <c r="P12" s="213">
        <v>25</v>
      </c>
      <c r="Q12" s="343">
        <v>7</v>
      </c>
      <c r="R12" s="344">
        <v>3</v>
      </c>
      <c r="S12" s="213">
        <v>3</v>
      </c>
      <c r="T12" s="213">
        <v>3</v>
      </c>
      <c r="U12" s="343">
        <v>3</v>
      </c>
      <c r="V12" s="344">
        <v>4</v>
      </c>
      <c r="W12" s="343">
        <v>9</v>
      </c>
      <c r="X12" s="344">
        <v>2</v>
      </c>
      <c r="Y12" s="213">
        <v>4</v>
      </c>
      <c r="Z12" s="213">
        <v>5</v>
      </c>
      <c r="AA12" s="852">
        <f t="shared" si="2"/>
        <v>77</v>
      </c>
      <c r="AB12" s="213">
        <f t="shared" si="3"/>
        <v>65</v>
      </c>
      <c r="AC12" s="858">
        <f t="shared" si="6"/>
        <v>142</v>
      </c>
    </row>
    <row r="13" spans="1:29" s="6" customFormat="1" ht="26.25" customHeight="1">
      <c r="A13" s="181" t="s">
        <v>649</v>
      </c>
      <c r="B13" s="182" t="s">
        <v>650</v>
      </c>
      <c r="C13" s="852">
        <f t="shared" si="4"/>
        <v>8</v>
      </c>
      <c r="D13" s="853">
        <f t="shared" si="5"/>
        <v>8</v>
      </c>
      <c r="E13" s="213">
        <v>7</v>
      </c>
      <c r="F13" s="213">
        <v>8</v>
      </c>
      <c r="G13" s="343">
        <v>1</v>
      </c>
      <c r="H13" s="344">
        <v>0</v>
      </c>
      <c r="I13" s="343">
        <v>0</v>
      </c>
      <c r="J13" s="344">
        <v>0</v>
      </c>
      <c r="K13" s="213">
        <v>0</v>
      </c>
      <c r="L13" s="213">
        <v>0</v>
      </c>
      <c r="M13" s="852">
        <f t="shared" si="0"/>
        <v>21</v>
      </c>
      <c r="N13" s="853">
        <f t="shared" si="1"/>
        <v>16</v>
      </c>
      <c r="O13" s="213">
        <v>9</v>
      </c>
      <c r="P13" s="213">
        <v>6</v>
      </c>
      <c r="Q13" s="343">
        <v>4</v>
      </c>
      <c r="R13" s="344">
        <v>4</v>
      </c>
      <c r="S13" s="213">
        <v>2</v>
      </c>
      <c r="T13" s="213">
        <v>2</v>
      </c>
      <c r="U13" s="343">
        <v>0</v>
      </c>
      <c r="V13" s="344">
        <v>0</v>
      </c>
      <c r="W13" s="343">
        <v>4</v>
      </c>
      <c r="X13" s="344">
        <v>1</v>
      </c>
      <c r="Y13" s="213">
        <v>2</v>
      </c>
      <c r="Z13" s="213">
        <v>3</v>
      </c>
      <c r="AA13" s="852">
        <f t="shared" si="2"/>
        <v>29</v>
      </c>
      <c r="AB13" s="213">
        <f t="shared" si="3"/>
        <v>24</v>
      </c>
      <c r="AC13" s="858">
        <f t="shared" si="6"/>
        <v>53</v>
      </c>
    </row>
    <row r="14" spans="1:29" s="6" customFormat="1" ht="26.25" customHeight="1">
      <c r="A14" s="181" t="s">
        <v>651</v>
      </c>
      <c r="B14" s="182" t="s">
        <v>652</v>
      </c>
      <c r="C14" s="852">
        <f t="shared" si="4"/>
        <v>3</v>
      </c>
      <c r="D14" s="853">
        <f t="shared" si="5"/>
        <v>6</v>
      </c>
      <c r="E14" s="213">
        <v>2</v>
      </c>
      <c r="F14" s="213">
        <v>3</v>
      </c>
      <c r="G14" s="343">
        <v>1</v>
      </c>
      <c r="H14" s="344">
        <v>0</v>
      </c>
      <c r="I14" s="343">
        <v>0</v>
      </c>
      <c r="J14" s="344">
        <v>3</v>
      </c>
      <c r="K14" s="213">
        <v>0</v>
      </c>
      <c r="L14" s="213">
        <v>0</v>
      </c>
      <c r="M14" s="852">
        <f t="shared" si="0"/>
        <v>9</v>
      </c>
      <c r="N14" s="853">
        <f t="shared" si="1"/>
        <v>8</v>
      </c>
      <c r="O14" s="213">
        <v>4</v>
      </c>
      <c r="P14" s="213">
        <v>4</v>
      </c>
      <c r="Q14" s="343">
        <v>3</v>
      </c>
      <c r="R14" s="344">
        <v>1</v>
      </c>
      <c r="S14" s="213">
        <v>0</v>
      </c>
      <c r="T14" s="213">
        <v>1</v>
      </c>
      <c r="U14" s="343">
        <v>1</v>
      </c>
      <c r="V14" s="344">
        <v>0</v>
      </c>
      <c r="W14" s="343">
        <v>1</v>
      </c>
      <c r="X14" s="344">
        <v>1</v>
      </c>
      <c r="Y14" s="213">
        <v>0</v>
      </c>
      <c r="Z14" s="213">
        <v>1</v>
      </c>
      <c r="AA14" s="852">
        <f t="shared" si="2"/>
        <v>12</v>
      </c>
      <c r="AB14" s="213">
        <f t="shared" si="3"/>
        <v>14</v>
      </c>
      <c r="AC14" s="858">
        <f t="shared" si="6"/>
        <v>26</v>
      </c>
    </row>
    <row r="15" spans="1:29" s="6" customFormat="1" ht="26.25" customHeight="1">
      <c r="A15" s="181" t="s">
        <v>653</v>
      </c>
      <c r="B15" s="182" t="s">
        <v>654</v>
      </c>
      <c r="C15" s="852">
        <f t="shared" si="4"/>
        <v>10</v>
      </c>
      <c r="D15" s="853">
        <f t="shared" si="5"/>
        <v>27</v>
      </c>
      <c r="E15" s="213">
        <v>8</v>
      </c>
      <c r="F15" s="213">
        <v>17</v>
      </c>
      <c r="G15" s="343">
        <v>2</v>
      </c>
      <c r="H15" s="344">
        <v>7</v>
      </c>
      <c r="I15" s="343">
        <v>0</v>
      </c>
      <c r="J15" s="344">
        <v>3</v>
      </c>
      <c r="K15" s="213">
        <v>0</v>
      </c>
      <c r="L15" s="213">
        <v>0</v>
      </c>
      <c r="M15" s="852">
        <f t="shared" si="0"/>
        <v>28</v>
      </c>
      <c r="N15" s="853">
        <f t="shared" si="1"/>
        <v>25</v>
      </c>
      <c r="O15" s="213">
        <v>17</v>
      </c>
      <c r="P15" s="213">
        <v>17</v>
      </c>
      <c r="Q15" s="343">
        <v>3</v>
      </c>
      <c r="R15" s="344">
        <v>2</v>
      </c>
      <c r="S15" s="213">
        <v>2</v>
      </c>
      <c r="T15" s="213">
        <v>2</v>
      </c>
      <c r="U15" s="343">
        <v>2</v>
      </c>
      <c r="V15" s="344">
        <v>0</v>
      </c>
      <c r="W15" s="343">
        <v>3</v>
      </c>
      <c r="X15" s="344">
        <v>2</v>
      </c>
      <c r="Y15" s="213">
        <v>1</v>
      </c>
      <c r="Z15" s="213">
        <v>2</v>
      </c>
      <c r="AA15" s="852">
        <f t="shared" si="2"/>
        <v>38</v>
      </c>
      <c r="AB15" s="213">
        <f t="shared" si="3"/>
        <v>52</v>
      </c>
      <c r="AC15" s="858">
        <f t="shared" si="6"/>
        <v>90</v>
      </c>
    </row>
    <row r="16" spans="1:29" s="6" customFormat="1" ht="26.25" customHeight="1">
      <c r="A16" s="181" t="s">
        <v>198</v>
      </c>
      <c r="B16" s="182" t="s">
        <v>199</v>
      </c>
      <c r="C16" s="852">
        <f>+E16+G16+I16+K16</f>
        <v>14</v>
      </c>
      <c r="D16" s="853">
        <f>+F16+H16+J16+L16</f>
        <v>17</v>
      </c>
      <c r="E16" s="213">
        <v>8</v>
      </c>
      <c r="F16" s="213">
        <v>6</v>
      </c>
      <c r="G16" s="343">
        <v>6</v>
      </c>
      <c r="H16" s="344">
        <v>7</v>
      </c>
      <c r="I16" s="343">
        <v>0</v>
      </c>
      <c r="J16" s="344">
        <v>2</v>
      </c>
      <c r="K16" s="213">
        <v>0</v>
      </c>
      <c r="L16" s="213">
        <v>2</v>
      </c>
      <c r="M16" s="852">
        <f>+O16+Q16+S16+U16+W16+Y16</f>
        <v>22</v>
      </c>
      <c r="N16" s="853">
        <f>+P16+R16+T16+V16+X16+Z16</f>
        <v>31</v>
      </c>
      <c r="O16" s="213">
        <v>9</v>
      </c>
      <c r="P16" s="213">
        <v>12</v>
      </c>
      <c r="Q16" s="343">
        <v>3</v>
      </c>
      <c r="R16" s="344">
        <v>3</v>
      </c>
      <c r="S16" s="213">
        <v>2</v>
      </c>
      <c r="T16" s="213">
        <v>3</v>
      </c>
      <c r="U16" s="343">
        <v>2</v>
      </c>
      <c r="V16" s="344">
        <v>1</v>
      </c>
      <c r="W16" s="343">
        <v>2</v>
      </c>
      <c r="X16" s="344">
        <v>9</v>
      </c>
      <c r="Y16" s="213">
        <v>4</v>
      </c>
      <c r="Z16" s="213">
        <v>3</v>
      </c>
      <c r="AA16" s="852">
        <f>+C16+M16</f>
        <v>36</v>
      </c>
      <c r="AB16" s="213">
        <f>+D16+N16</f>
        <v>48</v>
      </c>
      <c r="AC16" s="858">
        <f>SUM(AA16:AB16)</f>
        <v>84</v>
      </c>
    </row>
    <row r="17" spans="1:31" s="6" customFormat="1" ht="26.25" customHeight="1">
      <c r="A17" s="181" t="s">
        <v>655</v>
      </c>
      <c r="B17" s="182" t="s">
        <v>656</v>
      </c>
      <c r="C17" s="852">
        <f t="shared" si="4"/>
        <v>19</v>
      </c>
      <c r="D17" s="853">
        <f t="shared" si="5"/>
        <v>26</v>
      </c>
      <c r="E17" s="213">
        <v>9</v>
      </c>
      <c r="F17" s="213">
        <v>15</v>
      </c>
      <c r="G17" s="343">
        <v>3</v>
      </c>
      <c r="H17" s="344">
        <v>5</v>
      </c>
      <c r="I17" s="343">
        <v>5</v>
      </c>
      <c r="J17" s="344">
        <v>0</v>
      </c>
      <c r="K17" s="213">
        <v>2</v>
      </c>
      <c r="L17" s="213">
        <v>6</v>
      </c>
      <c r="M17" s="852">
        <f t="shared" si="0"/>
        <v>15</v>
      </c>
      <c r="N17" s="853">
        <f t="shared" si="1"/>
        <v>25</v>
      </c>
      <c r="O17" s="213">
        <v>7</v>
      </c>
      <c r="P17" s="213">
        <v>11</v>
      </c>
      <c r="Q17" s="343">
        <v>0</v>
      </c>
      <c r="R17" s="344">
        <v>3</v>
      </c>
      <c r="S17" s="213">
        <v>3</v>
      </c>
      <c r="T17" s="213">
        <v>3</v>
      </c>
      <c r="U17" s="343">
        <v>1</v>
      </c>
      <c r="V17" s="344">
        <v>1</v>
      </c>
      <c r="W17" s="343">
        <v>3</v>
      </c>
      <c r="X17" s="344">
        <v>4</v>
      </c>
      <c r="Y17" s="213">
        <v>1</v>
      </c>
      <c r="Z17" s="213">
        <v>3</v>
      </c>
      <c r="AA17" s="852">
        <f t="shared" si="2"/>
        <v>34</v>
      </c>
      <c r="AB17" s="213">
        <f t="shared" si="3"/>
        <v>51</v>
      </c>
      <c r="AC17" s="858">
        <f t="shared" si="6"/>
        <v>85</v>
      </c>
    </row>
    <row r="18" spans="1:31" s="6" customFormat="1" ht="26.25" customHeight="1">
      <c r="A18" s="181" t="s">
        <v>657</v>
      </c>
      <c r="B18" s="182" t="s">
        <v>658</v>
      </c>
      <c r="C18" s="852">
        <f t="shared" si="4"/>
        <v>2</v>
      </c>
      <c r="D18" s="853">
        <f t="shared" si="5"/>
        <v>1</v>
      </c>
      <c r="E18" s="213">
        <v>1</v>
      </c>
      <c r="F18" s="213">
        <v>0</v>
      </c>
      <c r="G18" s="343">
        <v>1</v>
      </c>
      <c r="H18" s="344">
        <v>0</v>
      </c>
      <c r="I18" s="343">
        <v>0</v>
      </c>
      <c r="J18" s="344">
        <v>1</v>
      </c>
      <c r="K18" s="213">
        <v>0</v>
      </c>
      <c r="L18" s="213">
        <v>0</v>
      </c>
      <c r="M18" s="852">
        <f t="shared" si="0"/>
        <v>0</v>
      </c>
      <c r="N18" s="853">
        <f t="shared" si="1"/>
        <v>2</v>
      </c>
      <c r="O18" s="213">
        <v>0</v>
      </c>
      <c r="P18" s="213">
        <v>1</v>
      </c>
      <c r="Q18" s="343">
        <v>0</v>
      </c>
      <c r="R18" s="344">
        <v>0</v>
      </c>
      <c r="S18" s="213">
        <v>0</v>
      </c>
      <c r="T18" s="213">
        <v>0</v>
      </c>
      <c r="U18" s="343">
        <v>0</v>
      </c>
      <c r="V18" s="344">
        <v>0</v>
      </c>
      <c r="W18" s="343">
        <v>0</v>
      </c>
      <c r="X18" s="344">
        <v>1</v>
      </c>
      <c r="Y18" s="213">
        <v>0</v>
      </c>
      <c r="Z18" s="213">
        <v>0</v>
      </c>
      <c r="AA18" s="852">
        <f t="shared" si="2"/>
        <v>2</v>
      </c>
      <c r="AB18" s="213">
        <f t="shared" si="3"/>
        <v>3</v>
      </c>
      <c r="AC18" s="858">
        <f t="shared" si="6"/>
        <v>5</v>
      </c>
    </row>
    <row r="19" spans="1:31" s="6" customFormat="1" ht="26.25" customHeight="1">
      <c r="A19" s="181" t="s">
        <v>659</v>
      </c>
      <c r="B19" s="182" t="s">
        <v>660</v>
      </c>
      <c r="C19" s="852">
        <f t="shared" si="4"/>
        <v>3</v>
      </c>
      <c r="D19" s="853">
        <f t="shared" si="5"/>
        <v>0</v>
      </c>
      <c r="E19" s="213">
        <v>2</v>
      </c>
      <c r="F19" s="213">
        <v>0</v>
      </c>
      <c r="G19" s="343">
        <v>0</v>
      </c>
      <c r="H19" s="344">
        <v>0</v>
      </c>
      <c r="I19" s="343">
        <v>1</v>
      </c>
      <c r="J19" s="344">
        <v>0</v>
      </c>
      <c r="K19" s="213">
        <v>0</v>
      </c>
      <c r="L19" s="213">
        <v>0</v>
      </c>
      <c r="M19" s="852">
        <f t="shared" si="0"/>
        <v>3</v>
      </c>
      <c r="N19" s="853">
        <f t="shared" si="1"/>
        <v>4</v>
      </c>
      <c r="O19" s="213">
        <v>3</v>
      </c>
      <c r="P19" s="213">
        <v>2</v>
      </c>
      <c r="Q19" s="343">
        <v>0</v>
      </c>
      <c r="R19" s="344">
        <v>2</v>
      </c>
      <c r="S19" s="213">
        <v>0</v>
      </c>
      <c r="T19" s="213">
        <v>0</v>
      </c>
      <c r="U19" s="343">
        <v>0</v>
      </c>
      <c r="V19" s="344">
        <v>0</v>
      </c>
      <c r="W19" s="343">
        <v>0</v>
      </c>
      <c r="X19" s="344">
        <v>0</v>
      </c>
      <c r="Y19" s="213">
        <v>0</v>
      </c>
      <c r="Z19" s="213">
        <v>0</v>
      </c>
      <c r="AA19" s="852">
        <f t="shared" si="2"/>
        <v>6</v>
      </c>
      <c r="AB19" s="213">
        <f t="shared" si="3"/>
        <v>4</v>
      </c>
      <c r="AC19" s="858">
        <f t="shared" si="6"/>
        <v>10</v>
      </c>
    </row>
    <row r="20" spans="1:31" s="6" customFormat="1" ht="26.25" customHeight="1">
      <c r="A20" s="181" t="s">
        <v>1437</v>
      </c>
      <c r="B20" s="182" t="s">
        <v>1439</v>
      </c>
      <c r="C20" s="852">
        <f>+E20+G20+I20+K20</f>
        <v>21</v>
      </c>
      <c r="D20" s="853">
        <f>+F20+H20+J20+L20</f>
        <v>9</v>
      </c>
      <c r="E20" s="213">
        <v>18</v>
      </c>
      <c r="F20" s="213">
        <v>8</v>
      </c>
      <c r="G20" s="343">
        <v>3</v>
      </c>
      <c r="H20" s="344">
        <v>1</v>
      </c>
      <c r="I20" s="343">
        <v>0</v>
      </c>
      <c r="J20" s="344">
        <v>0</v>
      </c>
      <c r="K20" s="213">
        <v>0</v>
      </c>
      <c r="L20" s="213">
        <v>0</v>
      </c>
      <c r="M20" s="852">
        <f>+O20+Q20+S20+U20+W20+Y20</f>
        <v>25</v>
      </c>
      <c r="N20" s="853">
        <f>+P20+R20+T20+V20+X20+Z20</f>
        <v>22</v>
      </c>
      <c r="O20" s="213">
        <v>13</v>
      </c>
      <c r="P20" s="213">
        <v>16</v>
      </c>
      <c r="Q20" s="343">
        <v>2</v>
      </c>
      <c r="R20" s="344">
        <v>3</v>
      </c>
      <c r="S20" s="213">
        <v>0</v>
      </c>
      <c r="T20" s="213">
        <v>1</v>
      </c>
      <c r="U20" s="343">
        <v>1</v>
      </c>
      <c r="V20" s="344">
        <v>0</v>
      </c>
      <c r="W20" s="343">
        <v>4</v>
      </c>
      <c r="X20" s="344">
        <v>1</v>
      </c>
      <c r="Y20" s="213">
        <v>5</v>
      </c>
      <c r="Z20" s="213">
        <v>1</v>
      </c>
      <c r="AA20" s="852">
        <f>+C20+M20</f>
        <v>46</v>
      </c>
      <c r="AB20" s="213">
        <f>+D20+N20</f>
        <v>31</v>
      </c>
      <c r="AC20" s="858">
        <f>SUM(AA20:AB20)</f>
        <v>77</v>
      </c>
    </row>
    <row r="21" spans="1:31" s="6" customFormat="1" ht="26.25" customHeight="1">
      <c r="A21" s="181" t="s">
        <v>1438</v>
      </c>
      <c r="B21" s="211" t="s">
        <v>1440</v>
      </c>
      <c r="C21" s="852">
        <f>+E21+G21+I21+K21</f>
        <v>0</v>
      </c>
      <c r="D21" s="853">
        <f>+F21+H21+J21+L21</f>
        <v>0</v>
      </c>
      <c r="E21" s="213">
        <v>0</v>
      </c>
      <c r="F21" s="213">
        <v>0</v>
      </c>
      <c r="G21" s="343">
        <v>0</v>
      </c>
      <c r="H21" s="344">
        <v>0</v>
      </c>
      <c r="I21" s="343">
        <v>0</v>
      </c>
      <c r="J21" s="344">
        <v>0</v>
      </c>
      <c r="K21" s="213">
        <v>0</v>
      </c>
      <c r="L21" s="213">
        <v>0</v>
      </c>
      <c r="M21" s="852">
        <f>+O21+Q21+S21+U21+W21+Y21</f>
        <v>2</v>
      </c>
      <c r="N21" s="853">
        <f>+P21+R21+T21+V21+X21+Z21</f>
        <v>1</v>
      </c>
      <c r="O21" s="213">
        <v>2</v>
      </c>
      <c r="P21" s="213">
        <v>1</v>
      </c>
      <c r="Q21" s="343">
        <v>0</v>
      </c>
      <c r="R21" s="344">
        <v>0</v>
      </c>
      <c r="S21" s="213">
        <v>0</v>
      </c>
      <c r="T21" s="213">
        <v>0</v>
      </c>
      <c r="U21" s="343">
        <v>0</v>
      </c>
      <c r="V21" s="344">
        <v>0</v>
      </c>
      <c r="W21" s="343">
        <v>0</v>
      </c>
      <c r="X21" s="344">
        <v>0</v>
      </c>
      <c r="Y21" s="213">
        <v>0</v>
      </c>
      <c r="Z21" s="213">
        <v>0</v>
      </c>
      <c r="AA21" s="852">
        <f>+C21+M21</f>
        <v>2</v>
      </c>
      <c r="AB21" s="213">
        <f>+D21+N21</f>
        <v>1</v>
      </c>
      <c r="AC21" s="858">
        <f>SUM(AA21:AB21)</f>
        <v>3</v>
      </c>
    </row>
    <row r="22" spans="1:31" s="6" customFormat="1" ht="26.25" customHeight="1">
      <c r="A22" s="211"/>
      <c r="B22" s="182" t="s">
        <v>438</v>
      </c>
      <c r="C22" s="852">
        <f t="shared" si="4"/>
        <v>12</v>
      </c>
      <c r="D22" s="853">
        <f t="shared" si="5"/>
        <v>15</v>
      </c>
      <c r="E22" s="153">
        <v>5</v>
      </c>
      <c r="F22" s="153">
        <v>12</v>
      </c>
      <c r="G22" s="152">
        <v>3</v>
      </c>
      <c r="H22" s="151">
        <v>1</v>
      </c>
      <c r="I22" s="152">
        <v>1</v>
      </c>
      <c r="J22" s="151">
        <v>1</v>
      </c>
      <c r="K22" s="153">
        <v>3</v>
      </c>
      <c r="L22" s="153">
        <v>1</v>
      </c>
      <c r="M22" s="852">
        <f t="shared" si="0"/>
        <v>23</v>
      </c>
      <c r="N22" s="853">
        <f t="shared" si="1"/>
        <v>34</v>
      </c>
      <c r="O22" s="153">
        <v>12</v>
      </c>
      <c r="P22" s="153">
        <v>17</v>
      </c>
      <c r="Q22" s="152">
        <v>0</v>
      </c>
      <c r="R22" s="151">
        <v>4</v>
      </c>
      <c r="S22" s="153">
        <v>2</v>
      </c>
      <c r="T22" s="153">
        <v>1</v>
      </c>
      <c r="U22" s="152">
        <v>0</v>
      </c>
      <c r="V22" s="151">
        <v>0</v>
      </c>
      <c r="W22" s="152">
        <v>6</v>
      </c>
      <c r="X22" s="151">
        <v>9</v>
      </c>
      <c r="Y22" s="655">
        <v>3</v>
      </c>
      <c r="Z22" s="213">
        <v>3</v>
      </c>
      <c r="AA22" s="852">
        <f t="shared" si="2"/>
        <v>35</v>
      </c>
      <c r="AB22" s="213">
        <f t="shared" si="3"/>
        <v>49</v>
      </c>
      <c r="AC22" s="858">
        <f t="shared" si="6"/>
        <v>84</v>
      </c>
    </row>
    <row r="23" spans="1:31" ht="21.75" customHeight="1" thickBot="1">
      <c r="A23" s="214"/>
      <c r="B23" s="398" t="s">
        <v>474</v>
      </c>
      <c r="C23" s="854">
        <f t="shared" ref="C23:AC23" si="7">SUM(C8:C22)</f>
        <v>378</v>
      </c>
      <c r="D23" s="855">
        <f t="shared" si="7"/>
        <v>351</v>
      </c>
      <c r="E23" s="215">
        <f t="shared" si="7"/>
        <v>242</v>
      </c>
      <c r="F23" s="215">
        <f t="shared" si="7"/>
        <v>224</v>
      </c>
      <c r="G23" s="242">
        <f t="shared" si="7"/>
        <v>65</v>
      </c>
      <c r="H23" s="228">
        <f t="shared" si="7"/>
        <v>67</v>
      </c>
      <c r="I23" s="242">
        <f t="shared" si="7"/>
        <v>43</v>
      </c>
      <c r="J23" s="228">
        <f t="shared" si="7"/>
        <v>32</v>
      </c>
      <c r="K23" s="215">
        <f t="shared" si="7"/>
        <v>28</v>
      </c>
      <c r="L23" s="215">
        <f t="shared" si="7"/>
        <v>28</v>
      </c>
      <c r="M23" s="856">
        <f t="shared" si="7"/>
        <v>625</v>
      </c>
      <c r="N23" s="857">
        <f t="shared" si="7"/>
        <v>566</v>
      </c>
      <c r="O23" s="215">
        <f t="shared" si="7"/>
        <v>301</v>
      </c>
      <c r="P23" s="215">
        <f t="shared" si="7"/>
        <v>284</v>
      </c>
      <c r="Q23" s="242">
        <f t="shared" si="7"/>
        <v>85</v>
      </c>
      <c r="R23" s="228">
        <f t="shared" si="7"/>
        <v>71</v>
      </c>
      <c r="S23" s="215">
        <f t="shared" si="7"/>
        <v>46</v>
      </c>
      <c r="T23" s="215">
        <f t="shared" si="7"/>
        <v>52</v>
      </c>
      <c r="U23" s="242">
        <f t="shared" si="7"/>
        <v>29</v>
      </c>
      <c r="V23" s="228">
        <f t="shared" si="7"/>
        <v>10</v>
      </c>
      <c r="W23" s="242">
        <f t="shared" si="7"/>
        <v>105</v>
      </c>
      <c r="X23" s="228">
        <f t="shared" si="7"/>
        <v>95</v>
      </c>
      <c r="Y23" s="215">
        <f t="shared" si="7"/>
        <v>59</v>
      </c>
      <c r="Z23" s="347">
        <f t="shared" si="7"/>
        <v>54</v>
      </c>
      <c r="AA23" s="856">
        <f t="shared" si="7"/>
        <v>1003</v>
      </c>
      <c r="AB23" s="859">
        <f t="shared" si="7"/>
        <v>917</v>
      </c>
      <c r="AC23" s="860">
        <f t="shared" si="7"/>
        <v>1920</v>
      </c>
      <c r="AE23" s="6"/>
    </row>
    <row r="24" spans="1:31">
      <c r="A24" s="10"/>
      <c r="B24" s="10"/>
      <c r="C24" s="10"/>
      <c r="D24" s="10"/>
      <c r="E24" s="10"/>
      <c r="F24" s="10"/>
      <c r="G24" s="10"/>
      <c r="H24" s="10"/>
      <c r="I24" s="10"/>
      <c r="J24" s="10"/>
      <c r="K24" s="10"/>
      <c r="L24" s="10"/>
      <c r="M24" s="10"/>
      <c r="N24" s="10"/>
      <c r="O24" s="10"/>
      <c r="P24" s="10"/>
      <c r="Q24" s="10"/>
      <c r="R24" s="10"/>
      <c r="S24" s="10"/>
      <c r="T24" s="10"/>
      <c r="U24" s="10"/>
      <c r="V24" s="10"/>
      <c r="W24" s="10"/>
      <c r="X24" s="10"/>
      <c r="Y24" s="10"/>
    </row>
    <row r="25" spans="1:31">
      <c r="A25" s="10"/>
      <c r="B25" s="129"/>
      <c r="C25" s="10"/>
      <c r="D25" s="10"/>
      <c r="E25" s="129"/>
      <c r="F25" s="129"/>
      <c r="G25" s="129"/>
      <c r="H25" s="129"/>
      <c r="I25" s="129"/>
      <c r="J25" s="129"/>
      <c r="K25" s="129"/>
      <c r="L25" s="129"/>
      <c r="M25" s="10"/>
      <c r="N25" s="10"/>
      <c r="O25" s="129"/>
      <c r="P25" s="129"/>
      <c r="Q25" s="129"/>
      <c r="R25" s="129"/>
      <c r="S25" s="129"/>
      <c r="T25" s="129"/>
      <c r="U25" s="129"/>
      <c r="V25" s="129"/>
      <c r="W25" s="129"/>
      <c r="X25" s="129"/>
      <c r="Y25" s="624"/>
      <c r="Z25" s="10"/>
      <c r="AA25" s="10"/>
      <c r="AB25" s="10"/>
      <c r="AD25" s="88"/>
    </row>
    <row r="26" spans="1:31">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row>
    <row r="27" spans="1:31">
      <c r="A27" s="10"/>
      <c r="B27" s="10"/>
      <c r="C27" s="10"/>
      <c r="D27" s="10"/>
      <c r="E27" s="129"/>
      <c r="F27" s="129"/>
      <c r="G27" s="129"/>
      <c r="H27" s="129"/>
      <c r="I27" s="129"/>
      <c r="J27" s="129"/>
      <c r="K27" s="129"/>
      <c r="L27" s="129"/>
      <c r="M27" s="129"/>
      <c r="N27" s="129"/>
      <c r="O27" s="129"/>
      <c r="P27" s="129"/>
      <c r="Q27" s="129"/>
      <c r="R27" s="129"/>
      <c r="S27" s="129"/>
      <c r="T27" s="129"/>
      <c r="U27" s="129"/>
      <c r="V27" s="129"/>
      <c r="W27" s="129"/>
      <c r="X27" s="129"/>
      <c r="Y27" s="129"/>
      <c r="Z27" s="129"/>
      <c r="AA27" s="129"/>
      <c r="AB27" s="129"/>
      <c r="AC27" s="10"/>
    </row>
    <row r="28" spans="1:31" ht="12.75" customHeight="1">
      <c r="A28" s="10"/>
      <c r="B28" s="10"/>
      <c r="C28" s="10"/>
      <c r="D28" s="10"/>
      <c r="E28" s="10"/>
      <c r="F28" s="10"/>
      <c r="G28" s="10"/>
      <c r="H28" s="10"/>
      <c r="I28" s="10"/>
      <c r="J28" s="10"/>
      <c r="K28" s="10"/>
      <c r="L28" s="10"/>
      <c r="M28" s="10"/>
      <c r="N28" s="10"/>
      <c r="O28" s="10"/>
      <c r="P28" s="10"/>
      <c r="Q28" s="10"/>
      <c r="R28" s="10"/>
      <c r="S28" s="10"/>
      <c r="T28" s="10"/>
      <c r="U28" s="10"/>
      <c r="V28" s="10"/>
      <c r="W28" s="10"/>
      <c r="X28" s="10"/>
      <c r="Y28" s="10"/>
    </row>
    <row r="29" spans="1:31" s="1069" customFormat="1">
      <c r="A29" s="949" t="s">
        <v>1349</v>
      </c>
      <c r="B29" s="950"/>
      <c r="C29" s="950"/>
      <c r="D29" s="950"/>
      <c r="E29" s="950"/>
      <c r="F29" s="950"/>
      <c r="G29" s="950"/>
      <c r="H29" s="950"/>
      <c r="I29" s="950"/>
      <c r="J29" s="950"/>
      <c r="K29" s="950"/>
      <c r="L29" s="950"/>
      <c r="M29" s="950"/>
      <c r="N29" s="950"/>
      <c r="O29" s="950"/>
      <c r="P29" s="950"/>
      <c r="Q29" s="950"/>
      <c r="R29" s="950"/>
      <c r="S29" s="950"/>
      <c r="T29" s="950"/>
      <c r="U29" s="950"/>
      <c r="V29" s="950"/>
      <c r="W29" s="950"/>
      <c r="X29" s="950"/>
      <c r="Y29" s="950"/>
    </row>
    <row r="30" spans="1:31" s="1069" customFormat="1">
      <c r="A30" s="949"/>
      <c r="B30" s="950"/>
      <c r="C30" s="950"/>
      <c r="D30" s="950"/>
      <c r="E30" s="950"/>
      <c r="F30" s="950"/>
      <c r="G30" s="950"/>
      <c r="H30" s="950"/>
      <c r="I30" s="950"/>
      <c r="J30" s="950"/>
      <c r="K30" s="950"/>
      <c r="L30" s="950"/>
      <c r="M30" s="950"/>
      <c r="N30" s="950"/>
      <c r="O30" s="950"/>
      <c r="P30" s="950"/>
      <c r="Q30" s="950"/>
      <c r="R30" s="950"/>
      <c r="S30" s="950"/>
      <c r="T30" s="950"/>
      <c r="U30" s="950"/>
      <c r="V30" s="950"/>
      <c r="W30" s="950"/>
      <c r="X30" s="950"/>
      <c r="Y30" s="950"/>
    </row>
    <row r="31" spans="1:31" s="1069" customFormat="1">
      <c r="A31" s="949" t="str">
        <f>+A3</f>
        <v>SERVICIO DE SALUD   ACONCAGUA   2023</v>
      </c>
      <c r="B31" s="950"/>
      <c r="C31" s="950"/>
      <c r="D31" s="950"/>
      <c r="E31" s="950"/>
      <c r="F31" s="950"/>
      <c r="G31" s="950"/>
      <c r="H31" s="950"/>
      <c r="I31" s="950"/>
      <c r="J31" s="950"/>
      <c r="K31" s="950"/>
      <c r="L31" s="950"/>
      <c r="M31" s="950"/>
      <c r="N31" s="950"/>
      <c r="O31" s="950"/>
      <c r="P31" s="950"/>
      <c r="Q31" s="950"/>
      <c r="R31" s="950"/>
      <c r="S31" s="950"/>
      <c r="T31" s="950"/>
      <c r="U31" s="950"/>
      <c r="V31" s="950"/>
      <c r="W31" s="950"/>
      <c r="X31" s="950"/>
      <c r="Y31" s="950"/>
    </row>
    <row r="32" spans="1:31" s="1069" customFormat="1">
      <c r="A32" s="949" t="s">
        <v>626</v>
      </c>
      <c r="B32" s="950"/>
      <c r="C32" s="950"/>
      <c r="D32" s="950"/>
      <c r="E32" s="950"/>
      <c r="F32" s="950"/>
      <c r="G32" s="950"/>
      <c r="H32" s="950"/>
      <c r="I32" s="950"/>
      <c r="J32" s="950"/>
      <c r="K32" s="950"/>
      <c r="L32" s="950"/>
      <c r="M32" s="950"/>
      <c r="N32" s="950"/>
      <c r="O32" s="950"/>
      <c r="P32" s="950"/>
      <c r="Q32" s="950"/>
      <c r="R32" s="950"/>
      <c r="S32" s="950"/>
      <c r="T32" s="950"/>
      <c r="U32" s="950"/>
      <c r="V32" s="950"/>
      <c r="W32" s="950"/>
      <c r="X32" s="950"/>
      <c r="Y32" s="950"/>
    </row>
    <row r="33" spans="1:28">
      <c r="A33" s="209"/>
    </row>
    <row r="34" spans="1:28">
      <c r="A34" s="209"/>
    </row>
    <row r="35" spans="1:28" ht="18" customHeight="1">
      <c r="A35" s="1072" t="s">
        <v>627</v>
      </c>
      <c r="B35" s="1073"/>
      <c r="C35" s="1529" t="s">
        <v>661</v>
      </c>
      <c r="D35" s="1530"/>
      <c r="E35" s="1530"/>
      <c r="F35" s="1530"/>
      <c r="G35" s="1530"/>
      <c r="H35" s="1530"/>
      <c r="I35" s="1530"/>
      <c r="J35" s="1530"/>
      <c r="K35" s="1530"/>
      <c r="L35" s="1530"/>
      <c r="M35" s="1530"/>
      <c r="N35" s="1530"/>
      <c r="O35" s="1530"/>
      <c r="P35" s="1530"/>
      <c r="Q35" s="1530"/>
      <c r="R35" s="1530"/>
      <c r="S35" s="1530"/>
      <c r="T35" s="1530"/>
      <c r="U35" s="1530"/>
      <c r="V35" s="1530"/>
      <c r="W35" s="1530"/>
      <c r="X35" s="1530"/>
      <c r="Y35" s="1530"/>
      <c r="Z35" s="1530"/>
      <c r="AA35" s="1531"/>
    </row>
    <row r="36" spans="1:28" ht="21.75" customHeight="1">
      <c r="A36" s="1524" t="s">
        <v>629</v>
      </c>
      <c r="B36" s="1077" t="s">
        <v>630</v>
      </c>
      <c r="C36" s="1047" t="s">
        <v>662</v>
      </c>
      <c r="D36" s="1088"/>
      <c r="E36" s="1047" t="s">
        <v>663</v>
      </c>
      <c r="F36" s="1048"/>
      <c r="G36" s="1088" t="s">
        <v>664</v>
      </c>
      <c r="H36" s="1088"/>
      <c r="I36" s="1047" t="s">
        <v>665</v>
      </c>
      <c r="J36" s="1048"/>
      <c r="K36" s="1088" t="s">
        <v>666</v>
      </c>
      <c r="L36" s="1088"/>
      <c r="M36" s="1047" t="s">
        <v>667</v>
      </c>
      <c r="N36" s="1048"/>
      <c r="O36" s="1088" t="s">
        <v>668</v>
      </c>
      <c r="P36" s="1088"/>
      <c r="Q36" s="1047" t="s">
        <v>669</v>
      </c>
      <c r="R36" s="1048"/>
      <c r="S36" s="1088" t="s">
        <v>670</v>
      </c>
      <c r="T36" s="1088"/>
      <c r="U36" s="1047" t="s">
        <v>671</v>
      </c>
      <c r="V36" s="1048"/>
      <c r="W36" s="1047" t="s">
        <v>672</v>
      </c>
      <c r="X36" s="1088"/>
      <c r="Y36" s="1526" t="s">
        <v>474</v>
      </c>
      <c r="Z36" s="1527"/>
      <c r="AA36" s="1528"/>
    </row>
    <row r="37" spans="1:28" ht="21.75" customHeight="1">
      <c r="A37" s="1525"/>
      <c r="B37" s="1079"/>
      <c r="C37" s="1082" t="s">
        <v>1542</v>
      </c>
      <c r="D37" s="1082" t="s">
        <v>835</v>
      </c>
      <c r="E37" s="1083" t="s">
        <v>1542</v>
      </c>
      <c r="F37" s="1084" t="s">
        <v>835</v>
      </c>
      <c r="G37" s="1082" t="s">
        <v>1542</v>
      </c>
      <c r="H37" s="1082" t="s">
        <v>835</v>
      </c>
      <c r="I37" s="1083" t="s">
        <v>1542</v>
      </c>
      <c r="J37" s="1084" t="s">
        <v>835</v>
      </c>
      <c r="K37" s="1082" t="s">
        <v>1542</v>
      </c>
      <c r="L37" s="1082" t="s">
        <v>835</v>
      </c>
      <c r="M37" s="1083" t="s">
        <v>1542</v>
      </c>
      <c r="N37" s="1084" t="s">
        <v>835</v>
      </c>
      <c r="O37" s="1082" t="s">
        <v>1542</v>
      </c>
      <c r="P37" s="1082" t="s">
        <v>835</v>
      </c>
      <c r="Q37" s="1083" t="s">
        <v>1542</v>
      </c>
      <c r="R37" s="1084" t="s">
        <v>835</v>
      </c>
      <c r="S37" s="1082" t="s">
        <v>1542</v>
      </c>
      <c r="T37" s="1082" t="s">
        <v>835</v>
      </c>
      <c r="U37" s="1083" t="s">
        <v>1542</v>
      </c>
      <c r="V37" s="1084" t="s">
        <v>835</v>
      </c>
      <c r="W37" s="1083" t="s">
        <v>1542</v>
      </c>
      <c r="X37" s="1082" t="s">
        <v>835</v>
      </c>
      <c r="Y37" s="1085" t="s">
        <v>1542</v>
      </c>
      <c r="Z37" s="1084" t="s">
        <v>835</v>
      </c>
      <c r="AA37" s="1087" t="s">
        <v>474</v>
      </c>
    </row>
    <row r="38" spans="1:28" s="6" customFormat="1" ht="26.25" customHeight="1">
      <c r="A38" s="181" t="s">
        <v>638</v>
      </c>
      <c r="B38" s="211" t="s">
        <v>639</v>
      </c>
      <c r="C38" s="213"/>
      <c r="D38" s="213"/>
      <c r="E38" s="343">
        <v>0</v>
      </c>
      <c r="F38" s="344">
        <v>0</v>
      </c>
      <c r="G38" s="213">
        <v>0</v>
      </c>
      <c r="H38" s="213">
        <v>0</v>
      </c>
      <c r="I38" s="343">
        <v>0</v>
      </c>
      <c r="J38" s="344">
        <v>0</v>
      </c>
      <c r="K38" s="213">
        <v>0</v>
      </c>
      <c r="L38" s="213">
        <v>0</v>
      </c>
      <c r="M38" s="343">
        <v>0</v>
      </c>
      <c r="N38" s="344">
        <v>0</v>
      </c>
      <c r="O38" s="213">
        <v>0</v>
      </c>
      <c r="P38" s="213">
        <v>0</v>
      </c>
      <c r="Q38" s="343">
        <v>0</v>
      </c>
      <c r="R38" s="344">
        <v>0</v>
      </c>
      <c r="S38" s="213">
        <v>7</v>
      </c>
      <c r="T38" s="213">
        <v>1</v>
      </c>
      <c r="U38" s="343">
        <v>43</v>
      </c>
      <c r="V38" s="344">
        <v>25</v>
      </c>
      <c r="W38" s="348">
        <v>217</v>
      </c>
      <c r="X38" s="345">
        <v>230</v>
      </c>
      <c r="Y38" s="862">
        <f>+E38+G38+I38+K38+M38+O38+Q38+S38+U38+W38</f>
        <v>267</v>
      </c>
      <c r="Z38" s="72">
        <f>+F38+H38+J38+L38+N38+P38+R38+T38+V38+X38</f>
        <v>256</v>
      </c>
      <c r="AA38" s="863">
        <f>SUM(Y38:Z38)</f>
        <v>523</v>
      </c>
      <c r="AB38" s="222"/>
    </row>
    <row r="39" spans="1:28" s="6" customFormat="1" ht="26.25" customHeight="1">
      <c r="A39" s="181" t="s">
        <v>640</v>
      </c>
      <c r="B39" s="211" t="s">
        <v>641</v>
      </c>
      <c r="C39" s="213"/>
      <c r="D39" s="213"/>
      <c r="E39" s="343">
        <v>0</v>
      </c>
      <c r="F39" s="344">
        <v>0</v>
      </c>
      <c r="G39" s="213">
        <v>0</v>
      </c>
      <c r="H39" s="213">
        <v>0</v>
      </c>
      <c r="I39" s="343">
        <v>0</v>
      </c>
      <c r="J39" s="344">
        <v>0</v>
      </c>
      <c r="K39" s="213">
        <v>0</v>
      </c>
      <c r="L39" s="213">
        <v>0</v>
      </c>
      <c r="M39" s="343">
        <v>0</v>
      </c>
      <c r="N39" s="344">
        <v>0</v>
      </c>
      <c r="O39" s="213">
        <v>0</v>
      </c>
      <c r="P39" s="213">
        <v>0</v>
      </c>
      <c r="Q39" s="343">
        <v>0</v>
      </c>
      <c r="R39" s="344">
        <v>0</v>
      </c>
      <c r="S39" s="213">
        <v>10</v>
      </c>
      <c r="T39" s="213">
        <v>4</v>
      </c>
      <c r="U39" s="343">
        <v>51</v>
      </c>
      <c r="V39" s="344">
        <v>52</v>
      </c>
      <c r="W39" s="343">
        <v>161</v>
      </c>
      <c r="X39" s="213">
        <v>136</v>
      </c>
      <c r="Y39" s="852">
        <f t="shared" ref="Y39:Y53" si="8">+E39+G39+I39+K39+M39+O39+Q39+S39+U39+W39</f>
        <v>222</v>
      </c>
      <c r="Z39" s="34">
        <f t="shared" ref="Z39:Z53" si="9">+F39+H39+J39+L39+N39+P39+R39+T39+V39+X39</f>
        <v>192</v>
      </c>
      <c r="AA39" s="864">
        <f t="shared" ref="AA39:AA53" si="10">SUM(Y39:Z39)</f>
        <v>414</v>
      </c>
    </row>
    <row r="40" spans="1:28" s="6" customFormat="1" ht="26.25" customHeight="1">
      <c r="A40" s="181" t="s">
        <v>642</v>
      </c>
      <c r="B40" s="211" t="s">
        <v>643</v>
      </c>
      <c r="C40" s="213"/>
      <c r="D40" s="213"/>
      <c r="E40" s="343">
        <v>0</v>
      </c>
      <c r="F40" s="344">
        <v>0</v>
      </c>
      <c r="G40" s="213">
        <v>0</v>
      </c>
      <c r="H40" s="213">
        <v>0</v>
      </c>
      <c r="I40" s="343">
        <v>0</v>
      </c>
      <c r="J40" s="344">
        <v>0</v>
      </c>
      <c r="K40" s="213">
        <v>0</v>
      </c>
      <c r="L40" s="213">
        <v>0</v>
      </c>
      <c r="M40" s="343">
        <v>0</v>
      </c>
      <c r="N40" s="344">
        <v>0</v>
      </c>
      <c r="O40" s="213">
        <v>0</v>
      </c>
      <c r="P40" s="213">
        <v>1</v>
      </c>
      <c r="Q40" s="343">
        <v>0</v>
      </c>
      <c r="R40" s="344">
        <v>1</v>
      </c>
      <c r="S40" s="213">
        <v>2</v>
      </c>
      <c r="T40" s="213">
        <v>1</v>
      </c>
      <c r="U40" s="343">
        <v>10</v>
      </c>
      <c r="V40" s="344">
        <v>8</v>
      </c>
      <c r="W40" s="343">
        <v>101</v>
      </c>
      <c r="X40" s="213">
        <v>87</v>
      </c>
      <c r="Y40" s="852">
        <f t="shared" si="8"/>
        <v>113</v>
      </c>
      <c r="Z40" s="848">
        <f t="shared" si="9"/>
        <v>98</v>
      </c>
      <c r="AA40" s="863">
        <f t="shared" si="10"/>
        <v>211</v>
      </c>
      <c r="AB40" s="222"/>
    </row>
    <row r="41" spans="1:28" s="6" customFormat="1" ht="26.25" customHeight="1">
      <c r="A41" s="181" t="s">
        <v>645</v>
      </c>
      <c r="B41" s="211" t="s">
        <v>646</v>
      </c>
      <c r="C41" s="213"/>
      <c r="D41" s="213"/>
      <c r="E41" s="343">
        <v>0</v>
      </c>
      <c r="F41" s="344">
        <v>0</v>
      </c>
      <c r="G41" s="213">
        <v>0</v>
      </c>
      <c r="H41" s="213">
        <v>0</v>
      </c>
      <c r="I41" s="343">
        <v>0</v>
      </c>
      <c r="J41" s="344">
        <v>0</v>
      </c>
      <c r="K41" s="213">
        <v>2</v>
      </c>
      <c r="L41" s="213">
        <v>0</v>
      </c>
      <c r="M41" s="343">
        <v>0</v>
      </c>
      <c r="N41" s="344">
        <v>0</v>
      </c>
      <c r="O41" s="213">
        <v>0</v>
      </c>
      <c r="P41" s="213">
        <v>0</v>
      </c>
      <c r="Q41" s="343">
        <v>3</v>
      </c>
      <c r="R41" s="344">
        <v>0</v>
      </c>
      <c r="S41" s="213">
        <v>36</v>
      </c>
      <c r="T41" s="213">
        <v>9</v>
      </c>
      <c r="U41" s="343">
        <v>27</v>
      </c>
      <c r="V41" s="344">
        <v>5</v>
      </c>
      <c r="W41" s="343">
        <v>16</v>
      </c>
      <c r="X41" s="213">
        <v>15</v>
      </c>
      <c r="Y41" s="852">
        <f t="shared" si="8"/>
        <v>84</v>
      </c>
      <c r="Z41" s="34">
        <f t="shared" si="9"/>
        <v>29</v>
      </c>
      <c r="AA41" s="864">
        <f t="shared" si="10"/>
        <v>113</v>
      </c>
    </row>
    <row r="42" spans="1:28" s="6" customFormat="1" ht="26.25" customHeight="1">
      <c r="A42" s="181" t="s">
        <v>647</v>
      </c>
      <c r="B42" s="211" t="s">
        <v>648</v>
      </c>
      <c r="C42" s="213"/>
      <c r="D42" s="213"/>
      <c r="E42" s="343">
        <v>0</v>
      </c>
      <c r="F42" s="344">
        <v>0</v>
      </c>
      <c r="G42" s="213">
        <v>0</v>
      </c>
      <c r="H42" s="213">
        <v>0</v>
      </c>
      <c r="I42" s="343">
        <v>0</v>
      </c>
      <c r="J42" s="344">
        <v>0</v>
      </c>
      <c r="K42" s="213">
        <v>0</v>
      </c>
      <c r="L42" s="213">
        <v>0</v>
      </c>
      <c r="M42" s="343">
        <v>0</v>
      </c>
      <c r="N42" s="344">
        <v>0</v>
      </c>
      <c r="O42" s="213">
        <v>0</v>
      </c>
      <c r="P42" s="213">
        <v>0</v>
      </c>
      <c r="Q42" s="343">
        <v>0</v>
      </c>
      <c r="R42" s="344">
        <v>0</v>
      </c>
      <c r="S42" s="213">
        <v>5</v>
      </c>
      <c r="T42" s="213">
        <v>2</v>
      </c>
      <c r="U42" s="343">
        <v>27</v>
      </c>
      <c r="V42" s="344">
        <v>10</v>
      </c>
      <c r="W42" s="343">
        <v>45</v>
      </c>
      <c r="X42" s="213">
        <v>53</v>
      </c>
      <c r="Y42" s="852">
        <f t="shared" si="8"/>
        <v>77</v>
      </c>
      <c r="Z42" s="34">
        <f t="shared" si="9"/>
        <v>65</v>
      </c>
      <c r="AA42" s="864">
        <f t="shared" si="10"/>
        <v>142</v>
      </c>
    </row>
    <row r="43" spans="1:28" s="6" customFormat="1" ht="26.25" customHeight="1">
      <c r="A43" s="181" t="s">
        <v>649</v>
      </c>
      <c r="B43" s="211" t="s">
        <v>650</v>
      </c>
      <c r="C43" s="213"/>
      <c r="D43" s="213"/>
      <c r="E43" s="343">
        <v>0</v>
      </c>
      <c r="F43" s="344">
        <v>0</v>
      </c>
      <c r="G43" s="213">
        <v>0</v>
      </c>
      <c r="H43" s="213">
        <v>0</v>
      </c>
      <c r="I43" s="343">
        <v>0</v>
      </c>
      <c r="J43" s="344">
        <v>0</v>
      </c>
      <c r="K43" s="213">
        <v>0</v>
      </c>
      <c r="L43" s="213">
        <v>0</v>
      </c>
      <c r="M43" s="343">
        <v>0</v>
      </c>
      <c r="N43" s="344">
        <v>0</v>
      </c>
      <c r="O43" s="213">
        <v>0</v>
      </c>
      <c r="P43" s="213">
        <v>0</v>
      </c>
      <c r="Q43" s="343">
        <v>0</v>
      </c>
      <c r="R43" s="344">
        <v>0</v>
      </c>
      <c r="S43" s="213">
        <v>1</v>
      </c>
      <c r="T43" s="213">
        <v>0</v>
      </c>
      <c r="U43" s="343">
        <v>4</v>
      </c>
      <c r="V43" s="344">
        <v>3</v>
      </c>
      <c r="W43" s="343">
        <v>24</v>
      </c>
      <c r="X43" s="213">
        <v>21</v>
      </c>
      <c r="Y43" s="852">
        <f t="shared" si="8"/>
        <v>29</v>
      </c>
      <c r="Z43" s="34">
        <f t="shared" si="9"/>
        <v>24</v>
      </c>
      <c r="AA43" s="864">
        <f t="shared" si="10"/>
        <v>53</v>
      </c>
    </row>
    <row r="44" spans="1:28" s="6" customFormat="1" ht="26.25" customHeight="1">
      <c r="A44" s="181" t="s">
        <v>651</v>
      </c>
      <c r="B44" s="211" t="s">
        <v>652</v>
      </c>
      <c r="C44" s="213"/>
      <c r="D44" s="213"/>
      <c r="E44" s="343">
        <v>0</v>
      </c>
      <c r="F44" s="344">
        <v>0</v>
      </c>
      <c r="G44" s="213">
        <v>0</v>
      </c>
      <c r="H44" s="213">
        <v>0</v>
      </c>
      <c r="I44" s="343">
        <v>0</v>
      </c>
      <c r="J44" s="344">
        <v>0</v>
      </c>
      <c r="K44" s="213">
        <v>0</v>
      </c>
      <c r="L44" s="213">
        <v>0</v>
      </c>
      <c r="M44" s="343">
        <v>0</v>
      </c>
      <c r="N44" s="344">
        <v>0</v>
      </c>
      <c r="O44" s="213">
        <v>0</v>
      </c>
      <c r="P44" s="213">
        <v>0</v>
      </c>
      <c r="Q44" s="343">
        <v>0</v>
      </c>
      <c r="R44" s="344">
        <v>0</v>
      </c>
      <c r="S44" s="213">
        <v>2</v>
      </c>
      <c r="T44" s="213">
        <v>1</v>
      </c>
      <c r="U44" s="343">
        <v>2</v>
      </c>
      <c r="V44" s="344">
        <v>1</v>
      </c>
      <c r="W44" s="343">
        <v>8</v>
      </c>
      <c r="X44" s="213">
        <v>12</v>
      </c>
      <c r="Y44" s="852">
        <f t="shared" si="8"/>
        <v>12</v>
      </c>
      <c r="Z44" s="34">
        <f t="shared" si="9"/>
        <v>14</v>
      </c>
      <c r="AA44" s="864">
        <f t="shared" si="10"/>
        <v>26</v>
      </c>
    </row>
    <row r="45" spans="1:28" s="6" customFormat="1" ht="26.25" customHeight="1">
      <c r="A45" s="181" t="s">
        <v>653</v>
      </c>
      <c r="B45" s="211" t="s">
        <v>673</v>
      </c>
      <c r="C45" s="213"/>
      <c r="D45" s="213"/>
      <c r="E45" s="343">
        <v>0</v>
      </c>
      <c r="F45" s="344">
        <v>1</v>
      </c>
      <c r="G45" s="213">
        <v>0</v>
      </c>
      <c r="H45" s="213">
        <v>0</v>
      </c>
      <c r="I45" s="343">
        <v>1</v>
      </c>
      <c r="J45" s="344">
        <v>0</v>
      </c>
      <c r="K45" s="213">
        <v>0</v>
      </c>
      <c r="L45" s="213">
        <v>0</v>
      </c>
      <c r="M45" s="343">
        <v>0</v>
      </c>
      <c r="N45" s="344">
        <v>0</v>
      </c>
      <c r="O45" s="213">
        <v>0</v>
      </c>
      <c r="P45" s="213">
        <v>0</v>
      </c>
      <c r="Q45" s="343">
        <v>0</v>
      </c>
      <c r="R45" s="344">
        <v>0</v>
      </c>
      <c r="S45" s="213">
        <v>0</v>
      </c>
      <c r="T45" s="213">
        <v>1</v>
      </c>
      <c r="U45" s="343">
        <v>3</v>
      </c>
      <c r="V45" s="344">
        <v>2</v>
      </c>
      <c r="W45" s="343">
        <v>34</v>
      </c>
      <c r="X45" s="213">
        <v>48</v>
      </c>
      <c r="Y45" s="852">
        <f t="shared" si="8"/>
        <v>38</v>
      </c>
      <c r="Z45" s="34">
        <f t="shared" si="9"/>
        <v>52</v>
      </c>
      <c r="AA45" s="864">
        <f t="shared" si="10"/>
        <v>90</v>
      </c>
    </row>
    <row r="46" spans="1:28" s="6" customFormat="1" ht="26.25" customHeight="1">
      <c r="A46" s="181" t="s">
        <v>198</v>
      </c>
      <c r="B46" s="211" t="s">
        <v>199</v>
      </c>
      <c r="C46" s="213"/>
      <c r="D46" s="213"/>
      <c r="E46" s="343">
        <v>0</v>
      </c>
      <c r="F46" s="344">
        <v>0</v>
      </c>
      <c r="G46" s="213">
        <v>0</v>
      </c>
      <c r="H46" s="213">
        <v>0</v>
      </c>
      <c r="I46" s="343">
        <v>0</v>
      </c>
      <c r="J46" s="344">
        <v>0</v>
      </c>
      <c r="K46" s="213">
        <v>1</v>
      </c>
      <c r="L46" s="213">
        <v>0</v>
      </c>
      <c r="M46" s="343">
        <v>0</v>
      </c>
      <c r="N46" s="344">
        <v>0</v>
      </c>
      <c r="O46" s="213">
        <v>0</v>
      </c>
      <c r="P46" s="213">
        <v>2</v>
      </c>
      <c r="Q46" s="343">
        <v>0</v>
      </c>
      <c r="R46" s="344">
        <v>1</v>
      </c>
      <c r="S46" s="213">
        <v>4</v>
      </c>
      <c r="T46" s="213">
        <v>1</v>
      </c>
      <c r="U46" s="343">
        <v>7</v>
      </c>
      <c r="V46" s="344">
        <v>3</v>
      </c>
      <c r="W46" s="343">
        <v>24</v>
      </c>
      <c r="X46" s="213">
        <v>41</v>
      </c>
      <c r="Y46" s="852">
        <f>+E46+G46+I46+K46+M46+O46+Q46+S46+U46+W46</f>
        <v>36</v>
      </c>
      <c r="Z46" s="34">
        <f>+F46+H46+J46+L46+N46+P46+R46+T46+V46+X46</f>
        <v>48</v>
      </c>
      <c r="AA46" s="864">
        <f>SUM(Y46:Z46)</f>
        <v>84</v>
      </c>
    </row>
    <row r="47" spans="1:28" s="6" customFormat="1" ht="26.25" customHeight="1">
      <c r="A47" s="181" t="s">
        <v>655</v>
      </c>
      <c r="B47" s="211" t="s">
        <v>656</v>
      </c>
      <c r="C47" s="213"/>
      <c r="D47" s="213"/>
      <c r="E47" s="343">
        <v>0</v>
      </c>
      <c r="F47" s="344">
        <v>0</v>
      </c>
      <c r="G47" s="213">
        <v>0</v>
      </c>
      <c r="H47" s="213">
        <v>0</v>
      </c>
      <c r="I47" s="343">
        <v>0</v>
      </c>
      <c r="J47" s="344">
        <v>0</v>
      </c>
      <c r="K47" s="213">
        <v>0</v>
      </c>
      <c r="L47" s="213">
        <v>0</v>
      </c>
      <c r="M47" s="343">
        <v>0</v>
      </c>
      <c r="N47" s="344">
        <v>1</v>
      </c>
      <c r="O47" s="213">
        <v>0</v>
      </c>
      <c r="P47" s="213">
        <v>0</v>
      </c>
      <c r="Q47" s="343">
        <v>0</v>
      </c>
      <c r="R47" s="344">
        <v>0</v>
      </c>
      <c r="S47" s="213">
        <v>3</v>
      </c>
      <c r="T47" s="213">
        <v>0</v>
      </c>
      <c r="U47" s="343">
        <v>10</v>
      </c>
      <c r="V47" s="344">
        <v>8</v>
      </c>
      <c r="W47" s="343">
        <v>21</v>
      </c>
      <c r="X47" s="213">
        <v>42</v>
      </c>
      <c r="Y47" s="852">
        <f t="shared" si="8"/>
        <v>34</v>
      </c>
      <c r="Z47" s="34">
        <f t="shared" si="9"/>
        <v>51</v>
      </c>
      <c r="AA47" s="864">
        <f t="shared" si="10"/>
        <v>85</v>
      </c>
    </row>
    <row r="48" spans="1:28" s="6" customFormat="1" ht="26.25" customHeight="1">
      <c r="A48" s="181" t="s">
        <v>657</v>
      </c>
      <c r="B48" s="211" t="s">
        <v>658</v>
      </c>
      <c r="C48" s="213"/>
      <c r="D48" s="213"/>
      <c r="E48" s="343">
        <v>1</v>
      </c>
      <c r="F48" s="344">
        <v>3</v>
      </c>
      <c r="G48" s="213">
        <v>1</v>
      </c>
      <c r="H48" s="213">
        <v>0</v>
      </c>
      <c r="I48" s="343">
        <v>0</v>
      </c>
      <c r="J48" s="861">
        <v>0</v>
      </c>
      <c r="K48" s="213">
        <v>0</v>
      </c>
      <c r="L48" s="213">
        <v>0</v>
      </c>
      <c r="M48" s="343">
        <v>0</v>
      </c>
      <c r="N48" s="344">
        <v>0</v>
      </c>
      <c r="O48" s="213">
        <v>0</v>
      </c>
      <c r="P48" s="213">
        <v>0</v>
      </c>
      <c r="Q48" s="343">
        <v>0</v>
      </c>
      <c r="R48" s="344">
        <v>0</v>
      </c>
      <c r="S48" s="213">
        <v>0</v>
      </c>
      <c r="T48" s="213">
        <v>0</v>
      </c>
      <c r="U48" s="343">
        <v>0</v>
      </c>
      <c r="V48" s="344">
        <v>0</v>
      </c>
      <c r="W48" s="343">
        <v>0</v>
      </c>
      <c r="X48" s="213">
        <v>0</v>
      </c>
      <c r="Y48" s="852">
        <f t="shared" si="8"/>
        <v>2</v>
      </c>
      <c r="Z48" s="34">
        <f t="shared" si="9"/>
        <v>3</v>
      </c>
      <c r="AA48" s="864">
        <f t="shared" si="10"/>
        <v>5</v>
      </c>
    </row>
    <row r="49" spans="1:29" s="6" customFormat="1" ht="26.25" customHeight="1">
      <c r="A49" s="181" t="s">
        <v>659</v>
      </c>
      <c r="B49" s="211" t="s">
        <v>660</v>
      </c>
      <c r="C49" s="213"/>
      <c r="D49" s="213"/>
      <c r="E49" s="343">
        <v>3</v>
      </c>
      <c r="F49" s="344">
        <v>1</v>
      </c>
      <c r="G49" s="213">
        <v>1</v>
      </c>
      <c r="H49" s="213">
        <v>0</v>
      </c>
      <c r="I49" s="343">
        <v>0</v>
      </c>
      <c r="J49" s="344">
        <v>0</v>
      </c>
      <c r="K49" s="213">
        <v>0</v>
      </c>
      <c r="L49" s="213">
        <v>1</v>
      </c>
      <c r="M49" s="343">
        <v>0</v>
      </c>
      <c r="N49" s="344">
        <v>0</v>
      </c>
      <c r="O49" s="213">
        <v>0</v>
      </c>
      <c r="P49" s="213">
        <v>0</v>
      </c>
      <c r="Q49" s="343">
        <v>0</v>
      </c>
      <c r="R49" s="344">
        <v>0</v>
      </c>
      <c r="S49" s="213">
        <v>2</v>
      </c>
      <c r="T49" s="213">
        <v>0</v>
      </c>
      <c r="U49" s="343">
        <v>0</v>
      </c>
      <c r="V49" s="344">
        <v>1</v>
      </c>
      <c r="W49" s="343">
        <v>0</v>
      </c>
      <c r="X49" s="213">
        <v>1</v>
      </c>
      <c r="Y49" s="852">
        <f t="shared" si="8"/>
        <v>6</v>
      </c>
      <c r="Z49" s="34">
        <f t="shared" si="9"/>
        <v>4</v>
      </c>
      <c r="AA49" s="864">
        <f t="shared" si="10"/>
        <v>10</v>
      </c>
    </row>
    <row r="50" spans="1:29" s="6" customFormat="1" ht="26.25" customHeight="1">
      <c r="A50" s="181" t="s">
        <v>1437</v>
      </c>
      <c r="B50" s="211" t="s">
        <v>1439</v>
      </c>
      <c r="C50" s="213"/>
      <c r="D50" s="213"/>
      <c r="E50" s="343">
        <v>0</v>
      </c>
      <c r="F50" s="344">
        <v>0</v>
      </c>
      <c r="G50" s="213">
        <v>0</v>
      </c>
      <c r="H50" s="213">
        <v>0</v>
      </c>
      <c r="I50" s="343">
        <v>0</v>
      </c>
      <c r="J50" s="344">
        <v>0</v>
      </c>
      <c r="K50" s="213">
        <v>0</v>
      </c>
      <c r="L50" s="213">
        <v>0</v>
      </c>
      <c r="M50" s="343">
        <v>0</v>
      </c>
      <c r="N50" s="344">
        <v>0</v>
      </c>
      <c r="O50" s="213">
        <v>0</v>
      </c>
      <c r="P50" s="213">
        <v>0</v>
      </c>
      <c r="Q50" s="343">
        <v>0</v>
      </c>
      <c r="R50" s="344">
        <v>0</v>
      </c>
      <c r="S50" s="213">
        <v>0</v>
      </c>
      <c r="T50" s="213">
        <v>0</v>
      </c>
      <c r="U50" s="343">
        <v>6</v>
      </c>
      <c r="V50" s="344">
        <v>3</v>
      </c>
      <c r="W50" s="343">
        <v>40</v>
      </c>
      <c r="X50" s="213">
        <v>28</v>
      </c>
      <c r="Y50" s="852">
        <f>+E50+G50+I50+K50+M50+O50+Q50+S50+U50+W50</f>
        <v>46</v>
      </c>
      <c r="Z50" s="34">
        <f>+F50+H50+J50+L50+N50+P50+R50+T50+V50+X50</f>
        <v>31</v>
      </c>
      <c r="AA50" s="864">
        <f>SUM(Y50:Z50)</f>
        <v>77</v>
      </c>
    </row>
    <row r="51" spans="1:29" s="6" customFormat="1" ht="26.25" customHeight="1">
      <c r="A51" s="181" t="s">
        <v>1438</v>
      </c>
      <c r="B51" s="211" t="s">
        <v>1440</v>
      </c>
      <c r="C51" s="213"/>
      <c r="D51" s="213"/>
      <c r="E51" s="343">
        <v>0</v>
      </c>
      <c r="F51" s="344">
        <v>0</v>
      </c>
      <c r="G51" s="213">
        <v>0</v>
      </c>
      <c r="H51" s="213">
        <v>0</v>
      </c>
      <c r="I51" s="343">
        <v>0</v>
      </c>
      <c r="J51" s="344">
        <v>0</v>
      </c>
      <c r="K51" s="213">
        <v>0</v>
      </c>
      <c r="L51" s="213">
        <v>0</v>
      </c>
      <c r="M51" s="343">
        <v>0</v>
      </c>
      <c r="N51" s="344">
        <v>0</v>
      </c>
      <c r="O51" s="213">
        <v>0</v>
      </c>
      <c r="P51" s="213">
        <v>0</v>
      </c>
      <c r="Q51" s="343">
        <v>0</v>
      </c>
      <c r="R51" s="344">
        <v>0</v>
      </c>
      <c r="S51" s="213">
        <v>1</v>
      </c>
      <c r="T51" s="213">
        <v>0</v>
      </c>
      <c r="U51" s="343">
        <v>0</v>
      </c>
      <c r="V51" s="344">
        <v>0</v>
      </c>
      <c r="W51" s="343">
        <v>1</v>
      </c>
      <c r="X51" s="213">
        <v>1</v>
      </c>
      <c r="Y51" s="852">
        <f>+E51+G51+I51+K51+M51+O51+Q51+S51+U51+W51</f>
        <v>2</v>
      </c>
      <c r="Z51" s="34">
        <f>+F51+H51+J51+L51+N51+P51+R51+T51+V51+X51</f>
        <v>1</v>
      </c>
      <c r="AA51" s="864">
        <f>SUM(Y51:Z51)</f>
        <v>3</v>
      </c>
    </row>
    <row r="52" spans="1:29" ht="26.25" customHeight="1">
      <c r="A52" s="211"/>
      <c r="B52" s="211" t="s">
        <v>674</v>
      </c>
      <c r="C52" s="213"/>
      <c r="D52" s="213"/>
      <c r="E52" s="343">
        <v>0</v>
      </c>
      <c r="F52" s="344">
        <v>0</v>
      </c>
      <c r="G52" s="213">
        <v>0</v>
      </c>
      <c r="H52" s="213">
        <v>0</v>
      </c>
      <c r="I52" s="343">
        <v>0</v>
      </c>
      <c r="J52" s="344">
        <v>0</v>
      </c>
      <c r="K52" s="213">
        <v>0</v>
      </c>
      <c r="L52" s="213">
        <v>1</v>
      </c>
      <c r="M52" s="343">
        <v>0</v>
      </c>
      <c r="N52" s="344">
        <v>0</v>
      </c>
      <c r="O52" s="213">
        <v>0</v>
      </c>
      <c r="P52" s="213">
        <v>0</v>
      </c>
      <c r="Q52" s="343">
        <v>0</v>
      </c>
      <c r="R52" s="344">
        <v>0</v>
      </c>
      <c r="S52" s="213">
        <v>2</v>
      </c>
      <c r="T52" s="213">
        <v>0</v>
      </c>
      <c r="U52" s="343">
        <v>4</v>
      </c>
      <c r="V52" s="344">
        <v>4</v>
      </c>
      <c r="W52" s="343">
        <v>29</v>
      </c>
      <c r="X52" s="213">
        <v>44</v>
      </c>
      <c r="Y52" s="852">
        <f t="shared" si="8"/>
        <v>35</v>
      </c>
      <c r="Z52" s="34">
        <f t="shared" si="9"/>
        <v>49</v>
      </c>
      <c r="AA52" s="864">
        <f t="shared" si="10"/>
        <v>84</v>
      </c>
      <c r="AB52" s="6"/>
      <c r="AC52" s="6"/>
    </row>
    <row r="53" spans="1:29" ht="23.25" customHeight="1" thickBot="1">
      <c r="A53" s="214"/>
      <c r="B53" s="214" t="s">
        <v>675</v>
      </c>
      <c r="C53" s="242">
        <f>SUM(C38:C52)</f>
        <v>0</v>
      </c>
      <c r="D53" s="228">
        <f>SUM(D38:D52)</f>
        <v>0</v>
      </c>
      <c r="E53" s="242">
        <f t="shared" ref="E53:X53" si="11">SUM(E38:E52)</f>
        <v>4</v>
      </c>
      <c r="F53" s="228">
        <f t="shared" si="11"/>
        <v>5</v>
      </c>
      <c r="G53" s="242">
        <f t="shared" si="11"/>
        <v>2</v>
      </c>
      <c r="H53" s="228">
        <f t="shared" si="11"/>
        <v>0</v>
      </c>
      <c r="I53" s="242">
        <f t="shared" si="11"/>
        <v>1</v>
      </c>
      <c r="J53" s="228">
        <f t="shared" si="11"/>
        <v>0</v>
      </c>
      <c r="K53" s="242">
        <f t="shared" si="11"/>
        <v>3</v>
      </c>
      <c r="L53" s="228">
        <f t="shared" si="11"/>
        <v>2</v>
      </c>
      <c r="M53" s="242">
        <f t="shared" si="11"/>
        <v>0</v>
      </c>
      <c r="N53" s="228">
        <f t="shared" si="11"/>
        <v>1</v>
      </c>
      <c r="O53" s="242">
        <f t="shared" si="11"/>
        <v>0</v>
      </c>
      <c r="P53" s="228">
        <f t="shared" si="11"/>
        <v>3</v>
      </c>
      <c r="Q53" s="242">
        <f t="shared" si="11"/>
        <v>3</v>
      </c>
      <c r="R53" s="228">
        <f t="shared" si="11"/>
        <v>2</v>
      </c>
      <c r="S53" s="242">
        <f t="shared" si="11"/>
        <v>75</v>
      </c>
      <c r="T53" s="228">
        <f t="shared" si="11"/>
        <v>20</v>
      </c>
      <c r="U53" s="242">
        <f t="shared" si="11"/>
        <v>194</v>
      </c>
      <c r="V53" s="228">
        <f t="shared" si="11"/>
        <v>125</v>
      </c>
      <c r="W53" s="242">
        <f t="shared" si="11"/>
        <v>721</v>
      </c>
      <c r="X53" s="347">
        <f t="shared" si="11"/>
        <v>759</v>
      </c>
      <c r="Y53" s="865">
        <f t="shared" si="8"/>
        <v>1003</v>
      </c>
      <c r="Z53" s="866">
        <f t="shared" si="9"/>
        <v>917</v>
      </c>
      <c r="AA53" s="867">
        <f t="shared" si="10"/>
        <v>1920</v>
      </c>
      <c r="AC53" s="6"/>
    </row>
    <row r="54" spans="1:29">
      <c r="A54" s="10"/>
      <c r="B54" s="10"/>
      <c r="C54" s="10"/>
      <c r="D54" s="10"/>
      <c r="E54" s="10"/>
      <c r="F54" s="10"/>
      <c r="G54" s="10"/>
      <c r="H54" s="10"/>
      <c r="I54" s="10"/>
      <c r="J54" s="10"/>
      <c r="K54" s="10"/>
      <c r="L54" s="10"/>
      <c r="M54" s="10"/>
      <c r="N54" s="10"/>
      <c r="O54" s="10"/>
      <c r="P54" s="10"/>
      <c r="Q54" s="10"/>
      <c r="R54" s="10"/>
      <c r="S54" s="10"/>
      <c r="T54" s="10"/>
      <c r="U54" s="10"/>
      <c r="V54" s="10"/>
      <c r="W54" s="10"/>
      <c r="X54" s="10"/>
      <c r="Y54" s="10"/>
    </row>
    <row r="67" spans="5:20">
      <c r="K67">
        <v>2022</v>
      </c>
      <c r="M67">
        <v>1992</v>
      </c>
      <c r="O67" t="s">
        <v>676</v>
      </c>
      <c r="Q67" t="s">
        <v>677</v>
      </c>
      <c r="S67" t="s">
        <v>678</v>
      </c>
    </row>
    <row r="68" spans="5:20">
      <c r="E68" s="10" t="s">
        <v>639</v>
      </c>
      <c r="F68" s="10"/>
      <c r="K68">
        <f>+AC8</f>
        <v>523</v>
      </c>
      <c r="M68">
        <v>294</v>
      </c>
      <c r="O68">
        <v>23771</v>
      </c>
      <c r="Q68" s="169">
        <f t="shared" ref="Q68:Q79" si="12">+O68/O$80*100</f>
        <v>28.409742805239507</v>
      </c>
      <c r="R68" s="169"/>
      <c r="S68" s="169">
        <f t="shared" ref="S68:S78" si="13">+K68/K$80*100</f>
        <v>29.783599088838269</v>
      </c>
      <c r="T68" s="169"/>
    </row>
    <row r="69" spans="5:20">
      <c r="E69" s="10" t="s">
        <v>641</v>
      </c>
      <c r="F69" s="10"/>
      <c r="K69">
        <f>+AC9</f>
        <v>414</v>
      </c>
      <c r="M69">
        <v>170</v>
      </c>
      <c r="O69">
        <v>19700</v>
      </c>
      <c r="Q69" s="169">
        <f t="shared" si="12"/>
        <v>23.544315900181662</v>
      </c>
      <c r="R69" s="169"/>
      <c r="S69" s="169">
        <f t="shared" si="13"/>
        <v>23.57630979498861</v>
      </c>
      <c r="T69" s="169"/>
    </row>
    <row r="70" spans="5:20">
      <c r="E70" s="10" t="s">
        <v>643</v>
      </c>
      <c r="F70" s="10"/>
      <c r="K70">
        <f>+AC10</f>
        <v>211</v>
      </c>
      <c r="M70">
        <v>151</v>
      </c>
      <c r="O70">
        <v>7432</v>
      </c>
      <c r="Q70" s="169">
        <f t="shared" si="12"/>
        <v>8.8823023233578748</v>
      </c>
      <c r="R70" s="169"/>
      <c r="S70" s="169">
        <f t="shared" si="13"/>
        <v>12.015945330296129</v>
      </c>
      <c r="T70" s="169"/>
    </row>
    <row r="71" spans="5:20">
      <c r="E71" s="10" t="s">
        <v>646</v>
      </c>
      <c r="F71" s="10"/>
      <c r="K71">
        <f>+AC11</f>
        <v>113</v>
      </c>
      <c r="M71">
        <v>100</v>
      </c>
      <c r="O71">
        <v>7407</v>
      </c>
      <c r="Q71" s="169">
        <f t="shared" si="12"/>
        <v>8.8524237498804847</v>
      </c>
      <c r="R71" s="169"/>
      <c r="S71" s="169">
        <f t="shared" si="13"/>
        <v>6.4350797266514812</v>
      </c>
      <c r="T71" s="169"/>
    </row>
    <row r="72" spans="5:20">
      <c r="E72" s="10" t="s">
        <v>648</v>
      </c>
      <c r="F72" s="10"/>
      <c r="K72">
        <f>+AC12</f>
        <v>142</v>
      </c>
      <c r="M72">
        <v>52</v>
      </c>
      <c r="O72">
        <v>6601</v>
      </c>
      <c r="Q72" s="169">
        <f t="shared" si="12"/>
        <v>7.8891385409694994</v>
      </c>
      <c r="R72" s="169"/>
      <c r="S72" s="169">
        <f t="shared" si="13"/>
        <v>8.0865603644646935</v>
      </c>
      <c r="T72" s="169"/>
    </row>
    <row r="73" spans="5:20">
      <c r="E73" s="10" t="s">
        <v>652</v>
      </c>
      <c r="F73" s="10"/>
      <c r="K73">
        <f>+AC14</f>
        <v>26</v>
      </c>
      <c r="M73">
        <v>36</v>
      </c>
      <c r="O73">
        <v>1278</v>
      </c>
      <c r="Q73" s="169">
        <f t="shared" si="12"/>
        <v>1.5273926761640693</v>
      </c>
      <c r="R73" s="169"/>
      <c r="S73" s="169">
        <f t="shared" si="13"/>
        <v>1.4806378132118452</v>
      </c>
      <c r="T73" s="169"/>
    </row>
    <row r="74" spans="5:20">
      <c r="E74" s="10" t="s">
        <v>673</v>
      </c>
      <c r="F74" s="10"/>
      <c r="K74">
        <f>+AC15</f>
        <v>90</v>
      </c>
      <c r="M74">
        <v>59</v>
      </c>
      <c r="O74">
        <v>2381</v>
      </c>
      <c r="Q74" s="169">
        <f t="shared" si="12"/>
        <v>2.845635337986423</v>
      </c>
      <c r="R74" s="169"/>
      <c r="S74" s="169">
        <f t="shared" si="13"/>
        <v>5.1252847380410023</v>
      </c>
      <c r="T74" s="169"/>
    </row>
    <row r="75" spans="5:20">
      <c r="E75" s="10" t="s">
        <v>650</v>
      </c>
      <c r="F75" s="10"/>
      <c r="K75">
        <f>+AC13</f>
        <v>53</v>
      </c>
      <c r="M75">
        <v>28</v>
      </c>
      <c r="O75">
        <v>2267</v>
      </c>
      <c r="Q75" s="169">
        <f t="shared" si="12"/>
        <v>2.7093890429295344</v>
      </c>
      <c r="R75" s="169"/>
      <c r="S75" s="169">
        <f t="shared" si="13"/>
        <v>3.0182232346241458</v>
      </c>
      <c r="T75" s="169"/>
    </row>
    <row r="76" spans="5:20">
      <c r="E76" s="10" t="s">
        <v>656</v>
      </c>
      <c r="F76" s="10"/>
      <c r="K76">
        <f>+AC17</f>
        <v>85</v>
      </c>
      <c r="M76">
        <v>23</v>
      </c>
      <c r="O76">
        <v>4148</v>
      </c>
      <c r="Q76" s="169">
        <f t="shared" si="12"/>
        <v>4.9574529113681995</v>
      </c>
      <c r="R76" s="169"/>
      <c r="S76" s="169">
        <f t="shared" si="13"/>
        <v>4.8405466970387243</v>
      </c>
      <c r="T76" s="169"/>
    </row>
    <row r="77" spans="5:20">
      <c r="E77" s="10" t="s">
        <v>658</v>
      </c>
      <c r="F77" s="10"/>
      <c r="K77">
        <f>+AC18</f>
        <v>5</v>
      </c>
      <c r="M77">
        <v>28</v>
      </c>
      <c r="O77">
        <v>738</v>
      </c>
      <c r="Q77" s="169">
        <f t="shared" si="12"/>
        <v>0.88201548905249072</v>
      </c>
      <c r="R77" s="169"/>
      <c r="S77" s="169">
        <f t="shared" si="13"/>
        <v>0.2847380410022779</v>
      </c>
      <c r="T77" s="169"/>
    </row>
    <row r="78" spans="5:20">
      <c r="E78" s="10" t="s">
        <v>660</v>
      </c>
      <c r="F78" s="10"/>
      <c r="K78">
        <f>+AC19</f>
        <v>10</v>
      </c>
      <c r="M78">
        <v>10</v>
      </c>
      <c r="O78">
        <v>916</v>
      </c>
      <c r="Q78" s="169">
        <f t="shared" si="12"/>
        <v>1.0947509322114923</v>
      </c>
      <c r="R78" s="169"/>
      <c r="S78" s="169">
        <f t="shared" si="13"/>
        <v>0.56947608200455579</v>
      </c>
      <c r="T78" s="169"/>
    </row>
    <row r="79" spans="5:20">
      <c r="E79" s="10" t="s">
        <v>674</v>
      </c>
      <c r="F79" s="10"/>
      <c r="K79">
        <f>+AC22</f>
        <v>84</v>
      </c>
      <c r="M79">
        <v>26</v>
      </c>
      <c r="O79">
        <v>7033</v>
      </c>
      <c r="Q79" s="169">
        <f t="shared" si="12"/>
        <v>8.4054402906587633</v>
      </c>
      <c r="R79" s="169"/>
      <c r="S79" s="169">
        <f>(+K79)/K$80*100</f>
        <v>4.7835990888382689</v>
      </c>
      <c r="T79" s="169"/>
    </row>
    <row r="80" spans="5:20">
      <c r="K80">
        <f>SUM(K68:K79)</f>
        <v>1756</v>
      </c>
      <c r="M80">
        <f>SUM(M68:M79)</f>
        <v>977</v>
      </c>
      <c r="O80">
        <f>SUM(O68:O79)</f>
        <v>83672</v>
      </c>
      <c r="Q80">
        <f>SUM(Q68:Q79)</f>
        <v>99.999999999999986</v>
      </c>
      <c r="S80">
        <f>SUM(S68:S79)</f>
        <v>99.999999999999986</v>
      </c>
    </row>
  </sheetData>
  <mergeCells count="8">
    <mergeCell ref="A36:A37"/>
    <mergeCell ref="Y36:AA36"/>
    <mergeCell ref="C35:AA35"/>
    <mergeCell ref="Y6:Z6"/>
    <mergeCell ref="C6:D6"/>
    <mergeCell ref="M6:N6"/>
    <mergeCell ref="AA6:AC6"/>
    <mergeCell ref="A6:A7"/>
  </mergeCells>
  <phoneticPr fontId="18" type="noConversion"/>
  <pageMargins left="1.1811023622047245" right="0.74803149606299213" top="0.98425196850393704" bottom="0.98425196850393704" header="0.51181102362204722" footer="0.51181102362204722"/>
  <pageSetup paperSize="14" scale="81" orientation="landscape" horizontalDpi="300" verticalDpi="300" r:id="rId1"/>
  <headerFooter alignWithMargins="0"/>
  <rowBreaks count="4" manualBreakCount="4">
    <brk id="23" max="16383" man="1"/>
    <brk id="28" max="16383" man="1"/>
    <brk id="56" max="16383" man="1"/>
    <brk id="97"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78"/>
  <sheetViews>
    <sheetView zoomScale="90" zoomScaleNormal="90" workbookViewId="0">
      <selection activeCell="N25" sqref="N25"/>
    </sheetView>
  </sheetViews>
  <sheetFormatPr baseColWidth="10" defaultRowHeight="12.75"/>
  <cols>
    <col min="1" max="1" width="9" customWidth="1"/>
    <col min="2" max="2" width="27.7109375" customWidth="1"/>
    <col min="3" max="3" width="10" customWidth="1"/>
    <col min="4" max="5" width="9.7109375" customWidth="1"/>
    <col min="6" max="6" width="10" customWidth="1"/>
    <col min="7" max="7" width="9" customWidth="1"/>
    <col min="8" max="8" width="8.5703125" customWidth="1"/>
    <col min="9" max="9" width="9.28515625" customWidth="1"/>
    <col min="10" max="10" width="10.28515625" customWidth="1"/>
    <col min="11" max="11" width="9.42578125" customWidth="1"/>
    <col min="12" max="12" width="8.7109375" customWidth="1"/>
    <col min="13" max="13" width="9.28515625" customWidth="1"/>
  </cols>
  <sheetData>
    <row r="1" spans="1:12" s="1069" customFormat="1">
      <c r="A1" s="1517" t="s">
        <v>1096</v>
      </c>
      <c r="B1" s="1517"/>
      <c r="C1" s="1517"/>
      <c r="D1" s="1517"/>
      <c r="E1" s="1517"/>
      <c r="F1" s="1517"/>
      <c r="G1" s="1517"/>
      <c r="H1" s="1517"/>
      <c r="I1" s="1517"/>
      <c r="J1" s="1517"/>
      <c r="K1" s="1517"/>
    </row>
    <row r="2" spans="1:12" s="1069" customFormat="1">
      <c r="A2" s="949"/>
      <c r="B2" s="949"/>
      <c r="C2" s="950"/>
      <c r="D2" s="950"/>
      <c r="E2" s="950"/>
      <c r="F2" s="950"/>
      <c r="G2" s="950"/>
      <c r="H2" s="950"/>
      <c r="I2" s="950"/>
    </row>
    <row r="3" spans="1:12" s="1069" customFormat="1">
      <c r="A3" s="1517" t="s">
        <v>584</v>
      </c>
      <c r="B3" s="1517"/>
      <c r="C3" s="1517"/>
      <c r="D3" s="1517"/>
      <c r="E3" s="1517"/>
      <c r="F3" s="1517"/>
      <c r="G3" s="1517"/>
      <c r="H3" s="1517"/>
      <c r="I3" s="1517"/>
      <c r="J3" s="1517"/>
      <c r="K3" s="1517"/>
    </row>
    <row r="4" spans="1:12" s="1069" customFormat="1">
      <c r="A4" s="1517" t="s">
        <v>626</v>
      </c>
      <c r="B4" s="1517"/>
      <c r="C4" s="1517"/>
      <c r="D4" s="1517"/>
      <c r="E4" s="1517"/>
      <c r="F4" s="1517"/>
      <c r="G4" s="1517"/>
      <c r="H4" s="1517"/>
      <c r="I4" s="1517"/>
      <c r="J4" s="1517"/>
      <c r="K4" s="1517"/>
    </row>
    <row r="5" spans="1:12">
      <c r="A5" s="209"/>
    </row>
    <row r="6" spans="1:12">
      <c r="A6" s="209"/>
    </row>
    <row r="7" spans="1:12" ht="18.75" customHeight="1">
      <c r="A7" s="1089" t="s">
        <v>627</v>
      </c>
      <c r="B7" s="1090"/>
      <c r="C7" s="1075"/>
      <c r="D7" s="1075"/>
      <c r="E7" s="1075"/>
      <c r="F7" s="1075"/>
      <c r="G7" s="1075"/>
      <c r="H7" s="1075"/>
      <c r="I7" s="1075"/>
      <c r="J7" s="1075"/>
      <c r="K7" s="1075"/>
      <c r="L7" s="1076"/>
    </row>
    <row r="8" spans="1:12" ht="23.25" customHeight="1">
      <c r="A8" s="1091" t="s">
        <v>629</v>
      </c>
      <c r="B8" s="1092" t="s">
        <v>630</v>
      </c>
      <c r="C8" s="1093">
        <v>2014</v>
      </c>
      <c r="D8" s="1093">
        <v>2015</v>
      </c>
      <c r="E8" s="1093">
        <v>2016</v>
      </c>
      <c r="F8" s="1093">
        <v>2017</v>
      </c>
      <c r="G8" s="1093">
        <v>2018</v>
      </c>
      <c r="H8" s="1093">
        <v>2019</v>
      </c>
      <c r="I8" s="1093">
        <v>2020</v>
      </c>
      <c r="J8" s="1093">
        <v>2021</v>
      </c>
      <c r="K8" s="1093">
        <v>2022</v>
      </c>
      <c r="L8" s="1093">
        <v>2023</v>
      </c>
    </row>
    <row r="9" spans="1:12" s="6" customFormat="1" ht="26.25" customHeight="1">
      <c r="A9" s="181" t="s">
        <v>638</v>
      </c>
      <c r="B9" s="211" t="s">
        <v>639</v>
      </c>
      <c r="C9" s="212">
        <v>490</v>
      </c>
      <c r="D9" s="212">
        <v>406</v>
      </c>
      <c r="E9" s="212">
        <v>426</v>
      </c>
      <c r="F9" s="212">
        <v>408</v>
      </c>
      <c r="G9" s="212">
        <v>390</v>
      </c>
      <c r="H9" s="212">
        <v>462</v>
      </c>
      <c r="I9" s="212">
        <v>561</v>
      </c>
      <c r="J9" s="212">
        <v>549</v>
      </c>
      <c r="K9" s="212">
        <v>595</v>
      </c>
      <c r="L9" s="212">
        <f>+'27'!AC8</f>
        <v>523</v>
      </c>
    </row>
    <row r="10" spans="1:12" s="6" customFormat="1" ht="26.25" customHeight="1">
      <c r="A10" s="181" t="s">
        <v>640</v>
      </c>
      <c r="B10" s="211" t="s">
        <v>641</v>
      </c>
      <c r="C10" s="212">
        <v>404</v>
      </c>
      <c r="D10" s="212">
        <v>375</v>
      </c>
      <c r="E10" s="212">
        <v>373</v>
      </c>
      <c r="F10" s="212">
        <v>399</v>
      </c>
      <c r="G10" s="212">
        <v>416</v>
      </c>
      <c r="H10" s="212">
        <v>406</v>
      </c>
      <c r="I10" s="212">
        <v>412</v>
      </c>
      <c r="J10" s="212">
        <v>425</v>
      </c>
      <c r="K10" s="212">
        <v>434</v>
      </c>
      <c r="L10" s="212">
        <f>+'27'!AC9</f>
        <v>414</v>
      </c>
    </row>
    <row r="11" spans="1:12" s="6" customFormat="1" ht="26.25" customHeight="1">
      <c r="A11" s="181" t="s">
        <v>642</v>
      </c>
      <c r="B11" s="211" t="s">
        <v>643</v>
      </c>
      <c r="C11" s="212">
        <v>167</v>
      </c>
      <c r="D11" s="212">
        <v>172</v>
      </c>
      <c r="E11" s="212">
        <v>171</v>
      </c>
      <c r="F11" s="212">
        <v>175</v>
      </c>
      <c r="G11" s="212">
        <v>167</v>
      </c>
      <c r="H11" s="212">
        <v>206</v>
      </c>
      <c r="I11" s="212">
        <v>154</v>
      </c>
      <c r="J11" s="212">
        <v>117</v>
      </c>
      <c r="K11" s="212">
        <v>209</v>
      </c>
      <c r="L11" s="212">
        <f>+'27'!AC10</f>
        <v>211</v>
      </c>
    </row>
    <row r="12" spans="1:12" s="6" customFormat="1" ht="26.25" customHeight="1">
      <c r="A12" s="181" t="s">
        <v>645</v>
      </c>
      <c r="B12" s="211" t="s">
        <v>646</v>
      </c>
      <c r="C12" s="212">
        <v>123</v>
      </c>
      <c r="D12" s="212">
        <v>92</v>
      </c>
      <c r="E12" s="212">
        <v>108</v>
      </c>
      <c r="F12" s="212">
        <v>111</v>
      </c>
      <c r="G12" s="212">
        <v>93</v>
      </c>
      <c r="H12" s="212">
        <v>113</v>
      </c>
      <c r="I12" s="212">
        <v>111</v>
      </c>
      <c r="J12" s="212">
        <v>116</v>
      </c>
      <c r="K12" s="212">
        <v>102</v>
      </c>
      <c r="L12" s="212">
        <f>+'27'!AC11</f>
        <v>113</v>
      </c>
    </row>
    <row r="13" spans="1:12" s="6" customFormat="1" ht="26.25" customHeight="1">
      <c r="A13" s="181" t="s">
        <v>647</v>
      </c>
      <c r="B13" s="211" t="s">
        <v>648</v>
      </c>
      <c r="C13" s="212">
        <v>109</v>
      </c>
      <c r="D13" s="212">
        <v>106</v>
      </c>
      <c r="E13" s="212">
        <v>118</v>
      </c>
      <c r="F13" s="212">
        <v>103</v>
      </c>
      <c r="G13" s="212">
        <v>84</v>
      </c>
      <c r="H13" s="212">
        <v>109</v>
      </c>
      <c r="I13" s="212">
        <v>100</v>
      </c>
      <c r="J13" s="212">
        <v>99</v>
      </c>
      <c r="K13" s="212">
        <v>111</v>
      </c>
      <c r="L13" s="212">
        <f>+'27'!AC12</f>
        <v>142</v>
      </c>
    </row>
    <row r="14" spans="1:12" s="6" customFormat="1" ht="26.25" customHeight="1">
      <c r="A14" s="181" t="s">
        <v>649</v>
      </c>
      <c r="B14" s="211" t="s">
        <v>650</v>
      </c>
      <c r="C14" s="212">
        <v>74</v>
      </c>
      <c r="D14" s="212">
        <v>58</v>
      </c>
      <c r="E14" s="212">
        <v>52</v>
      </c>
      <c r="F14" s="212">
        <v>72</v>
      </c>
      <c r="G14" s="212">
        <v>70</v>
      </c>
      <c r="H14" s="212">
        <v>66</v>
      </c>
      <c r="I14" s="212">
        <v>64</v>
      </c>
      <c r="J14" s="212">
        <v>74</v>
      </c>
      <c r="K14" s="212">
        <v>60</v>
      </c>
      <c r="L14" s="212">
        <f>+'27'!AC13</f>
        <v>53</v>
      </c>
    </row>
    <row r="15" spans="1:12" s="6" customFormat="1" ht="26.25" customHeight="1">
      <c r="A15" s="181" t="s">
        <v>651</v>
      </c>
      <c r="B15" s="211" t="s">
        <v>652</v>
      </c>
      <c r="C15" s="212">
        <v>35</v>
      </c>
      <c r="D15" s="212">
        <v>46</v>
      </c>
      <c r="E15" s="212">
        <v>38</v>
      </c>
      <c r="F15" s="212">
        <v>47</v>
      </c>
      <c r="G15" s="212">
        <v>36</v>
      </c>
      <c r="H15" s="212">
        <v>48</v>
      </c>
      <c r="I15" s="212">
        <v>34</v>
      </c>
      <c r="J15" s="212">
        <v>31</v>
      </c>
      <c r="K15" s="212">
        <v>31</v>
      </c>
      <c r="L15" s="212">
        <f>+'27'!AC14</f>
        <v>26</v>
      </c>
    </row>
    <row r="16" spans="1:12" s="6" customFormat="1" ht="26.25" customHeight="1">
      <c r="A16" s="181" t="s">
        <v>653</v>
      </c>
      <c r="B16" s="211" t="s">
        <v>654</v>
      </c>
      <c r="C16" s="212">
        <v>83</v>
      </c>
      <c r="D16" s="212">
        <v>100</v>
      </c>
      <c r="E16" s="212">
        <v>108</v>
      </c>
      <c r="F16" s="212">
        <v>166</v>
      </c>
      <c r="G16" s="212">
        <v>155</v>
      </c>
      <c r="H16" s="212">
        <v>92</v>
      </c>
      <c r="I16" s="212">
        <v>52</v>
      </c>
      <c r="J16" s="212">
        <v>51</v>
      </c>
      <c r="K16" s="212">
        <v>95</v>
      </c>
      <c r="L16" s="212">
        <f>+'27'!AC15</f>
        <v>90</v>
      </c>
    </row>
    <row r="17" spans="1:14" s="6" customFormat="1" ht="26.25" customHeight="1">
      <c r="A17" s="181" t="s">
        <v>198</v>
      </c>
      <c r="B17" s="211" t="s">
        <v>199</v>
      </c>
      <c r="C17" s="212"/>
      <c r="D17" s="212"/>
      <c r="E17" s="212"/>
      <c r="F17" s="212"/>
      <c r="G17" s="212"/>
      <c r="H17" s="212">
        <v>61</v>
      </c>
      <c r="I17" s="212">
        <v>74</v>
      </c>
      <c r="J17" s="212">
        <v>69</v>
      </c>
      <c r="K17" s="212">
        <v>84</v>
      </c>
      <c r="L17" s="212">
        <f>+'27'!AC16</f>
        <v>84</v>
      </c>
    </row>
    <row r="18" spans="1:14" s="6" customFormat="1" ht="26.25" customHeight="1">
      <c r="A18" s="181" t="s">
        <v>655</v>
      </c>
      <c r="B18" s="211" t="s">
        <v>656</v>
      </c>
      <c r="C18" s="212">
        <v>79</v>
      </c>
      <c r="D18" s="212">
        <v>75</v>
      </c>
      <c r="E18" s="212">
        <v>79</v>
      </c>
      <c r="F18" s="212">
        <v>72</v>
      </c>
      <c r="G18" s="212">
        <v>52</v>
      </c>
      <c r="H18" s="212">
        <v>61</v>
      </c>
      <c r="I18" s="212">
        <v>57</v>
      </c>
      <c r="J18" s="212">
        <v>68</v>
      </c>
      <c r="K18" s="212">
        <v>92</v>
      </c>
      <c r="L18" s="212">
        <f>+'27'!AC17</f>
        <v>85</v>
      </c>
    </row>
    <row r="19" spans="1:14" s="6" customFormat="1" ht="26.25" customHeight="1">
      <c r="A19" s="181" t="s">
        <v>657</v>
      </c>
      <c r="B19" s="211" t="s">
        <v>658</v>
      </c>
      <c r="C19" s="212">
        <v>13</v>
      </c>
      <c r="D19" s="212">
        <v>14</v>
      </c>
      <c r="E19" s="212">
        <v>9</v>
      </c>
      <c r="F19" s="212">
        <v>10</v>
      </c>
      <c r="G19" s="212">
        <v>8</v>
      </c>
      <c r="H19" s="212">
        <v>12</v>
      </c>
      <c r="I19" s="212">
        <v>8</v>
      </c>
      <c r="J19" s="212">
        <v>7</v>
      </c>
      <c r="K19" s="212">
        <v>7</v>
      </c>
      <c r="L19" s="212">
        <f>+'27'!AC18</f>
        <v>5</v>
      </c>
    </row>
    <row r="20" spans="1:14" s="6" customFormat="1" ht="26.25" customHeight="1">
      <c r="A20" s="181" t="s">
        <v>659</v>
      </c>
      <c r="B20" s="211" t="s">
        <v>660</v>
      </c>
      <c r="C20" s="212">
        <v>19</v>
      </c>
      <c r="D20" s="212">
        <v>10</v>
      </c>
      <c r="E20" s="212">
        <v>6</v>
      </c>
      <c r="F20" s="212">
        <v>6</v>
      </c>
      <c r="G20" s="212">
        <v>8</v>
      </c>
      <c r="H20" s="212">
        <v>9</v>
      </c>
      <c r="I20" s="212">
        <v>9</v>
      </c>
      <c r="J20" s="212">
        <v>4</v>
      </c>
      <c r="K20" s="212">
        <v>6</v>
      </c>
      <c r="L20" s="212">
        <f>+'27'!AC19</f>
        <v>10</v>
      </c>
    </row>
    <row r="21" spans="1:14" s="6" customFormat="1" ht="26.25" customHeight="1">
      <c r="A21" s="181" t="s">
        <v>1437</v>
      </c>
      <c r="B21" s="211" t="s">
        <v>1439</v>
      </c>
      <c r="C21" s="212"/>
      <c r="D21" s="212"/>
      <c r="E21" s="212"/>
      <c r="F21" s="212"/>
      <c r="G21" s="212"/>
      <c r="H21" s="212"/>
      <c r="I21" s="212">
        <v>176</v>
      </c>
      <c r="J21" s="212">
        <v>312</v>
      </c>
      <c r="K21" s="212">
        <v>281</v>
      </c>
      <c r="L21" s="212">
        <f>+'27'!AC20</f>
        <v>77</v>
      </c>
    </row>
    <row r="22" spans="1:14" s="6" customFormat="1" ht="26.25" customHeight="1">
      <c r="A22" s="181" t="s">
        <v>1438</v>
      </c>
      <c r="B22" s="211" t="s">
        <v>1440</v>
      </c>
      <c r="C22" s="212"/>
      <c r="D22" s="212"/>
      <c r="E22" s="212"/>
      <c r="F22" s="212"/>
      <c r="G22" s="212"/>
      <c r="H22" s="212"/>
      <c r="I22" s="212">
        <v>65</v>
      </c>
      <c r="J22" s="212">
        <v>93</v>
      </c>
      <c r="K22" s="212">
        <v>9</v>
      </c>
      <c r="L22" s="212">
        <f>+'27'!AC21</f>
        <v>3</v>
      </c>
    </row>
    <row r="23" spans="1:14" s="6" customFormat="1" ht="26.25" customHeight="1">
      <c r="A23" s="211"/>
      <c r="B23" s="211" t="s">
        <v>438</v>
      </c>
      <c r="C23" s="212">
        <v>110</v>
      </c>
      <c r="D23" s="212">
        <v>118</v>
      </c>
      <c r="E23" s="212">
        <v>105</v>
      </c>
      <c r="F23" s="212">
        <v>115</v>
      </c>
      <c r="G23" s="212">
        <v>131</v>
      </c>
      <c r="H23" s="212">
        <v>64</v>
      </c>
      <c r="I23" s="212">
        <v>82</v>
      </c>
      <c r="J23" s="212">
        <v>63</v>
      </c>
      <c r="K23" s="212">
        <v>75</v>
      </c>
      <c r="L23" s="212">
        <f>+'27'!AC22</f>
        <v>84</v>
      </c>
    </row>
    <row r="24" spans="1:14" ht="21.75" customHeight="1">
      <c r="A24" s="214"/>
      <c r="B24" s="214" t="s">
        <v>474</v>
      </c>
      <c r="C24" s="381">
        <f t="shared" ref="C24:G24" si="0">SUM(C9:C23)</f>
        <v>1706</v>
      </c>
      <c r="D24" s="381">
        <f t="shared" si="0"/>
        <v>1572</v>
      </c>
      <c r="E24" s="381">
        <f t="shared" si="0"/>
        <v>1593</v>
      </c>
      <c r="F24" s="381">
        <f t="shared" si="0"/>
        <v>1684</v>
      </c>
      <c r="G24" s="381">
        <f t="shared" si="0"/>
        <v>1610</v>
      </c>
      <c r="H24" s="381">
        <f>SUM(H9:H23)</f>
        <v>1709</v>
      </c>
      <c r="I24" s="381">
        <f>SUM(I9:I23)</f>
        <v>1959</v>
      </c>
      <c r="J24" s="381">
        <f>SUM(J9:J23)</f>
        <v>2078</v>
      </c>
      <c r="K24" s="381">
        <f t="shared" ref="K24:L24" si="1">SUM(K9:K23)</f>
        <v>2191</v>
      </c>
      <c r="L24" s="381">
        <f t="shared" si="1"/>
        <v>1920</v>
      </c>
      <c r="N24" s="6"/>
    </row>
    <row r="25" spans="1:14">
      <c r="A25" s="10"/>
      <c r="B25" s="10"/>
      <c r="C25" s="10"/>
      <c r="D25" s="10"/>
      <c r="E25" s="10"/>
      <c r="F25" s="10"/>
      <c r="G25" s="10"/>
      <c r="H25" s="10"/>
      <c r="I25" s="10"/>
    </row>
    <row r="26" spans="1:14" s="1069" customFormat="1">
      <c r="A26" s="1517" t="s">
        <v>1097</v>
      </c>
      <c r="B26" s="1517"/>
      <c r="C26" s="1517"/>
      <c r="D26" s="1517"/>
      <c r="E26" s="1517"/>
      <c r="F26" s="1517"/>
      <c r="G26" s="1517"/>
      <c r="H26" s="1517"/>
      <c r="I26" s="1517"/>
      <c r="J26" s="1517"/>
      <c r="K26" s="1517"/>
    </row>
    <row r="27" spans="1:14">
      <c r="A27" s="10"/>
      <c r="B27" s="10"/>
      <c r="C27" s="10"/>
      <c r="D27" s="10"/>
      <c r="E27" s="10"/>
      <c r="F27" s="10"/>
      <c r="G27" s="10"/>
      <c r="H27" s="10"/>
      <c r="I27" s="10"/>
    </row>
    <row r="28" spans="1:14">
      <c r="A28" s="10"/>
      <c r="B28" s="129"/>
      <c r="C28" s="10"/>
      <c r="D28" s="129"/>
      <c r="E28" s="129"/>
      <c r="F28" s="129"/>
      <c r="G28" s="129"/>
      <c r="H28" s="129"/>
      <c r="I28" s="624"/>
      <c r="J28" s="10"/>
    </row>
    <row r="29" spans="1:14" ht="18" customHeight="1">
      <c r="A29" s="1089" t="s">
        <v>627</v>
      </c>
      <c r="B29" s="1090"/>
      <c r="C29" s="1075"/>
      <c r="D29" s="1075"/>
      <c r="E29" s="1075"/>
      <c r="F29" s="1075"/>
      <c r="G29" s="1075"/>
      <c r="H29" s="1075"/>
      <c r="I29" s="1075"/>
      <c r="J29" s="1075"/>
      <c r="K29" s="1075"/>
      <c r="L29" s="1076"/>
    </row>
    <row r="30" spans="1:14" ht="18" customHeight="1">
      <c r="A30" s="1091" t="s">
        <v>629</v>
      </c>
      <c r="B30" s="1092" t="s">
        <v>630</v>
      </c>
      <c r="C30" s="1093">
        <f t="shared" ref="C30:K30" si="2">+C8</f>
        <v>2014</v>
      </c>
      <c r="D30" s="1093">
        <f t="shared" si="2"/>
        <v>2015</v>
      </c>
      <c r="E30" s="1093">
        <f t="shared" si="2"/>
        <v>2016</v>
      </c>
      <c r="F30" s="1093">
        <f t="shared" si="2"/>
        <v>2017</v>
      </c>
      <c r="G30" s="1093">
        <f t="shared" si="2"/>
        <v>2018</v>
      </c>
      <c r="H30" s="1093">
        <f t="shared" si="2"/>
        <v>2019</v>
      </c>
      <c r="I30" s="1093">
        <f t="shared" si="2"/>
        <v>2020</v>
      </c>
      <c r="J30" s="1093">
        <f t="shared" si="2"/>
        <v>2021</v>
      </c>
      <c r="K30" s="1093">
        <f t="shared" si="2"/>
        <v>2022</v>
      </c>
      <c r="L30" s="1093">
        <f>+L8</f>
        <v>2023</v>
      </c>
    </row>
    <row r="31" spans="1:14" ht="18" customHeight="1">
      <c r="A31" s="181" t="s">
        <v>638</v>
      </c>
      <c r="B31" s="211" t="s">
        <v>639</v>
      </c>
      <c r="C31" s="657">
        <f>+C9/'7'!D11*1000</f>
        <v>1.8598719345325079</v>
      </c>
      <c r="D31" s="657">
        <f>+D9/'7'!$D$12*1000</f>
        <v>1.5242757812851973</v>
      </c>
      <c r="E31" s="657">
        <f>+E9/'7'!$D$13*1000</f>
        <v>1.5822373430297989</v>
      </c>
      <c r="F31" s="657">
        <f>+F9/'7'!$D$14*1000</f>
        <v>1.4975059918591465</v>
      </c>
      <c r="G31" s="657">
        <f>+G9/'7'!$D$15*1000</f>
        <v>1.4127670673129171</v>
      </c>
      <c r="H31" s="657">
        <f>+H9/'7'!$D$16*1000</f>
        <v>1.6516693658233144</v>
      </c>
      <c r="I31" s="657">
        <f>+I9/'7'!$D$17*1000</f>
        <v>1.9797717439636371</v>
      </c>
      <c r="J31" s="657">
        <f>+J9/'7'!$D$18*1000</f>
        <v>1.9182792092077403</v>
      </c>
      <c r="K31" s="657">
        <f>+K9/'7'!$D$18*1000</f>
        <v>2.079009343312578</v>
      </c>
      <c r="L31" s="657">
        <f>+L9/'7'!$D$18*1000</f>
        <v>1.8274317421050057</v>
      </c>
    </row>
    <row r="32" spans="1:14" ht="18" customHeight="1">
      <c r="A32" s="181" t="s">
        <v>640</v>
      </c>
      <c r="B32" s="211" t="s">
        <v>641</v>
      </c>
      <c r="C32" s="657">
        <f>+C10/'7'!$D$11*1000</f>
        <v>1.5334454317370063</v>
      </c>
      <c r="D32" s="657">
        <f>+D10/'7'!$D$12*1000</f>
        <v>1.4078901920737659</v>
      </c>
      <c r="E32" s="657">
        <f>+E10/'7'!$D$13*1000</f>
        <v>1.3853862181927581</v>
      </c>
      <c r="F32" s="657">
        <f>+F10/'7'!$D$14*1000</f>
        <v>1.4644727714504886</v>
      </c>
      <c r="G32" s="657">
        <f>+G10/'7'!$D$15*1000</f>
        <v>1.5069515384671115</v>
      </c>
      <c r="H32" s="657">
        <f>+H10/'7'!$D$16*1000</f>
        <v>1.4514670184507914</v>
      </c>
      <c r="I32" s="657">
        <f>+I10/'7'!$D$17*1000</f>
        <v>1.4539500151747209</v>
      </c>
      <c r="J32" s="657">
        <f>+J10/'7'!$D$18*1000</f>
        <v>1.4850066737946988</v>
      </c>
      <c r="K32" s="657">
        <f>+K10/'7'!$D$18*1000</f>
        <v>1.5164538739456452</v>
      </c>
      <c r="L32" s="657">
        <f>+L10/'7'!$D$18*1000</f>
        <v>1.4465712069435417</v>
      </c>
    </row>
    <row r="33" spans="1:12" ht="18" customHeight="1">
      <c r="A33" s="181" t="s">
        <v>642</v>
      </c>
      <c r="B33" s="211" t="s">
        <v>643</v>
      </c>
      <c r="C33" s="657">
        <f>+C11/'7'!D$11*1000</f>
        <v>0.63387472054475269</v>
      </c>
      <c r="D33" s="657">
        <f>+D11/'7'!$D$12*1000</f>
        <v>0.64575230143116735</v>
      </c>
      <c r="E33" s="657">
        <f>+E11/'7'!$D$13*1000</f>
        <v>0.63512344051196146</v>
      </c>
      <c r="F33" s="657">
        <f>+F11/'7'!$D$14*1000</f>
        <v>0.64231261905723191</v>
      </c>
      <c r="G33" s="657">
        <f>+G11/'7'!$D$15*1000</f>
        <v>0.60495410318271059</v>
      </c>
      <c r="H33" s="657">
        <f>+H11/'7'!$D$16*1000</f>
        <v>0.73645863497749509</v>
      </c>
      <c r="I33" s="657">
        <f>+I11/'7'!$D$17*1000</f>
        <v>0.54346675324492</v>
      </c>
      <c r="J33" s="657">
        <f>+J11/'7'!$D$18*1000</f>
        <v>0.40881360196230532</v>
      </c>
      <c r="K33" s="657">
        <f>+K11/'7'!$D$18*1000</f>
        <v>0.73027387017198131</v>
      </c>
      <c r="L33" s="657">
        <f>+L11/'7'!$D$18*1000</f>
        <v>0.73726213687219155</v>
      </c>
    </row>
    <row r="34" spans="1:12" ht="18" customHeight="1">
      <c r="A34" s="181" t="s">
        <v>645</v>
      </c>
      <c r="B34" s="211" t="s">
        <v>646</v>
      </c>
      <c r="C34" s="657">
        <f>+C12/'7'!D$11*1000</f>
        <v>0.46686581213775197</v>
      </c>
      <c r="D34" s="657">
        <f>+D12/'7'!$D$12*1000</f>
        <v>0.34540239378876386</v>
      </c>
      <c r="E34" s="657">
        <f>+E12/'7'!$D$13*1000</f>
        <v>0.40113059400755458</v>
      </c>
      <c r="F34" s="657">
        <f>+F12/'7'!$D$14*1000</f>
        <v>0.40740971837344425</v>
      </c>
      <c r="G34" s="657">
        <f>+G12/'7'!$D$15*1000</f>
        <v>0.33689060835923401</v>
      </c>
      <c r="H34" s="657">
        <f>+H12/'7'!$D$16*1000</f>
        <v>0.40397973666241238</v>
      </c>
      <c r="I34" s="657">
        <f>+I12/'7'!$D$17*1000</f>
        <v>0.39171954292328648</v>
      </c>
      <c r="J34" s="657">
        <f>+J12/'7'!$D$18*1000</f>
        <v>0.40531946861220008</v>
      </c>
      <c r="K34" s="657">
        <f>+K12/'7'!$D$18*1000</f>
        <v>0.35640160171072771</v>
      </c>
      <c r="L34" s="657">
        <f>+L12/'7'!$D$18*1000</f>
        <v>0.39483706856188461</v>
      </c>
    </row>
    <row r="35" spans="1:12" ht="18" customHeight="1">
      <c r="A35" s="181" t="s">
        <v>647</v>
      </c>
      <c r="B35" s="211" t="s">
        <v>648</v>
      </c>
      <c r="C35" s="657">
        <f>+C13/'7'!D$11*1000</f>
        <v>0.41372661400825173</v>
      </c>
      <c r="D35" s="657">
        <f>+D13/'7'!$D$12*1000</f>
        <v>0.39796362762618454</v>
      </c>
      <c r="E35" s="657">
        <f>+E13/'7'!$D$13*1000</f>
        <v>0.43827231567492081</v>
      </c>
      <c r="F35" s="657">
        <f>+F13/'7'!$D$14*1000</f>
        <v>0.37804685578797076</v>
      </c>
      <c r="G35" s="657">
        <f>+G13/'7'!$D$15*1000</f>
        <v>0.3042882914212437</v>
      </c>
      <c r="H35" s="657">
        <f>+H13/'7'!$D$16*1000</f>
        <v>0.38967956899294642</v>
      </c>
      <c r="I35" s="657">
        <f>+I13/'7'!$D$17*1000</f>
        <v>0.35290048912007788</v>
      </c>
      <c r="J35" s="657">
        <f>+J13/'7'!$D$18*1000</f>
        <v>0.34591920166041212</v>
      </c>
      <c r="K35" s="657">
        <f>+K13/'7'!$D$18*1000</f>
        <v>0.38784880186167425</v>
      </c>
      <c r="L35" s="657">
        <f>+L13/'7'!$D$18*1000</f>
        <v>0.49616693571493459</v>
      </c>
    </row>
    <row r="36" spans="1:12" ht="18" customHeight="1">
      <c r="A36" s="181" t="s">
        <v>649</v>
      </c>
      <c r="B36" s="211" t="s">
        <v>650</v>
      </c>
      <c r="C36" s="657">
        <f>+C14/'7'!D$11*1000</f>
        <v>0.2808786186845012</v>
      </c>
      <c r="D36" s="657">
        <f>+D14/'7'!$D$12*1000</f>
        <v>0.21775368304074247</v>
      </c>
      <c r="E36" s="657">
        <f>+E14/'7'!$D$13*1000</f>
        <v>0.19313695267030409</v>
      </c>
      <c r="F36" s="657">
        <f>+F14/'7'!$D$14*1000</f>
        <v>0.2642657632692611</v>
      </c>
      <c r="G36" s="657">
        <f>+G14/'7'!$D$15*1000</f>
        <v>0.25357357618436976</v>
      </c>
      <c r="H36" s="657">
        <f>+H14/'7'!$D$16*1000</f>
        <v>0.23595276654618777</v>
      </c>
      <c r="I36" s="657">
        <f>+I14/'7'!$D$17*1000</f>
        <v>0.22585631303684986</v>
      </c>
      <c r="J36" s="657">
        <f>+J14/'7'!$D$18*1000</f>
        <v>0.25856586790778285</v>
      </c>
      <c r="K36" s="657">
        <f>+K14/'7'!$D$18*1000</f>
        <v>0.2096480010063104</v>
      </c>
      <c r="L36" s="657">
        <f>+L14/'7'!$D$18*1000</f>
        <v>0.18518906755557418</v>
      </c>
    </row>
    <row r="37" spans="1:12" ht="18" customHeight="1">
      <c r="A37" s="181" t="s">
        <v>651</v>
      </c>
      <c r="B37" s="211" t="s">
        <v>652</v>
      </c>
      <c r="C37" s="657">
        <f>+C15/'7'!D$11*1000</f>
        <v>0.13284799532375058</v>
      </c>
      <c r="D37" s="657">
        <f>+D15/'7'!$D$12*1000</f>
        <v>0.17270119689438193</v>
      </c>
      <c r="E37" s="657">
        <f>+E15/'7'!$D$13*1000</f>
        <v>0.14113854233599146</v>
      </c>
      <c r="F37" s="657">
        <f>+F15/'7'!$D$14*1000</f>
        <v>0.17250681768965659</v>
      </c>
      <c r="G37" s="657">
        <f>+G15/'7'!$D$15*1000</f>
        <v>0.13040926775196157</v>
      </c>
      <c r="H37" s="657">
        <f>+H15/'7'!$D$16*1000</f>
        <v>0.17160201203359107</v>
      </c>
      <c r="I37" s="657">
        <f>+I15/'7'!$D$17*1000</f>
        <v>0.11998616630082649</v>
      </c>
      <c r="J37" s="657">
        <f>+J15/'7'!$D$18*1000</f>
        <v>0.10831813385326038</v>
      </c>
      <c r="K37" s="657">
        <f>+K15/'7'!$D$18*1000</f>
        <v>0.10831813385326038</v>
      </c>
      <c r="L37" s="657">
        <f>+L15/'7'!$D$18*1000</f>
        <v>9.0847467102734503E-2</v>
      </c>
    </row>
    <row r="38" spans="1:12" ht="18" customHeight="1">
      <c r="A38" s="181" t="s">
        <v>653</v>
      </c>
      <c r="B38" s="211" t="s">
        <v>654</v>
      </c>
      <c r="C38" s="657">
        <f>+C16/'7'!D$11*1000</f>
        <v>0.31503953176775135</v>
      </c>
      <c r="D38" s="657">
        <f>+D16/'7'!$D$12*1000</f>
        <v>0.37543738455300424</v>
      </c>
      <c r="E38" s="657">
        <f>+E16/'7'!$D$13*1000</f>
        <v>0.40113059400755458</v>
      </c>
      <c r="F38" s="657">
        <f>+F16/'7'!$D$14*1000</f>
        <v>0.60927939864857428</v>
      </c>
      <c r="G38" s="657">
        <f>+G16/'7'!$D$15*1000</f>
        <v>0.56148434726539009</v>
      </c>
      <c r="H38" s="657">
        <f>+H16/'7'!$D$16*1000</f>
        <v>0.32890385639771624</v>
      </c>
      <c r="I38" s="657">
        <f>+I16/'7'!$D$17*1000</f>
        <v>0.1835082543424405</v>
      </c>
      <c r="J38" s="657">
        <f>+J16/'7'!$D$18*1000</f>
        <v>0.17820080085536386</v>
      </c>
      <c r="K38" s="657">
        <f>+K16/'7'!$D$18*1000</f>
        <v>0.33194266825999147</v>
      </c>
      <c r="L38" s="657">
        <f>+L16/'7'!$D$18*1000</f>
        <v>0.31447200150946564</v>
      </c>
    </row>
    <row r="39" spans="1:12" ht="18" customHeight="1">
      <c r="A39" s="181" t="s">
        <v>198</v>
      </c>
      <c r="B39" s="211" t="s">
        <v>199</v>
      </c>
      <c r="C39" s="657"/>
      <c r="D39" s="657"/>
      <c r="E39" s="657"/>
      <c r="F39" s="657"/>
      <c r="G39" s="657"/>
      <c r="H39" s="657"/>
      <c r="I39" s="657">
        <f>+I17/'7'!$D$17*1000</f>
        <v>0.26114636194885771</v>
      </c>
      <c r="J39" s="921">
        <f>+J17/'7'!$D$18*1000</f>
        <v>0.24109520115725697</v>
      </c>
      <c r="K39" s="921">
        <f>+K17/'7'!$D$18*1000</f>
        <v>0.29350720140883457</v>
      </c>
      <c r="L39" s="921">
        <f>+L17/'7'!$D$18*1000</f>
        <v>0.29350720140883457</v>
      </c>
    </row>
    <row r="40" spans="1:12" ht="18" customHeight="1">
      <c r="A40" s="181" t="s">
        <v>655</v>
      </c>
      <c r="B40" s="211" t="s">
        <v>656</v>
      </c>
      <c r="C40" s="657">
        <f>+C18/'7'!D$11*1000</f>
        <v>0.2998569037307513</v>
      </c>
      <c r="D40" s="657">
        <f>+D18/'7'!$D$12*1000</f>
        <v>0.28157803841475321</v>
      </c>
      <c r="E40" s="657">
        <f>+E18/'7'!$D$13*1000</f>
        <v>0.29341960117219273</v>
      </c>
      <c r="F40" s="657">
        <f>+F18/'7'!$D$14*1000</f>
        <v>0.2642657632692611</v>
      </c>
      <c r="G40" s="657">
        <f>+G18/'7'!$D$15*1000</f>
        <v>0.18836894230838894</v>
      </c>
      <c r="H40" s="657">
        <f>+H18/'7'!$D$16*1000</f>
        <v>0.21807755695935535</v>
      </c>
      <c r="I40" s="657">
        <f>+I18/'7'!$D$17*1000</f>
        <v>0.20115327879844441</v>
      </c>
      <c r="J40" s="657">
        <f>+J18/'7'!$D$18*1000</f>
        <v>0.23760106780715179</v>
      </c>
      <c r="K40" s="657">
        <f>+K18/'7'!$D$18*1000</f>
        <v>0.32146026820967594</v>
      </c>
      <c r="L40" s="657">
        <f>+L18/'7'!$D$18*1000</f>
        <v>0.29700133475893975</v>
      </c>
    </row>
    <row r="41" spans="1:12" ht="18" customHeight="1">
      <c r="A41" s="181" t="s">
        <v>657</v>
      </c>
      <c r="B41" s="211" t="s">
        <v>658</v>
      </c>
      <c r="C41" s="657">
        <f>+C19/'7'!D$11*1000</f>
        <v>4.934354112025021E-2</v>
      </c>
      <c r="D41" s="657">
        <f>+D19/'7'!$D$12*1000</f>
        <v>5.2561233837420597E-2</v>
      </c>
      <c r="E41" s="657">
        <f>+E19/'7'!$D$13*1000</f>
        <v>3.3427549500629553E-2</v>
      </c>
      <c r="F41" s="657">
        <f>+F19/'7'!$D$14*1000</f>
        <v>3.6703578231841817E-2</v>
      </c>
      <c r="G41" s="657">
        <f>+G19/'7'!$D$15*1000</f>
        <v>2.8979837278213683E-2</v>
      </c>
      <c r="H41" s="657">
        <f>+H19/'7'!$D$16*1000</f>
        <v>4.2900503008397768E-2</v>
      </c>
      <c r="I41" s="657">
        <f>+I19/'7'!$D$17*1000</f>
        <v>2.8232039129606232E-2</v>
      </c>
      <c r="J41" s="657">
        <f>+J19/'7'!$D$18*1000</f>
        <v>2.4458933450736214E-2</v>
      </c>
      <c r="K41" s="657">
        <f>+K19/'7'!$D$18*1000</f>
        <v>2.4458933450736214E-2</v>
      </c>
      <c r="L41" s="657">
        <f>+L19/'7'!$D$18*1000</f>
        <v>1.7470666750525866E-2</v>
      </c>
    </row>
    <row r="42" spans="1:12" ht="18" customHeight="1">
      <c r="A42" s="181" t="s">
        <v>659</v>
      </c>
      <c r="B42" s="211" t="s">
        <v>660</v>
      </c>
      <c r="C42" s="657">
        <f>+C20/'7'!D$11*1000</f>
        <v>7.2117483175750299E-2</v>
      </c>
      <c r="D42" s="657">
        <f>+D20/'7'!$D$12*1000</f>
        <v>3.7543738455300422E-2</v>
      </c>
      <c r="E42" s="657">
        <f>+E20/'7'!$D$13*1000</f>
        <v>2.2285033000419702E-2</v>
      </c>
      <c r="F42" s="657">
        <f>+F20/'7'!$D$14*1000</f>
        <v>2.2022146939105092E-2</v>
      </c>
      <c r="G42" s="657">
        <f>+G20/'7'!$D$15*1000</f>
        <v>2.8979837278213683E-2</v>
      </c>
      <c r="H42" s="657">
        <f>+H20/'7'!$D$16*1000</f>
        <v>3.2175377256298335E-2</v>
      </c>
      <c r="I42" s="657">
        <f>+I20/'7'!$D$17*1000</f>
        <v>3.1761044020807018E-2</v>
      </c>
      <c r="J42" s="657">
        <f>+J20/'7'!$D$18*1000</f>
        <v>1.3976533400420692E-2</v>
      </c>
      <c r="K42" s="657">
        <f>+K20/'7'!$D$18*1000</f>
        <v>2.096480010063104E-2</v>
      </c>
      <c r="L42" s="657">
        <f>+L20/'7'!$D$18*1000</f>
        <v>3.4941333501051733E-2</v>
      </c>
    </row>
    <row r="43" spans="1:12" ht="18" customHeight="1">
      <c r="A43" s="181" t="s">
        <v>1437</v>
      </c>
      <c r="B43" s="211" t="s">
        <v>1439</v>
      </c>
      <c r="C43" s="657"/>
      <c r="D43" s="657"/>
      <c r="E43" s="657"/>
      <c r="F43" s="657"/>
      <c r="G43" s="657"/>
      <c r="H43" s="657"/>
      <c r="I43" s="657"/>
      <c r="J43" s="657">
        <f>+J21/'7'!$D$19*1000</f>
        <v>1.0811597517490878</v>
      </c>
      <c r="K43" s="657">
        <f>+K21/'7'!$D$19*1000</f>
        <v>0.97373682769709513</v>
      </c>
      <c r="L43" s="657">
        <f>+L21/'7'!$D$19*1000</f>
        <v>0.26682468232269152</v>
      </c>
    </row>
    <row r="44" spans="1:12" ht="18" customHeight="1">
      <c r="A44" s="181" t="s">
        <v>1438</v>
      </c>
      <c r="B44" s="211" t="s">
        <v>1440</v>
      </c>
      <c r="C44" s="657"/>
      <c r="D44" s="657"/>
      <c r="E44" s="657"/>
      <c r="F44" s="657"/>
      <c r="G44" s="657"/>
      <c r="H44" s="657"/>
      <c r="I44" s="657"/>
      <c r="J44" s="657">
        <f>+J22/'7'!$D$19*1000</f>
        <v>0.3222687721559781</v>
      </c>
      <c r="K44" s="657">
        <f>+K22/'7'!$D$19*1000</f>
        <v>3.1187300531223684E-2</v>
      </c>
      <c r="L44" s="657">
        <f>+L22/'7'!$D$19*1000</f>
        <v>1.0395766843741229E-2</v>
      </c>
    </row>
    <row r="45" spans="1:12" ht="18" customHeight="1">
      <c r="A45" s="211"/>
      <c r="B45" s="211" t="s">
        <v>438</v>
      </c>
      <c r="C45" s="657">
        <f>+C23/'7'!D$11*1000</f>
        <v>0.41752227101750178</v>
      </c>
      <c r="D45" s="657">
        <f>+D23/'7'!$D$12*1000</f>
        <v>0.44301611377254502</v>
      </c>
      <c r="E45" s="657">
        <f>+E23/'7'!$D$13*1000</f>
        <v>0.38998807750734482</v>
      </c>
      <c r="F45" s="657">
        <f>+F23/'7'!$D$14*1000</f>
        <v>0.42209114966618094</v>
      </c>
      <c r="G45" s="657">
        <f>+G23/'7'!$D$15*1000</f>
        <v>0.4745448354307491</v>
      </c>
      <c r="H45" s="657">
        <f>+H23/'7'!$D$16*1000</f>
        <v>0.22880268271145479</v>
      </c>
      <c r="I45" s="657">
        <f>+I23/'7'!$D$17*1000</f>
        <v>0.28937840107846391</v>
      </c>
      <c r="J45" s="657">
        <f>+J23/'7'!$D$18*1000</f>
        <v>0.22013040105662593</v>
      </c>
      <c r="K45" s="657">
        <f>+K23/'7'!$D$18*1000</f>
        <v>0.26206000125788798</v>
      </c>
      <c r="L45" s="657">
        <f>+L23/'7'!$D$18*1000</f>
        <v>0.29350720140883457</v>
      </c>
    </row>
    <row r="46" spans="1:12" ht="18" customHeight="1">
      <c r="A46" s="214"/>
      <c r="B46" s="214" t="s">
        <v>474</v>
      </c>
      <c r="C46" s="658">
        <f>+C24/'7'!D$11*1000</f>
        <v>6.4753908577805275</v>
      </c>
      <c r="D46" s="658">
        <f>+D24/'7'!$D$12*1000</f>
        <v>5.901875685173227</v>
      </c>
      <c r="E46" s="658">
        <f>+E24/'7'!$D$13*1000</f>
        <v>5.9166762616114301</v>
      </c>
      <c r="F46" s="658">
        <f>+F24/'7'!$D$14*1000</f>
        <v>6.1808825742421627</v>
      </c>
      <c r="G46" s="658">
        <f>+G24/'7'!$D$15*1000</f>
        <v>5.8321922522405032</v>
      </c>
      <c r="H46" s="658">
        <f>+H24/'7'!$D$16*1000</f>
        <v>6.1097466367793158</v>
      </c>
      <c r="I46" s="658">
        <f>+I24/'7'!$D$17*1000</f>
        <v>6.913320581862326</v>
      </c>
      <c r="J46" s="658">
        <f>+J24/'7'!$D$18*1000</f>
        <v>7.2608091015185501</v>
      </c>
      <c r="K46" s="658">
        <f>+K24/'7'!$D$18*1000</f>
        <v>7.655646170080435</v>
      </c>
      <c r="L46" s="658">
        <f>+L24/'7'!$D$18*1000</f>
        <v>6.7087360322019327</v>
      </c>
    </row>
    <row r="47" spans="1:12" ht="18" customHeight="1">
      <c r="A47" s="10"/>
      <c r="B47" s="10"/>
      <c r="C47" s="660"/>
      <c r="D47" s="660"/>
      <c r="E47" s="660"/>
      <c r="F47" s="660"/>
      <c r="G47" s="660"/>
      <c r="H47" s="660"/>
      <c r="I47" s="660"/>
      <c r="J47" s="660"/>
      <c r="K47" s="660"/>
    </row>
    <row r="54" spans="8:8" ht="15">
      <c r="H54" s="659"/>
    </row>
    <row r="78" spans="2:2">
      <c r="B78" s="2"/>
    </row>
  </sheetData>
  <mergeCells count="4">
    <mergeCell ref="A26:K26"/>
    <mergeCell ref="A1:K1"/>
    <mergeCell ref="A3:K3"/>
    <mergeCell ref="A4:K4"/>
  </mergeCells>
  <pageMargins left="0.98425196850393704" right="0.75" top="0.98425196850393704" bottom="0.99" header="0.51181102362204722" footer="0.51181102362204722"/>
  <pageSetup paperSize="5" scale="85"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5:G12"/>
  <sheetViews>
    <sheetView showGridLines="0" topLeftCell="A40" zoomScaleNormal="100" workbookViewId="0">
      <selection activeCell="O125" sqref="O125"/>
    </sheetView>
  </sheetViews>
  <sheetFormatPr baseColWidth="10" defaultRowHeight="12.75"/>
  <sheetData>
    <row r="5" spans="1:7">
      <c r="F5" s="132"/>
    </row>
    <row r="10" spans="1:7">
      <c r="A10" s="137"/>
      <c r="B10" s="137"/>
      <c r="C10" s="137"/>
      <c r="D10" s="137"/>
      <c r="E10" s="137"/>
      <c r="F10" s="1"/>
      <c r="G10" s="1"/>
    </row>
    <row r="11" spans="1:7">
      <c r="A11" s="2"/>
      <c r="B11" s="2"/>
      <c r="C11" s="2"/>
      <c r="D11" s="2"/>
      <c r="E11" s="2"/>
    </row>
    <row r="12" spans="1:7">
      <c r="A12" s="2"/>
      <c r="B12" s="2"/>
      <c r="C12" s="2"/>
      <c r="D12" s="2"/>
      <c r="E12" s="2"/>
    </row>
  </sheetData>
  <printOptions gridLinesSet="0"/>
  <pageMargins left="0.7" right="0.7" top="0.75" bottom="0.75" header="0.3" footer="0.3"/>
  <pageSetup paperSize="190" scale="65" orientation="portrait"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V63"/>
  <sheetViews>
    <sheetView zoomScaleNormal="100" workbookViewId="0">
      <selection activeCell="Q17" sqref="Q17"/>
    </sheetView>
  </sheetViews>
  <sheetFormatPr baseColWidth="10" defaultRowHeight="12.75"/>
  <cols>
    <col min="1" max="1" width="9" customWidth="1"/>
    <col min="2" max="2" width="27.28515625" customWidth="1"/>
    <col min="3" max="4" width="9.7109375" customWidth="1"/>
    <col min="5" max="5" width="9.28515625" customWidth="1"/>
    <col min="6" max="6" width="10" customWidth="1"/>
    <col min="7" max="7" width="10.28515625" customWidth="1"/>
    <col min="8" max="8" width="10" customWidth="1"/>
    <col min="9" max="10" width="9.7109375" customWidth="1"/>
    <col min="11" max="11" width="10" customWidth="1"/>
    <col min="12" max="12" width="9" customWidth="1"/>
    <col min="13" max="13" width="8.5703125" customWidth="1"/>
    <col min="14" max="14" width="9.28515625" customWidth="1"/>
    <col min="15" max="18" width="10.28515625" customWidth="1"/>
    <col min="19" max="19" width="8.42578125" customWidth="1"/>
    <col min="20" max="20" width="8.7109375" customWidth="1"/>
    <col min="21" max="21" width="9.28515625" style="219" customWidth="1"/>
  </cols>
  <sheetData>
    <row r="1" spans="1:21" s="1069" customFormat="1">
      <c r="A1" s="1517" t="s">
        <v>679</v>
      </c>
      <c r="B1" s="1517"/>
      <c r="C1" s="1517"/>
      <c r="D1" s="1517"/>
      <c r="E1" s="1517"/>
      <c r="F1" s="1517"/>
      <c r="G1" s="1517"/>
      <c r="H1" s="1517"/>
      <c r="I1" s="1517"/>
      <c r="J1" s="1517"/>
      <c r="K1" s="1517"/>
      <c r="L1" s="1517"/>
      <c r="M1" s="1517"/>
      <c r="N1" s="1517"/>
      <c r="O1" s="1517"/>
      <c r="P1" s="1517"/>
      <c r="Q1" s="1517"/>
      <c r="R1" s="1517"/>
      <c r="S1" s="1517"/>
      <c r="T1" s="1517"/>
    </row>
    <row r="2" spans="1:21" s="1069" customFormat="1">
      <c r="A2" s="949"/>
      <c r="B2" s="949"/>
      <c r="C2" s="949"/>
      <c r="D2" s="949"/>
      <c r="E2" s="949"/>
      <c r="F2" s="949"/>
      <c r="G2" s="949"/>
      <c r="H2" s="949"/>
      <c r="I2" s="949"/>
      <c r="J2" s="949"/>
      <c r="K2" s="949"/>
      <c r="L2" s="949"/>
      <c r="M2" s="949"/>
      <c r="N2" s="949"/>
      <c r="O2" s="1002"/>
      <c r="P2" s="1002"/>
      <c r="Q2" s="1002"/>
      <c r="R2" s="1002"/>
      <c r="S2" s="1002"/>
      <c r="T2" s="1002"/>
    </row>
    <row r="3" spans="1:21" s="1069" customFormat="1">
      <c r="A3" s="1517" t="str">
        <f>+'27'!A3</f>
        <v>SERVICIO DE SALUD   ACONCAGUA   2023</v>
      </c>
      <c r="B3" s="1517"/>
      <c r="C3" s="1517"/>
      <c r="D3" s="1517"/>
      <c r="E3" s="1517"/>
      <c r="F3" s="1517"/>
      <c r="G3" s="1517"/>
      <c r="H3" s="1517"/>
      <c r="I3" s="1517"/>
      <c r="J3" s="1517"/>
      <c r="K3" s="1517"/>
      <c r="L3" s="1517"/>
      <c r="M3" s="1517"/>
      <c r="N3" s="1517"/>
      <c r="O3" s="1517"/>
      <c r="P3" s="1517"/>
      <c r="Q3" s="1517"/>
      <c r="R3" s="1517"/>
      <c r="S3" s="1517"/>
      <c r="T3" s="1517"/>
    </row>
    <row r="4" spans="1:21" s="1069" customFormat="1">
      <c r="A4" s="1517" t="s">
        <v>626</v>
      </c>
      <c r="B4" s="1517"/>
      <c r="C4" s="1517"/>
      <c r="D4" s="1517"/>
      <c r="E4" s="1517"/>
      <c r="F4" s="1517"/>
      <c r="G4" s="1517"/>
      <c r="H4" s="1517"/>
      <c r="I4" s="1517"/>
      <c r="J4" s="1517"/>
      <c r="K4" s="1517"/>
      <c r="L4" s="1517"/>
      <c r="M4" s="1517"/>
      <c r="N4" s="1517"/>
      <c r="O4" s="1517"/>
      <c r="P4" s="1517"/>
      <c r="Q4" s="1517"/>
      <c r="R4" s="1517"/>
      <c r="S4" s="1517"/>
      <c r="T4" s="1517"/>
    </row>
    <row r="5" spans="1:21" s="1069" customFormat="1">
      <c r="A5" s="1068"/>
      <c r="B5" s="1068"/>
      <c r="C5" s="1068"/>
      <c r="D5" s="1068"/>
      <c r="E5" s="1068"/>
      <c r="F5" s="1068"/>
      <c r="G5" s="1068"/>
      <c r="H5" s="1068"/>
      <c r="I5" s="1068"/>
      <c r="J5" s="1068"/>
      <c r="K5" s="1068"/>
      <c r="L5" s="1068"/>
      <c r="M5" s="1068"/>
      <c r="N5" s="1068"/>
      <c r="O5" s="1068"/>
      <c r="P5" s="1068"/>
      <c r="Q5" s="1068"/>
      <c r="R5" s="1068"/>
      <c r="S5" s="1068"/>
      <c r="T5" s="1068"/>
    </row>
    <row r="6" spans="1:21">
      <c r="A6" s="209"/>
    </row>
    <row r="7" spans="1:21">
      <c r="A7" s="209"/>
    </row>
    <row r="8" spans="1:21" ht="19.5" customHeight="1">
      <c r="A8" s="1089" t="s">
        <v>627</v>
      </c>
      <c r="B8" s="1539" t="s">
        <v>630</v>
      </c>
      <c r="C8" s="1529" t="s">
        <v>852</v>
      </c>
      <c r="D8" s="1530"/>
      <c r="E8" s="1530"/>
      <c r="F8" s="1530"/>
      <c r="G8" s="1530"/>
      <c r="H8" s="1530"/>
      <c r="I8" s="1530"/>
      <c r="J8" s="1530"/>
      <c r="K8" s="1530"/>
      <c r="L8" s="1530"/>
      <c r="M8" s="1530"/>
      <c r="N8" s="1530"/>
      <c r="O8" s="1530"/>
      <c r="P8" s="1530"/>
      <c r="Q8" s="1530"/>
      <c r="R8" s="1530"/>
      <c r="S8" s="1530"/>
      <c r="T8" s="1531"/>
    </row>
    <row r="9" spans="1:21" s="6" customFormat="1" ht="23.25" customHeight="1">
      <c r="A9" s="1095" t="s">
        <v>629</v>
      </c>
      <c r="B9" s="1540"/>
      <c r="C9" s="1096" t="s">
        <v>680</v>
      </c>
      <c r="D9" s="1097" t="s">
        <v>681</v>
      </c>
      <c r="E9" s="1097" t="s">
        <v>682</v>
      </c>
      <c r="F9" s="1097" t="s">
        <v>683</v>
      </c>
      <c r="G9" s="1097" t="s">
        <v>684</v>
      </c>
      <c r="H9" s="1097" t="s">
        <v>685</v>
      </c>
      <c r="I9" s="1097" t="s">
        <v>686</v>
      </c>
      <c r="J9" s="1097" t="s">
        <v>687</v>
      </c>
      <c r="K9" s="1097" t="s">
        <v>688</v>
      </c>
      <c r="L9" s="1097" t="s">
        <v>689</v>
      </c>
      <c r="M9" s="1097" t="s">
        <v>690</v>
      </c>
      <c r="N9" s="1097" t="s">
        <v>691</v>
      </c>
      <c r="O9" s="1097" t="s">
        <v>692</v>
      </c>
      <c r="P9" s="1097" t="s">
        <v>693</v>
      </c>
      <c r="Q9" s="1097" t="s">
        <v>694</v>
      </c>
      <c r="R9" s="1097" t="s">
        <v>695</v>
      </c>
      <c r="S9" s="1097" t="s">
        <v>465</v>
      </c>
      <c r="T9" s="1098" t="s">
        <v>474</v>
      </c>
      <c r="U9" s="222"/>
    </row>
    <row r="10" spans="1:21" s="6" customFormat="1" ht="25.5" customHeight="1">
      <c r="A10" s="181" t="s">
        <v>638</v>
      </c>
      <c r="B10" s="211" t="s">
        <v>639</v>
      </c>
      <c r="C10" s="223">
        <f>+C46*79</f>
        <v>0</v>
      </c>
      <c r="D10" s="223">
        <f t="shared" ref="D10:D24" si="0">+D46*72.5</f>
        <v>0</v>
      </c>
      <c r="E10" s="223">
        <f>+E46*67.5</f>
        <v>0</v>
      </c>
      <c r="F10" s="223">
        <f t="shared" ref="F10:F24" si="1">+F46*62.5</f>
        <v>0</v>
      </c>
      <c r="G10" s="223">
        <f t="shared" ref="G10:G24" si="2">+G46*57.5</f>
        <v>0</v>
      </c>
      <c r="H10" s="223">
        <f t="shared" ref="H10:H24" si="3">+H46*52.5</f>
        <v>52.5</v>
      </c>
      <c r="I10" s="223">
        <f t="shared" ref="I10:I24" si="4">+I46*47.5</f>
        <v>95</v>
      </c>
      <c r="J10" s="223">
        <f t="shared" ref="J10:J24" si="5">+J46*42.5</f>
        <v>42.5</v>
      </c>
      <c r="K10" s="223">
        <f t="shared" ref="K10:K24" si="6">+K46*37.5</f>
        <v>150</v>
      </c>
      <c r="L10" s="223">
        <f t="shared" ref="L10:L24" si="7">+L46*32.5</f>
        <v>227.5</v>
      </c>
      <c r="M10" s="223">
        <f t="shared" ref="M10:M24" si="8">+M46*27.5</f>
        <v>275</v>
      </c>
      <c r="N10" s="223">
        <f t="shared" ref="N10:N24" si="9">+N46*22.5</f>
        <v>382.5</v>
      </c>
      <c r="O10" s="223">
        <f t="shared" ref="O10:O24" si="10">+O46*17.5</f>
        <v>595</v>
      </c>
      <c r="P10" s="224">
        <f t="shared" ref="P10:P24" si="11">+P46*12.5</f>
        <v>425</v>
      </c>
      <c r="Q10" s="224">
        <f t="shared" ref="Q10:Q24" si="12">+Q46*7.5</f>
        <v>457.5</v>
      </c>
      <c r="R10" s="224">
        <f t="shared" ref="R10:R24" si="13">+R46*2.5</f>
        <v>175</v>
      </c>
      <c r="S10" s="224">
        <f t="shared" ref="S10:S24" si="14">+S46*0</f>
        <v>0</v>
      </c>
      <c r="T10" s="392">
        <f>SUM(C10:S10)</f>
        <v>2877.5</v>
      </c>
      <c r="U10" s="222"/>
    </row>
    <row r="11" spans="1:21" s="6" customFormat="1" ht="25.5" customHeight="1">
      <c r="A11" s="181" t="s">
        <v>640</v>
      </c>
      <c r="B11" s="211" t="s">
        <v>641</v>
      </c>
      <c r="C11" s="223">
        <f t="shared" ref="C11:C24" si="15">+C47*79</f>
        <v>0</v>
      </c>
      <c r="D11" s="223">
        <f t="shared" si="0"/>
        <v>0</v>
      </c>
      <c r="E11" s="223">
        <f t="shared" ref="E11:E24" si="16">+E47*67.5</f>
        <v>0</v>
      </c>
      <c r="F11" s="223">
        <f t="shared" si="1"/>
        <v>0</v>
      </c>
      <c r="G11" s="223">
        <f t="shared" si="2"/>
        <v>57.5</v>
      </c>
      <c r="H11" s="223">
        <f t="shared" si="3"/>
        <v>262.5</v>
      </c>
      <c r="I11" s="223">
        <f t="shared" si="4"/>
        <v>95</v>
      </c>
      <c r="J11" s="223">
        <f t="shared" si="5"/>
        <v>127.5</v>
      </c>
      <c r="K11" s="223">
        <f t="shared" si="6"/>
        <v>112.5</v>
      </c>
      <c r="L11" s="223">
        <f t="shared" si="7"/>
        <v>325</v>
      </c>
      <c r="M11" s="223">
        <f t="shared" si="8"/>
        <v>632.5</v>
      </c>
      <c r="N11" s="223">
        <f t="shared" si="9"/>
        <v>675</v>
      </c>
      <c r="O11" s="223">
        <f t="shared" si="10"/>
        <v>700</v>
      </c>
      <c r="P11" s="224">
        <f t="shared" si="11"/>
        <v>475</v>
      </c>
      <c r="Q11" s="224">
        <f t="shared" si="12"/>
        <v>547.5</v>
      </c>
      <c r="R11" s="224">
        <f t="shared" si="13"/>
        <v>160</v>
      </c>
      <c r="S11" s="224">
        <f t="shared" si="14"/>
        <v>0</v>
      </c>
      <c r="T11" s="625">
        <f>SUM(C11:S11)</f>
        <v>4170</v>
      </c>
      <c r="U11" s="222"/>
    </row>
    <row r="12" spans="1:21" s="6" customFormat="1" ht="25.5" customHeight="1">
      <c r="A12" s="181" t="s">
        <v>642</v>
      </c>
      <c r="B12" s="211" t="s">
        <v>643</v>
      </c>
      <c r="C12" s="223">
        <f t="shared" si="15"/>
        <v>0</v>
      </c>
      <c r="D12" s="223">
        <f t="shared" si="0"/>
        <v>0</v>
      </c>
      <c r="E12" s="223">
        <f t="shared" si="16"/>
        <v>67.5</v>
      </c>
      <c r="F12" s="223">
        <f t="shared" si="1"/>
        <v>62.5</v>
      </c>
      <c r="G12" s="223">
        <f t="shared" si="2"/>
        <v>0</v>
      </c>
      <c r="H12" s="223">
        <f t="shared" si="3"/>
        <v>0</v>
      </c>
      <c r="I12" s="223">
        <f t="shared" si="4"/>
        <v>95</v>
      </c>
      <c r="J12" s="223">
        <f t="shared" si="5"/>
        <v>42.5</v>
      </c>
      <c r="K12" s="223">
        <f t="shared" si="6"/>
        <v>0</v>
      </c>
      <c r="L12" s="223">
        <f t="shared" si="7"/>
        <v>130</v>
      </c>
      <c r="M12" s="223">
        <f t="shared" si="8"/>
        <v>27.5</v>
      </c>
      <c r="N12" s="223">
        <f t="shared" si="9"/>
        <v>135</v>
      </c>
      <c r="O12" s="223">
        <f t="shared" si="10"/>
        <v>122.5</v>
      </c>
      <c r="P12" s="224">
        <f t="shared" si="11"/>
        <v>200</v>
      </c>
      <c r="Q12" s="224">
        <f t="shared" si="12"/>
        <v>135</v>
      </c>
      <c r="R12" s="224">
        <f t="shared" si="13"/>
        <v>72.5</v>
      </c>
      <c r="S12" s="224">
        <f t="shared" si="14"/>
        <v>0</v>
      </c>
      <c r="T12" s="392">
        <f>SUM(C12:S12)</f>
        <v>1090</v>
      </c>
      <c r="U12" s="222"/>
    </row>
    <row r="13" spans="1:21" s="6" customFormat="1" ht="25.5" customHeight="1">
      <c r="A13" s="181" t="s">
        <v>645</v>
      </c>
      <c r="B13" s="211" t="s">
        <v>646</v>
      </c>
      <c r="C13" s="223">
        <f t="shared" si="15"/>
        <v>158</v>
      </c>
      <c r="D13" s="223">
        <f t="shared" si="0"/>
        <v>0</v>
      </c>
      <c r="E13" s="223">
        <f t="shared" si="16"/>
        <v>0</v>
      </c>
      <c r="F13" s="223">
        <f t="shared" si="1"/>
        <v>187.5</v>
      </c>
      <c r="G13" s="223">
        <f t="shared" si="2"/>
        <v>747.5</v>
      </c>
      <c r="H13" s="223">
        <f t="shared" si="3"/>
        <v>735</v>
      </c>
      <c r="I13" s="223">
        <f t="shared" si="4"/>
        <v>237.5</v>
      </c>
      <c r="J13" s="223">
        <f t="shared" si="5"/>
        <v>255</v>
      </c>
      <c r="K13" s="223">
        <f t="shared" si="6"/>
        <v>262.5</v>
      </c>
      <c r="L13" s="223">
        <f t="shared" si="7"/>
        <v>357.5</v>
      </c>
      <c r="M13" s="223">
        <f t="shared" si="8"/>
        <v>110</v>
      </c>
      <c r="N13" s="223">
        <f t="shared" si="9"/>
        <v>202.5</v>
      </c>
      <c r="O13" s="223">
        <f t="shared" si="10"/>
        <v>140</v>
      </c>
      <c r="P13" s="224">
        <f t="shared" si="11"/>
        <v>37.5</v>
      </c>
      <c r="Q13" s="224">
        <f t="shared" si="12"/>
        <v>52.5</v>
      </c>
      <c r="R13" s="224">
        <f t="shared" si="13"/>
        <v>5</v>
      </c>
      <c r="S13" s="224">
        <f t="shared" si="14"/>
        <v>0</v>
      </c>
      <c r="T13" s="625">
        <f>SUM(C13:S13)</f>
        <v>3488</v>
      </c>
      <c r="U13" s="222"/>
    </row>
    <row r="14" spans="1:21" s="6" customFormat="1" ht="25.5" customHeight="1">
      <c r="A14" s="181" t="s">
        <v>647</v>
      </c>
      <c r="B14" s="211" t="s">
        <v>648</v>
      </c>
      <c r="C14" s="223">
        <f t="shared" si="15"/>
        <v>0</v>
      </c>
      <c r="D14" s="223">
        <f t="shared" si="0"/>
        <v>0</v>
      </c>
      <c r="E14" s="223">
        <f t="shared" si="16"/>
        <v>0</v>
      </c>
      <c r="F14" s="223">
        <f t="shared" si="1"/>
        <v>0</v>
      </c>
      <c r="G14" s="223">
        <f t="shared" si="2"/>
        <v>0</v>
      </c>
      <c r="H14" s="223">
        <f t="shared" si="3"/>
        <v>52.5</v>
      </c>
      <c r="I14" s="223">
        <f t="shared" si="4"/>
        <v>0</v>
      </c>
      <c r="J14" s="223">
        <f t="shared" si="5"/>
        <v>127.5</v>
      </c>
      <c r="K14" s="223">
        <f t="shared" si="6"/>
        <v>112.5</v>
      </c>
      <c r="L14" s="223">
        <f t="shared" si="7"/>
        <v>65</v>
      </c>
      <c r="M14" s="223">
        <f t="shared" si="8"/>
        <v>220</v>
      </c>
      <c r="N14" s="223">
        <f t="shared" si="9"/>
        <v>247.5</v>
      </c>
      <c r="O14" s="223">
        <f t="shared" si="10"/>
        <v>280</v>
      </c>
      <c r="P14" s="224">
        <f t="shared" si="11"/>
        <v>200</v>
      </c>
      <c r="Q14" s="224">
        <f t="shared" si="12"/>
        <v>127.5</v>
      </c>
      <c r="R14" s="224">
        <f t="shared" si="13"/>
        <v>62.5</v>
      </c>
      <c r="S14" s="224">
        <f t="shared" si="14"/>
        <v>0</v>
      </c>
      <c r="T14" s="392">
        <f>SUM(C14:S14)</f>
        <v>1495</v>
      </c>
      <c r="U14" s="222"/>
    </row>
    <row r="15" spans="1:21" s="6" customFormat="1" ht="25.5" customHeight="1">
      <c r="A15" s="181" t="s">
        <v>649</v>
      </c>
      <c r="B15" s="211" t="s">
        <v>650</v>
      </c>
      <c r="C15" s="223">
        <f t="shared" si="15"/>
        <v>0</v>
      </c>
      <c r="D15" s="223">
        <f t="shared" si="0"/>
        <v>0</v>
      </c>
      <c r="E15" s="223">
        <f t="shared" si="16"/>
        <v>0</v>
      </c>
      <c r="F15" s="223">
        <f t="shared" si="1"/>
        <v>0</v>
      </c>
      <c r="G15" s="223">
        <f t="shared" si="2"/>
        <v>0</v>
      </c>
      <c r="H15" s="223">
        <f t="shared" si="3"/>
        <v>0</v>
      </c>
      <c r="I15" s="223">
        <f t="shared" si="4"/>
        <v>0</v>
      </c>
      <c r="J15" s="223">
        <f t="shared" si="5"/>
        <v>0</v>
      </c>
      <c r="K15" s="223">
        <f t="shared" si="6"/>
        <v>37.5</v>
      </c>
      <c r="L15" s="223">
        <f t="shared" si="7"/>
        <v>32.5</v>
      </c>
      <c r="M15" s="223">
        <f t="shared" si="8"/>
        <v>0</v>
      </c>
      <c r="N15" s="223">
        <f t="shared" si="9"/>
        <v>45</v>
      </c>
      <c r="O15" s="223">
        <f t="shared" si="10"/>
        <v>70</v>
      </c>
      <c r="P15" s="224">
        <f t="shared" si="11"/>
        <v>12.5</v>
      </c>
      <c r="Q15" s="224">
        <f t="shared" si="12"/>
        <v>37.5</v>
      </c>
      <c r="R15" s="224">
        <f t="shared" si="13"/>
        <v>12.5</v>
      </c>
      <c r="S15" s="224">
        <f t="shared" si="14"/>
        <v>0</v>
      </c>
      <c r="T15" s="392">
        <f t="shared" ref="T15:T20" si="17">SUM(C15:S15)</f>
        <v>247.5</v>
      </c>
      <c r="U15" s="222"/>
    </row>
    <row r="16" spans="1:21" s="6" customFormat="1" ht="25.5" customHeight="1">
      <c r="A16" s="181" t="s">
        <v>651</v>
      </c>
      <c r="B16" s="211" t="s">
        <v>652</v>
      </c>
      <c r="C16" s="223">
        <f t="shared" si="15"/>
        <v>0</v>
      </c>
      <c r="D16" s="223">
        <f t="shared" si="0"/>
        <v>0</v>
      </c>
      <c r="E16" s="223">
        <f t="shared" si="16"/>
        <v>0</v>
      </c>
      <c r="F16" s="223">
        <f t="shared" si="1"/>
        <v>0</v>
      </c>
      <c r="G16" s="223">
        <f t="shared" si="2"/>
        <v>0</v>
      </c>
      <c r="H16" s="223">
        <f t="shared" si="3"/>
        <v>52.5</v>
      </c>
      <c r="I16" s="223">
        <f t="shared" si="4"/>
        <v>95</v>
      </c>
      <c r="J16" s="223">
        <f t="shared" si="5"/>
        <v>0</v>
      </c>
      <c r="K16" s="223">
        <f t="shared" si="6"/>
        <v>0</v>
      </c>
      <c r="L16" s="223">
        <f t="shared" si="7"/>
        <v>0</v>
      </c>
      <c r="M16" s="223">
        <f t="shared" si="8"/>
        <v>55</v>
      </c>
      <c r="N16" s="223">
        <f t="shared" si="9"/>
        <v>0</v>
      </c>
      <c r="O16" s="223">
        <f t="shared" si="10"/>
        <v>17.5</v>
      </c>
      <c r="P16" s="224">
        <f t="shared" si="11"/>
        <v>37.5</v>
      </c>
      <c r="Q16" s="224">
        <f t="shared" si="12"/>
        <v>15</v>
      </c>
      <c r="R16" s="224">
        <f t="shared" si="13"/>
        <v>10</v>
      </c>
      <c r="S16" s="224">
        <f t="shared" si="14"/>
        <v>0</v>
      </c>
      <c r="T16" s="392">
        <f t="shared" si="17"/>
        <v>282.5</v>
      </c>
      <c r="U16" s="222"/>
    </row>
    <row r="17" spans="1:22" s="6" customFormat="1" ht="25.5" customHeight="1">
      <c r="A17" s="181" t="s">
        <v>653</v>
      </c>
      <c r="B17" s="211" t="s">
        <v>654</v>
      </c>
      <c r="C17" s="223">
        <f t="shared" si="15"/>
        <v>0</v>
      </c>
      <c r="D17" s="223">
        <f t="shared" si="0"/>
        <v>0</v>
      </c>
      <c r="E17" s="223">
        <f t="shared" si="16"/>
        <v>0</v>
      </c>
      <c r="F17" s="223">
        <f t="shared" si="1"/>
        <v>0</v>
      </c>
      <c r="G17" s="223">
        <f t="shared" si="2"/>
        <v>0</v>
      </c>
      <c r="H17" s="223">
        <f t="shared" si="3"/>
        <v>0</v>
      </c>
      <c r="I17" s="223">
        <f t="shared" si="4"/>
        <v>0</v>
      </c>
      <c r="J17" s="223">
        <f t="shared" si="5"/>
        <v>42.5</v>
      </c>
      <c r="K17" s="223">
        <f t="shared" si="6"/>
        <v>0</v>
      </c>
      <c r="L17" s="223">
        <f t="shared" si="7"/>
        <v>32.5</v>
      </c>
      <c r="M17" s="223">
        <f t="shared" si="8"/>
        <v>55</v>
      </c>
      <c r="N17" s="223">
        <f t="shared" si="9"/>
        <v>0</v>
      </c>
      <c r="O17" s="223">
        <f t="shared" si="10"/>
        <v>35</v>
      </c>
      <c r="P17" s="224">
        <f t="shared" si="11"/>
        <v>50</v>
      </c>
      <c r="Q17" s="224">
        <f t="shared" si="12"/>
        <v>67.5</v>
      </c>
      <c r="R17" s="224">
        <f t="shared" si="13"/>
        <v>22.5</v>
      </c>
      <c r="S17" s="224">
        <f t="shared" si="14"/>
        <v>0</v>
      </c>
      <c r="T17" s="392">
        <f t="shared" si="17"/>
        <v>305</v>
      </c>
      <c r="U17" s="222"/>
    </row>
    <row r="18" spans="1:22" s="6" customFormat="1" ht="25.5" customHeight="1">
      <c r="A18" s="181" t="s">
        <v>198</v>
      </c>
      <c r="B18" s="211" t="s">
        <v>199</v>
      </c>
      <c r="C18" s="223">
        <f t="shared" si="15"/>
        <v>79</v>
      </c>
      <c r="D18" s="223">
        <f t="shared" si="0"/>
        <v>0</v>
      </c>
      <c r="E18" s="223">
        <f t="shared" si="16"/>
        <v>135</v>
      </c>
      <c r="F18" s="223">
        <f t="shared" si="1"/>
        <v>62.5</v>
      </c>
      <c r="G18" s="223">
        <f t="shared" si="2"/>
        <v>57.5</v>
      </c>
      <c r="H18" s="223">
        <f t="shared" si="3"/>
        <v>105</v>
      </c>
      <c r="I18" s="223">
        <f t="shared" si="4"/>
        <v>95</v>
      </c>
      <c r="J18" s="223">
        <f t="shared" si="5"/>
        <v>0</v>
      </c>
      <c r="K18" s="223">
        <f t="shared" si="6"/>
        <v>0</v>
      </c>
      <c r="L18" s="223">
        <f t="shared" si="7"/>
        <v>32.5</v>
      </c>
      <c r="M18" s="223">
        <f t="shared" si="8"/>
        <v>27.5</v>
      </c>
      <c r="N18" s="223">
        <f t="shared" si="9"/>
        <v>90</v>
      </c>
      <c r="O18" s="223">
        <f t="shared" si="10"/>
        <v>70</v>
      </c>
      <c r="P18" s="224">
        <f t="shared" si="11"/>
        <v>12.5</v>
      </c>
      <c r="Q18" s="224">
        <f t="shared" si="12"/>
        <v>45</v>
      </c>
      <c r="R18" s="224">
        <f t="shared" si="13"/>
        <v>25</v>
      </c>
      <c r="S18" s="224">
        <f t="shared" si="14"/>
        <v>0</v>
      </c>
      <c r="T18" s="392">
        <f t="shared" si="17"/>
        <v>836.5</v>
      </c>
      <c r="U18" s="222"/>
    </row>
    <row r="19" spans="1:22" s="6" customFormat="1" ht="25.5" customHeight="1">
      <c r="A19" s="181" t="s">
        <v>655</v>
      </c>
      <c r="B19" s="211" t="s">
        <v>656</v>
      </c>
      <c r="C19" s="223">
        <f t="shared" si="15"/>
        <v>0</v>
      </c>
      <c r="D19" s="223">
        <f t="shared" si="0"/>
        <v>72.5</v>
      </c>
      <c r="E19" s="223">
        <f t="shared" si="16"/>
        <v>0</v>
      </c>
      <c r="F19" s="223">
        <f t="shared" si="1"/>
        <v>0</v>
      </c>
      <c r="G19" s="223">
        <f t="shared" si="2"/>
        <v>0</v>
      </c>
      <c r="H19" s="223">
        <f t="shared" si="3"/>
        <v>52.5</v>
      </c>
      <c r="I19" s="223">
        <f t="shared" si="4"/>
        <v>0</v>
      </c>
      <c r="J19" s="223">
        <f t="shared" si="5"/>
        <v>0</v>
      </c>
      <c r="K19" s="223">
        <f t="shared" si="6"/>
        <v>75</v>
      </c>
      <c r="L19" s="223">
        <f t="shared" si="7"/>
        <v>97.5</v>
      </c>
      <c r="M19" s="223">
        <f t="shared" si="8"/>
        <v>55</v>
      </c>
      <c r="N19" s="223">
        <f t="shared" si="9"/>
        <v>180</v>
      </c>
      <c r="O19" s="223">
        <f t="shared" si="10"/>
        <v>87.5</v>
      </c>
      <c r="P19" s="224">
        <f t="shared" si="11"/>
        <v>100</v>
      </c>
      <c r="Q19" s="224">
        <f t="shared" si="12"/>
        <v>30</v>
      </c>
      <c r="R19" s="224">
        <f t="shared" si="13"/>
        <v>27.5</v>
      </c>
      <c r="S19" s="224">
        <f t="shared" si="14"/>
        <v>0</v>
      </c>
      <c r="T19" s="392">
        <f t="shared" si="17"/>
        <v>777.5</v>
      </c>
      <c r="U19" s="222"/>
    </row>
    <row r="20" spans="1:22" s="6" customFormat="1" ht="25.5" customHeight="1">
      <c r="A20" s="181" t="s">
        <v>657</v>
      </c>
      <c r="B20" s="211" t="s">
        <v>658</v>
      </c>
      <c r="C20" s="223">
        <f t="shared" si="15"/>
        <v>0</v>
      </c>
      <c r="D20" s="223">
        <f t="shared" si="0"/>
        <v>0</v>
      </c>
      <c r="E20" s="223">
        <f t="shared" si="16"/>
        <v>0</v>
      </c>
      <c r="F20" s="223">
        <f t="shared" si="1"/>
        <v>0</v>
      </c>
      <c r="G20" s="223">
        <f t="shared" si="2"/>
        <v>0</v>
      </c>
      <c r="H20" s="223">
        <f t="shared" si="3"/>
        <v>0</v>
      </c>
      <c r="I20" s="223">
        <f t="shared" si="4"/>
        <v>0</v>
      </c>
      <c r="J20" s="223">
        <f t="shared" si="5"/>
        <v>0</v>
      </c>
      <c r="K20" s="223">
        <f t="shared" si="6"/>
        <v>0</v>
      </c>
      <c r="L20" s="223">
        <f t="shared" si="7"/>
        <v>0</v>
      </c>
      <c r="M20" s="223">
        <f t="shared" si="8"/>
        <v>0</v>
      </c>
      <c r="N20" s="223">
        <f t="shared" si="9"/>
        <v>0</v>
      </c>
      <c r="O20" s="223">
        <f t="shared" si="10"/>
        <v>0</v>
      </c>
      <c r="P20" s="224">
        <f t="shared" si="11"/>
        <v>0</v>
      </c>
      <c r="Q20" s="224">
        <f t="shared" si="12"/>
        <v>0</v>
      </c>
      <c r="R20" s="224">
        <f t="shared" si="13"/>
        <v>0</v>
      </c>
      <c r="S20" s="224">
        <f t="shared" si="14"/>
        <v>0</v>
      </c>
      <c r="T20" s="392">
        <f t="shared" si="17"/>
        <v>0</v>
      </c>
      <c r="U20" s="222"/>
    </row>
    <row r="21" spans="1:22" s="6" customFormat="1" ht="25.5" customHeight="1">
      <c r="A21" s="181" t="s">
        <v>659</v>
      </c>
      <c r="B21" s="211" t="s">
        <v>660</v>
      </c>
      <c r="C21" s="223">
        <f t="shared" si="15"/>
        <v>79</v>
      </c>
      <c r="D21" s="223">
        <f t="shared" si="0"/>
        <v>0</v>
      </c>
      <c r="E21" s="223">
        <f t="shared" si="16"/>
        <v>0</v>
      </c>
      <c r="F21" s="223">
        <f t="shared" si="1"/>
        <v>0</v>
      </c>
      <c r="G21" s="223">
        <f t="shared" si="2"/>
        <v>0</v>
      </c>
      <c r="H21" s="223">
        <f t="shared" si="3"/>
        <v>105</v>
      </c>
      <c r="I21" s="223">
        <f t="shared" si="4"/>
        <v>0</v>
      </c>
      <c r="J21" s="223">
        <f t="shared" si="5"/>
        <v>0</v>
      </c>
      <c r="K21" s="223">
        <f t="shared" si="6"/>
        <v>0</v>
      </c>
      <c r="L21" s="223">
        <f t="shared" si="7"/>
        <v>0</v>
      </c>
      <c r="M21" s="223">
        <f t="shared" si="8"/>
        <v>27.5</v>
      </c>
      <c r="N21" s="223">
        <f t="shared" si="9"/>
        <v>0</v>
      </c>
      <c r="O21" s="223">
        <f t="shared" si="10"/>
        <v>0</v>
      </c>
      <c r="P21" s="224">
        <f t="shared" si="11"/>
        <v>0</v>
      </c>
      <c r="Q21" s="224">
        <f t="shared" si="12"/>
        <v>7.5</v>
      </c>
      <c r="R21" s="224">
        <f t="shared" si="13"/>
        <v>0</v>
      </c>
      <c r="S21" s="224">
        <f t="shared" si="14"/>
        <v>0</v>
      </c>
      <c r="T21" s="392">
        <f>SUM(C21:S21)</f>
        <v>219</v>
      </c>
      <c r="U21" s="222"/>
    </row>
    <row r="22" spans="1:22" s="6" customFormat="1" ht="25.5" customHeight="1">
      <c r="A22" s="181" t="s">
        <v>1437</v>
      </c>
      <c r="B22" s="211" t="s">
        <v>1439</v>
      </c>
      <c r="C22" s="223">
        <f t="shared" si="15"/>
        <v>0</v>
      </c>
      <c r="D22" s="223">
        <f t="shared" si="0"/>
        <v>0</v>
      </c>
      <c r="E22" s="223">
        <f t="shared" si="16"/>
        <v>0</v>
      </c>
      <c r="F22" s="223">
        <f t="shared" si="1"/>
        <v>0</v>
      </c>
      <c r="G22" s="223">
        <f t="shared" si="2"/>
        <v>0</v>
      </c>
      <c r="H22" s="223">
        <f t="shared" si="3"/>
        <v>0</v>
      </c>
      <c r="I22" s="223">
        <f t="shared" si="4"/>
        <v>0</v>
      </c>
      <c r="J22" s="223">
        <f t="shared" si="5"/>
        <v>0</v>
      </c>
      <c r="K22" s="223">
        <f t="shared" si="6"/>
        <v>0</v>
      </c>
      <c r="L22" s="223">
        <f t="shared" si="7"/>
        <v>32.5</v>
      </c>
      <c r="M22" s="223">
        <f t="shared" si="8"/>
        <v>27.5</v>
      </c>
      <c r="N22" s="223">
        <f t="shared" si="9"/>
        <v>0</v>
      </c>
      <c r="O22" s="223">
        <f t="shared" si="10"/>
        <v>122.5</v>
      </c>
      <c r="P22" s="224">
        <f t="shared" si="11"/>
        <v>50</v>
      </c>
      <c r="Q22" s="224">
        <f t="shared" si="12"/>
        <v>90</v>
      </c>
      <c r="R22" s="224">
        <f t="shared" si="13"/>
        <v>37.5</v>
      </c>
      <c r="S22" s="224">
        <f t="shared" si="14"/>
        <v>0</v>
      </c>
      <c r="T22" s="392">
        <f>SUM(C22:S22)</f>
        <v>360</v>
      </c>
      <c r="U22" s="222"/>
    </row>
    <row r="23" spans="1:22" s="6" customFormat="1" ht="25.5" customHeight="1">
      <c r="A23" s="181" t="s">
        <v>1438</v>
      </c>
      <c r="B23" s="211" t="s">
        <v>1440</v>
      </c>
      <c r="C23" s="223">
        <f t="shared" si="15"/>
        <v>0</v>
      </c>
      <c r="D23" s="223">
        <f t="shared" si="0"/>
        <v>0</v>
      </c>
      <c r="E23" s="223">
        <f t="shared" si="16"/>
        <v>0</v>
      </c>
      <c r="F23" s="223">
        <f t="shared" si="1"/>
        <v>0</v>
      </c>
      <c r="G23" s="223">
        <f t="shared" si="2"/>
        <v>0</v>
      </c>
      <c r="H23" s="223">
        <f t="shared" si="3"/>
        <v>0</v>
      </c>
      <c r="I23" s="223">
        <f t="shared" si="4"/>
        <v>0</v>
      </c>
      <c r="J23" s="223">
        <f t="shared" si="5"/>
        <v>42.5</v>
      </c>
      <c r="K23" s="223">
        <f t="shared" si="6"/>
        <v>0</v>
      </c>
      <c r="L23" s="223">
        <f t="shared" si="7"/>
        <v>0</v>
      </c>
      <c r="M23" s="223">
        <f t="shared" si="8"/>
        <v>0</v>
      </c>
      <c r="N23" s="223">
        <f t="shared" si="9"/>
        <v>0</v>
      </c>
      <c r="O23" s="223">
        <f t="shared" si="10"/>
        <v>0</v>
      </c>
      <c r="P23" s="224">
        <f t="shared" si="11"/>
        <v>0</v>
      </c>
      <c r="Q23" s="224">
        <f t="shared" si="12"/>
        <v>0</v>
      </c>
      <c r="R23" s="224">
        <f t="shared" si="13"/>
        <v>2.5</v>
      </c>
      <c r="S23" s="224">
        <f t="shared" si="14"/>
        <v>0</v>
      </c>
      <c r="T23" s="392">
        <f>SUM(C23:S23)</f>
        <v>45</v>
      </c>
      <c r="V23" s="222"/>
    </row>
    <row r="24" spans="1:22" s="6" customFormat="1" ht="25.5" customHeight="1">
      <c r="A24" s="211"/>
      <c r="B24" s="211" t="s">
        <v>438</v>
      </c>
      <c r="C24" s="223">
        <f t="shared" si="15"/>
        <v>79</v>
      </c>
      <c r="D24" s="223">
        <f t="shared" si="0"/>
        <v>0</v>
      </c>
      <c r="E24" s="223">
        <f t="shared" si="16"/>
        <v>0</v>
      </c>
      <c r="F24" s="223">
        <f t="shared" si="1"/>
        <v>0</v>
      </c>
      <c r="G24" s="223">
        <f t="shared" si="2"/>
        <v>0</v>
      </c>
      <c r="H24" s="223">
        <f t="shared" si="3"/>
        <v>0</v>
      </c>
      <c r="I24" s="223">
        <f t="shared" si="4"/>
        <v>0</v>
      </c>
      <c r="J24" s="223">
        <f t="shared" si="5"/>
        <v>42.5</v>
      </c>
      <c r="K24" s="223">
        <f t="shared" si="6"/>
        <v>37.5</v>
      </c>
      <c r="L24" s="223">
        <f t="shared" si="7"/>
        <v>65</v>
      </c>
      <c r="M24" s="223">
        <f t="shared" si="8"/>
        <v>27.5</v>
      </c>
      <c r="N24" s="223">
        <f t="shared" si="9"/>
        <v>45</v>
      </c>
      <c r="O24" s="223">
        <f t="shared" si="10"/>
        <v>52.5</v>
      </c>
      <c r="P24" s="224">
        <f t="shared" si="11"/>
        <v>62.5</v>
      </c>
      <c r="Q24" s="224">
        <f t="shared" si="12"/>
        <v>67.5</v>
      </c>
      <c r="R24" s="224">
        <f t="shared" si="13"/>
        <v>27.5</v>
      </c>
      <c r="S24" s="224">
        <f t="shared" si="14"/>
        <v>0</v>
      </c>
      <c r="T24" s="392">
        <f>SUM(C24:S24)</f>
        <v>506.5</v>
      </c>
      <c r="V24" s="222"/>
    </row>
    <row r="25" spans="1:22" ht="25.5" customHeight="1">
      <c r="A25" s="214"/>
      <c r="B25" s="214" t="s">
        <v>675</v>
      </c>
      <c r="C25" s="225">
        <f t="shared" ref="C25:T25" si="18">SUM(C10:C23)</f>
        <v>316</v>
      </c>
      <c r="D25" s="225">
        <f t="shared" si="18"/>
        <v>72.5</v>
      </c>
      <c r="E25" s="225">
        <f t="shared" si="18"/>
        <v>202.5</v>
      </c>
      <c r="F25" s="225">
        <f t="shared" si="18"/>
        <v>312.5</v>
      </c>
      <c r="G25" s="225">
        <f t="shared" si="18"/>
        <v>862.5</v>
      </c>
      <c r="H25" s="225">
        <f t="shared" si="18"/>
        <v>1417.5</v>
      </c>
      <c r="I25" s="225">
        <f t="shared" si="18"/>
        <v>712.5</v>
      </c>
      <c r="J25" s="225">
        <f t="shared" si="18"/>
        <v>680</v>
      </c>
      <c r="K25" s="225">
        <f t="shared" si="18"/>
        <v>750</v>
      </c>
      <c r="L25" s="225">
        <f t="shared" si="18"/>
        <v>1332.5</v>
      </c>
      <c r="M25" s="225">
        <f t="shared" si="18"/>
        <v>1512.5</v>
      </c>
      <c r="N25" s="225">
        <f t="shared" si="18"/>
        <v>1957.5</v>
      </c>
      <c r="O25" s="225">
        <f t="shared" si="18"/>
        <v>2240</v>
      </c>
      <c r="P25" s="225">
        <f t="shared" si="18"/>
        <v>1600</v>
      </c>
      <c r="Q25" s="225">
        <f t="shared" si="18"/>
        <v>1612.5</v>
      </c>
      <c r="R25" s="225">
        <f t="shared" si="18"/>
        <v>612.5</v>
      </c>
      <c r="S25" s="225">
        <f t="shared" si="18"/>
        <v>0</v>
      </c>
      <c r="T25" s="217">
        <f t="shared" si="18"/>
        <v>16193.5</v>
      </c>
      <c r="V25" s="219"/>
    </row>
    <row r="27" spans="1:22">
      <c r="A27" t="s">
        <v>697</v>
      </c>
    </row>
    <row r="44" spans="1:22">
      <c r="A44" s="1089" t="s">
        <v>627</v>
      </c>
      <c r="B44" s="1090"/>
      <c r="C44" s="973"/>
      <c r="D44" s="1099"/>
      <c r="E44" s="1099"/>
      <c r="F44" s="1099"/>
      <c r="G44" s="1099"/>
      <c r="H44" s="1099"/>
      <c r="I44" s="1099"/>
      <c r="J44" s="1099"/>
      <c r="K44" s="1099"/>
      <c r="L44" s="1099"/>
      <c r="M44" s="1099"/>
      <c r="N44" s="1099"/>
      <c r="O44" s="1099"/>
      <c r="P44" s="1099"/>
      <c r="Q44" s="1099"/>
      <c r="R44" s="1099"/>
      <c r="S44" s="1099"/>
      <c r="T44" s="1100"/>
    </row>
    <row r="45" spans="1:22" ht="18">
      <c r="A45" s="1095" t="s">
        <v>629</v>
      </c>
      <c r="B45" s="1101" t="s">
        <v>630</v>
      </c>
      <c r="C45" s="1096" t="s">
        <v>680</v>
      </c>
      <c r="D45" s="1097" t="s">
        <v>681</v>
      </c>
      <c r="E45" s="1097" t="s">
        <v>682</v>
      </c>
      <c r="F45" s="1097" t="s">
        <v>683</v>
      </c>
      <c r="G45" s="1097" t="s">
        <v>684</v>
      </c>
      <c r="H45" s="1097" t="s">
        <v>685</v>
      </c>
      <c r="I45" s="1097" t="s">
        <v>686</v>
      </c>
      <c r="J45" s="1097" t="s">
        <v>687</v>
      </c>
      <c r="K45" s="1097" t="s">
        <v>688</v>
      </c>
      <c r="L45" s="1097" t="s">
        <v>689</v>
      </c>
      <c r="M45" s="1097" t="s">
        <v>690</v>
      </c>
      <c r="N45" s="1097" t="s">
        <v>691</v>
      </c>
      <c r="O45" s="1097" t="s">
        <v>692</v>
      </c>
      <c r="P45" s="1097" t="s">
        <v>693</v>
      </c>
      <c r="Q45" s="1097" t="s">
        <v>694</v>
      </c>
      <c r="R45" s="1097" t="s">
        <v>695</v>
      </c>
      <c r="S45" s="1097" t="s">
        <v>696</v>
      </c>
      <c r="T45" s="1098" t="s">
        <v>474</v>
      </c>
    </row>
    <row r="46" spans="1:22" ht="18" customHeight="1">
      <c r="A46" s="181" t="s">
        <v>638</v>
      </c>
      <c r="B46" s="211" t="s">
        <v>639</v>
      </c>
      <c r="C46" s="213">
        <v>0</v>
      </c>
      <c r="D46" s="213">
        <v>0</v>
      </c>
      <c r="E46" s="213">
        <v>0</v>
      </c>
      <c r="F46" s="213">
        <v>0</v>
      </c>
      <c r="G46" s="848">
        <v>0</v>
      </c>
      <c r="H46" s="848">
        <v>1</v>
      </c>
      <c r="I46" s="848">
        <v>2</v>
      </c>
      <c r="J46" s="848">
        <v>1</v>
      </c>
      <c r="K46" s="848">
        <v>4</v>
      </c>
      <c r="L46" s="848">
        <v>7</v>
      </c>
      <c r="M46" s="848">
        <v>10</v>
      </c>
      <c r="N46" s="848">
        <v>17</v>
      </c>
      <c r="O46" s="848">
        <v>34</v>
      </c>
      <c r="P46" s="848">
        <v>34</v>
      </c>
      <c r="Q46" s="848">
        <v>61</v>
      </c>
      <c r="R46" s="848">
        <v>70</v>
      </c>
      <c r="S46" s="848">
        <v>282</v>
      </c>
      <c r="T46" s="849">
        <f t="shared" ref="T46:T55" si="19">SUM(C46:S46)</f>
        <v>523</v>
      </c>
      <c r="V46" s="6"/>
    </row>
    <row r="47" spans="1:22" ht="18" customHeight="1">
      <c r="A47" s="181" t="s">
        <v>640</v>
      </c>
      <c r="B47" s="211" t="s">
        <v>641</v>
      </c>
      <c r="C47" s="213">
        <v>0</v>
      </c>
      <c r="D47" s="213">
        <v>0</v>
      </c>
      <c r="E47" s="213">
        <v>0</v>
      </c>
      <c r="F47" s="213">
        <v>0</v>
      </c>
      <c r="G47" s="848">
        <v>1</v>
      </c>
      <c r="H47" s="848">
        <v>5</v>
      </c>
      <c r="I47" s="848">
        <v>2</v>
      </c>
      <c r="J47" s="848">
        <v>3</v>
      </c>
      <c r="K47" s="848">
        <v>3</v>
      </c>
      <c r="L47" s="848">
        <v>10</v>
      </c>
      <c r="M47" s="848">
        <v>23</v>
      </c>
      <c r="N47" s="848">
        <v>30</v>
      </c>
      <c r="O47" s="848">
        <v>40</v>
      </c>
      <c r="P47" s="848">
        <v>38</v>
      </c>
      <c r="Q47" s="848">
        <v>73</v>
      </c>
      <c r="R47" s="848">
        <v>64</v>
      </c>
      <c r="S47" s="848">
        <v>122</v>
      </c>
      <c r="T47" s="849">
        <f t="shared" si="19"/>
        <v>414</v>
      </c>
      <c r="U47" s="227"/>
      <c r="V47" s="6"/>
    </row>
    <row r="48" spans="1:22" ht="18" customHeight="1">
      <c r="A48" s="181" t="s">
        <v>642</v>
      </c>
      <c r="B48" s="211" t="s">
        <v>643</v>
      </c>
      <c r="C48" s="213">
        <v>0</v>
      </c>
      <c r="D48" s="213">
        <v>0</v>
      </c>
      <c r="E48" s="213">
        <v>1</v>
      </c>
      <c r="F48" s="213">
        <v>1</v>
      </c>
      <c r="G48" s="848">
        <v>0</v>
      </c>
      <c r="H48" s="848">
        <v>0</v>
      </c>
      <c r="I48" s="848">
        <v>2</v>
      </c>
      <c r="J48" s="848">
        <v>1</v>
      </c>
      <c r="K48" s="848">
        <v>0</v>
      </c>
      <c r="L48" s="848">
        <v>4</v>
      </c>
      <c r="M48" s="848">
        <v>1</v>
      </c>
      <c r="N48" s="848">
        <v>6</v>
      </c>
      <c r="O48" s="848">
        <v>7</v>
      </c>
      <c r="P48" s="848">
        <v>16</v>
      </c>
      <c r="Q48" s="848">
        <v>18</v>
      </c>
      <c r="R48" s="848">
        <v>29</v>
      </c>
      <c r="S48" s="848">
        <v>125</v>
      </c>
      <c r="T48" s="849">
        <f t="shared" si="19"/>
        <v>211</v>
      </c>
      <c r="V48" s="6"/>
    </row>
    <row r="49" spans="1:22" ht="18" customHeight="1">
      <c r="A49" s="181" t="s">
        <v>645</v>
      </c>
      <c r="B49" s="211" t="s">
        <v>646</v>
      </c>
      <c r="C49" s="213">
        <v>2</v>
      </c>
      <c r="D49" s="213">
        <v>0</v>
      </c>
      <c r="E49" s="213">
        <v>0</v>
      </c>
      <c r="F49" s="213">
        <v>3</v>
      </c>
      <c r="G49" s="848">
        <v>13</v>
      </c>
      <c r="H49" s="848">
        <v>14</v>
      </c>
      <c r="I49" s="848">
        <v>5</v>
      </c>
      <c r="J49" s="848">
        <v>6</v>
      </c>
      <c r="K49" s="848">
        <v>7</v>
      </c>
      <c r="L49" s="848">
        <v>11</v>
      </c>
      <c r="M49" s="848">
        <v>4</v>
      </c>
      <c r="N49" s="848">
        <v>9</v>
      </c>
      <c r="O49" s="848">
        <v>8</v>
      </c>
      <c r="P49" s="848">
        <v>3</v>
      </c>
      <c r="Q49" s="848">
        <v>7</v>
      </c>
      <c r="R49" s="848">
        <v>2</v>
      </c>
      <c r="S49" s="848">
        <v>19</v>
      </c>
      <c r="T49" s="849">
        <f t="shared" si="19"/>
        <v>113</v>
      </c>
      <c r="V49" s="6"/>
    </row>
    <row r="50" spans="1:22" ht="18" customHeight="1">
      <c r="A50" s="181" t="s">
        <v>647</v>
      </c>
      <c r="B50" s="211" t="s">
        <v>648</v>
      </c>
      <c r="C50" s="213">
        <v>0</v>
      </c>
      <c r="D50" s="213">
        <v>0</v>
      </c>
      <c r="E50" s="213">
        <v>0</v>
      </c>
      <c r="F50" s="213">
        <v>0</v>
      </c>
      <c r="G50" s="848">
        <v>0</v>
      </c>
      <c r="H50" s="848">
        <v>1</v>
      </c>
      <c r="I50" s="848">
        <v>0</v>
      </c>
      <c r="J50" s="848">
        <v>3</v>
      </c>
      <c r="K50" s="848">
        <v>3</v>
      </c>
      <c r="L50" s="848">
        <v>2</v>
      </c>
      <c r="M50" s="848">
        <v>8</v>
      </c>
      <c r="N50" s="848">
        <v>11</v>
      </c>
      <c r="O50" s="848">
        <v>16</v>
      </c>
      <c r="P50" s="848">
        <v>16</v>
      </c>
      <c r="Q50" s="848">
        <v>17</v>
      </c>
      <c r="R50" s="848">
        <v>25</v>
      </c>
      <c r="S50" s="848">
        <v>40</v>
      </c>
      <c r="T50" s="849">
        <f t="shared" si="19"/>
        <v>142</v>
      </c>
      <c r="V50" s="6"/>
    </row>
    <row r="51" spans="1:22" ht="18" customHeight="1">
      <c r="A51" s="181" t="s">
        <v>649</v>
      </c>
      <c r="B51" s="211" t="s">
        <v>650</v>
      </c>
      <c r="C51" s="213">
        <v>0</v>
      </c>
      <c r="D51" s="213">
        <v>0</v>
      </c>
      <c r="E51" s="213">
        <v>0</v>
      </c>
      <c r="F51" s="213">
        <v>0</v>
      </c>
      <c r="G51" s="848">
        <v>0</v>
      </c>
      <c r="H51" s="848">
        <v>0</v>
      </c>
      <c r="I51" s="848">
        <v>0</v>
      </c>
      <c r="J51" s="848">
        <v>0</v>
      </c>
      <c r="K51" s="848">
        <v>1</v>
      </c>
      <c r="L51" s="848">
        <v>1</v>
      </c>
      <c r="M51" s="848">
        <v>0</v>
      </c>
      <c r="N51" s="848">
        <v>2</v>
      </c>
      <c r="O51" s="848">
        <v>4</v>
      </c>
      <c r="P51" s="848">
        <v>1</v>
      </c>
      <c r="Q51" s="848">
        <v>5</v>
      </c>
      <c r="R51" s="848">
        <v>5</v>
      </c>
      <c r="S51" s="848">
        <v>34</v>
      </c>
      <c r="T51" s="849">
        <f t="shared" si="19"/>
        <v>53</v>
      </c>
      <c r="V51" s="6"/>
    </row>
    <row r="52" spans="1:22" ht="18" customHeight="1">
      <c r="A52" s="181" t="s">
        <v>651</v>
      </c>
      <c r="B52" s="211" t="s">
        <v>652</v>
      </c>
      <c r="C52" s="213">
        <v>0</v>
      </c>
      <c r="D52" s="213">
        <v>0</v>
      </c>
      <c r="E52" s="213">
        <v>0</v>
      </c>
      <c r="F52" s="213">
        <v>0</v>
      </c>
      <c r="G52" s="848">
        <v>0</v>
      </c>
      <c r="H52" s="848">
        <v>1</v>
      </c>
      <c r="I52" s="848">
        <v>2</v>
      </c>
      <c r="J52" s="848">
        <v>0</v>
      </c>
      <c r="K52" s="848">
        <v>0</v>
      </c>
      <c r="L52" s="848">
        <v>0</v>
      </c>
      <c r="M52" s="848">
        <v>2</v>
      </c>
      <c r="N52" s="848">
        <v>0</v>
      </c>
      <c r="O52" s="848">
        <v>1</v>
      </c>
      <c r="P52" s="848">
        <v>3</v>
      </c>
      <c r="Q52" s="848">
        <v>2</v>
      </c>
      <c r="R52" s="848">
        <v>4</v>
      </c>
      <c r="S52" s="848">
        <v>11</v>
      </c>
      <c r="T52" s="849">
        <f t="shared" si="19"/>
        <v>26</v>
      </c>
      <c r="V52" s="6"/>
    </row>
    <row r="53" spans="1:22" ht="18" customHeight="1">
      <c r="A53" s="181" t="s">
        <v>653</v>
      </c>
      <c r="B53" s="211" t="s">
        <v>654</v>
      </c>
      <c r="C53" s="213">
        <v>0</v>
      </c>
      <c r="D53" s="213">
        <v>0</v>
      </c>
      <c r="E53" s="213">
        <v>0</v>
      </c>
      <c r="F53" s="213">
        <v>0</v>
      </c>
      <c r="G53" s="848">
        <v>0</v>
      </c>
      <c r="H53" s="848">
        <v>0</v>
      </c>
      <c r="I53" s="848">
        <v>0</v>
      </c>
      <c r="J53" s="848">
        <v>1</v>
      </c>
      <c r="K53" s="848">
        <v>0</v>
      </c>
      <c r="L53" s="848">
        <v>1</v>
      </c>
      <c r="M53" s="848">
        <v>2</v>
      </c>
      <c r="N53" s="848">
        <v>0</v>
      </c>
      <c r="O53" s="848">
        <v>2</v>
      </c>
      <c r="P53" s="848">
        <v>4</v>
      </c>
      <c r="Q53" s="848">
        <v>9</v>
      </c>
      <c r="R53" s="848">
        <v>9</v>
      </c>
      <c r="S53" s="848">
        <v>60</v>
      </c>
      <c r="T53" s="849">
        <f t="shared" si="19"/>
        <v>88</v>
      </c>
      <c r="V53" s="6"/>
    </row>
    <row r="54" spans="1:22" ht="18" customHeight="1">
      <c r="A54" s="181" t="s">
        <v>198</v>
      </c>
      <c r="B54" s="211" t="s">
        <v>199</v>
      </c>
      <c r="C54" s="213">
        <v>1</v>
      </c>
      <c r="D54" s="213">
        <v>0</v>
      </c>
      <c r="E54" s="213">
        <v>2</v>
      </c>
      <c r="F54" s="213">
        <v>1</v>
      </c>
      <c r="G54" s="848">
        <v>1</v>
      </c>
      <c r="H54" s="848">
        <v>2</v>
      </c>
      <c r="I54" s="848">
        <v>2</v>
      </c>
      <c r="J54" s="848">
        <v>0</v>
      </c>
      <c r="K54" s="848">
        <v>0</v>
      </c>
      <c r="L54" s="848">
        <v>1</v>
      </c>
      <c r="M54" s="848">
        <v>1</v>
      </c>
      <c r="N54" s="848">
        <v>4</v>
      </c>
      <c r="O54" s="848">
        <v>4</v>
      </c>
      <c r="P54" s="848">
        <v>1</v>
      </c>
      <c r="Q54" s="848">
        <v>6</v>
      </c>
      <c r="R54" s="848">
        <v>10</v>
      </c>
      <c r="S54" s="848">
        <v>48</v>
      </c>
      <c r="T54" s="849">
        <f t="shared" si="19"/>
        <v>84</v>
      </c>
      <c r="V54" s="6"/>
    </row>
    <row r="55" spans="1:22" ht="18" customHeight="1">
      <c r="A55" s="181" t="s">
        <v>655</v>
      </c>
      <c r="B55" s="211" t="s">
        <v>656</v>
      </c>
      <c r="C55" s="213">
        <v>0</v>
      </c>
      <c r="D55" s="213">
        <v>1</v>
      </c>
      <c r="E55" s="213">
        <v>0</v>
      </c>
      <c r="F55" s="213">
        <v>0</v>
      </c>
      <c r="G55" s="848">
        <v>0</v>
      </c>
      <c r="H55" s="848">
        <v>1</v>
      </c>
      <c r="I55" s="848">
        <v>0</v>
      </c>
      <c r="J55" s="848">
        <v>0</v>
      </c>
      <c r="K55" s="848">
        <v>2</v>
      </c>
      <c r="L55" s="848">
        <v>3</v>
      </c>
      <c r="M55" s="848">
        <v>2</v>
      </c>
      <c r="N55" s="848">
        <v>8</v>
      </c>
      <c r="O55" s="848">
        <v>5</v>
      </c>
      <c r="P55" s="848">
        <v>8</v>
      </c>
      <c r="Q55" s="848">
        <v>4</v>
      </c>
      <c r="R55" s="848">
        <v>11</v>
      </c>
      <c r="S55" s="848">
        <v>40</v>
      </c>
      <c r="T55" s="849">
        <f t="shared" si="19"/>
        <v>85</v>
      </c>
      <c r="V55" s="6"/>
    </row>
    <row r="56" spans="1:22" ht="18" customHeight="1">
      <c r="A56" s="181" t="s">
        <v>657</v>
      </c>
      <c r="B56" s="211" t="s">
        <v>658</v>
      </c>
      <c r="C56" s="213">
        <v>0</v>
      </c>
      <c r="D56" s="213">
        <v>0</v>
      </c>
      <c r="E56" s="213">
        <v>0</v>
      </c>
      <c r="F56" s="213">
        <v>0</v>
      </c>
      <c r="G56" s="848">
        <v>0</v>
      </c>
      <c r="H56" s="848">
        <v>0</v>
      </c>
      <c r="I56" s="848">
        <v>0</v>
      </c>
      <c r="J56" s="848">
        <v>0</v>
      </c>
      <c r="K56" s="848">
        <v>0</v>
      </c>
      <c r="L56" s="848">
        <v>0</v>
      </c>
      <c r="M56" s="848">
        <v>0</v>
      </c>
      <c r="N56" s="848">
        <v>0</v>
      </c>
      <c r="O56" s="848">
        <v>0</v>
      </c>
      <c r="P56" s="848">
        <v>0</v>
      </c>
      <c r="Q56" s="848">
        <v>0</v>
      </c>
      <c r="R56" s="848">
        <v>0</v>
      </c>
      <c r="S56" s="848">
        <v>0</v>
      </c>
      <c r="T56" s="849">
        <f>SUM(C56:S56)</f>
        <v>0</v>
      </c>
      <c r="V56" s="6"/>
    </row>
    <row r="57" spans="1:22" ht="18" customHeight="1">
      <c r="A57" s="181" t="s">
        <v>659</v>
      </c>
      <c r="B57" s="211" t="s">
        <v>660</v>
      </c>
      <c r="C57" s="213">
        <v>1</v>
      </c>
      <c r="D57" s="213">
        <v>0</v>
      </c>
      <c r="E57" s="213">
        <v>0</v>
      </c>
      <c r="F57" s="213">
        <v>0</v>
      </c>
      <c r="G57" s="848">
        <v>0</v>
      </c>
      <c r="H57" s="848">
        <v>2</v>
      </c>
      <c r="I57" s="848">
        <v>0</v>
      </c>
      <c r="J57" s="848">
        <v>0</v>
      </c>
      <c r="K57" s="848">
        <v>0</v>
      </c>
      <c r="L57" s="848">
        <v>0</v>
      </c>
      <c r="M57" s="848">
        <v>1</v>
      </c>
      <c r="N57" s="848">
        <v>0</v>
      </c>
      <c r="O57" s="848">
        <v>0</v>
      </c>
      <c r="P57" s="848">
        <v>0</v>
      </c>
      <c r="Q57" s="848">
        <v>1</v>
      </c>
      <c r="R57" s="848">
        <v>0</v>
      </c>
      <c r="S57" s="848">
        <v>0</v>
      </c>
      <c r="T57" s="849">
        <f>SUM(C57:S57)</f>
        <v>5</v>
      </c>
      <c r="V57" s="6"/>
    </row>
    <row r="58" spans="1:22" ht="18" customHeight="1">
      <c r="A58" s="181" t="s">
        <v>1437</v>
      </c>
      <c r="B58" s="211" t="s">
        <v>1439</v>
      </c>
      <c r="C58" s="213">
        <v>0</v>
      </c>
      <c r="D58" s="213">
        <v>0</v>
      </c>
      <c r="E58" s="213">
        <v>0</v>
      </c>
      <c r="F58" s="213">
        <v>0</v>
      </c>
      <c r="G58" s="848">
        <v>0</v>
      </c>
      <c r="H58" s="848">
        <v>0</v>
      </c>
      <c r="I58" s="848">
        <v>0</v>
      </c>
      <c r="J58" s="848">
        <v>0</v>
      </c>
      <c r="K58" s="848">
        <v>0</v>
      </c>
      <c r="L58" s="848">
        <v>1</v>
      </c>
      <c r="M58" s="848">
        <v>1</v>
      </c>
      <c r="N58" s="848">
        <v>0</v>
      </c>
      <c r="O58" s="848">
        <v>7</v>
      </c>
      <c r="P58" s="848">
        <v>4</v>
      </c>
      <c r="Q58" s="848">
        <v>12</v>
      </c>
      <c r="R58" s="848">
        <v>15</v>
      </c>
      <c r="S58" s="848">
        <v>37</v>
      </c>
      <c r="T58" s="849">
        <f>SUM(C58:S58)</f>
        <v>77</v>
      </c>
      <c r="V58" s="6"/>
    </row>
    <row r="59" spans="1:22" ht="18" customHeight="1">
      <c r="A59" s="181" t="s">
        <v>1438</v>
      </c>
      <c r="B59" s="211" t="s">
        <v>1440</v>
      </c>
      <c r="C59" s="213">
        <v>0</v>
      </c>
      <c r="D59" s="213">
        <v>0</v>
      </c>
      <c r="E59" s="213">
        <v>0</v>
      </c>
      <c r="F59" s="213">
        <v>0</v>
      </c>
      <c r="G59" s="848">
        <v>0</v>
      </c>
      <c r="H59" s="848">
        <v>0</v>
      </c>
      <c r="I59" s="848">
        <v>0</v>
      </c>
      <c r="J59" s="848">
        <v>1</v>
      </c>
      <c r="K59" s="848">
        <v>0</v>
      </c>
      <c r="L59" s="848">
        <v>0</v>
      </c>
      <c r="M59" s="848">
        <v>0</v>
      </c>
      <c r="N59" s="848">
        <v>0</v>
      </c>
      <c r="O59" s="848">
        <v>0</v>
      </c>
      <c r="P59" s="848">
        <v>0</v>
      </c>
      <c r="Q59" s="848">
        <v>0</v>
      </c>
      <c r="R59" s="848">
        <v>1</v>
      </c>
      <c r="S59" s="848">
        <v>1</v>
      </c>
      <c r="T59" s="849">
        <f>SUM(C59:S59)</f>
        <v>3</v>
      </c>
      <c r="V59" s="6"/>
    </row>
    <row r="60" spans="1:22">
      <c r="A60" s="211"/>
      <c r="B60" s="211" t="s">
        <v>438</v>
      </c>
      <c r="C60" s="213">
        <v>1</v>
      </c>
      <c r="D60" s="213">
        <v>0</v>
      </c>
      <c r="E60" s="213">
        <v>0</v>
      </c>
      <c r="F60" s="213">
        <v>0</v>
      </c>
      <c r="G60" s="848">
        <v>0</v>
      </c>
      <c r="H60" s="848">
        <v>0</v>
      </c>
      <c r="I60" s="848">
        <v>0</v>
      </c>
      <c r="J60" s="848">
        <v>1</v>
      </c>
      <c r="K60" s="848">
        <v>1</v>
      </c>
      <c r="L60" s="848">
        <v>2</v>
      </c>
      <c r="M60" s="848">
        <v>1</v>
      </c>
      <c r="N60" s="848">
        <v>2</v>
      </c>
      <c r="O60" s="848">
        <v>3</v>
      </c>
      <c r="P60" s="848">
        <v>5</v>
      </c>
      <c r="Q60" s="848">
        <v>9</v>
      </c>
      <c r="R60" s="848">
        <v>11</v>
      </c>
      <c r="S60" s="848">
        <v>48</v>
      </c>
      <c r="T60" s="849">
        <f>SUM(C60:S60)</f>
        <v>84</v>
      </c>
      <c r="V60" s="6"/>
    </row>
    <row r="61" spans="1:22">
      <c r="A61" s="214"/>
      <c r="B61" s="214" t="s">
        <v>675</v>
      </c>
      <c r="C61" s="850">
        <f t="shared" ref="C61:R61" si="20">SUM(C46:C60)</f>
        <v>5</v>
      </c>
      <c r="D61" s="850">
        <f t="shared" si="20"/>
        <v>1</v>
      </c>
      <c r="E61" s="850">
        <f t="shared" si="20"/>
        <v>3</v>
      </c>
      <c r="F61" s="850">
        <f t="shared" si="20"/>
        <v>5</v>
      </c>
      <c r="G61" s="850">
        <f t="shared" si="20"/>
        <v>15</v>
      </c>
      <c r="H61" s="850">
        <f t="shared" si="20"/>
        <v>27</v>
      </c>
      <c r="I61" s="850">
        <f t="shared" si="20"/>
        <v>15</v>
      </c>
      <c r="J61" s="850">
        <f t="shared" si="20"/>
        <v>17</v>
      </c>
      <c r="K61" s="850">
        <f t="shared" si="20"/>
        <v>21</v>
      </c>
      <c r="L61" s="850">
        <f t="shared" si="20"/>
        <v>43</v>
      </c>
      <c r="M61" s="850">
        <f t="shared" si="20"/>
        <v>56</v>
      </c>
      <c r="N61" s="850">
        <f t="shared" si="20"/>
        <v>89</v>
      </c>
      <c r="O61" s="850">
        <f t="shared" si="20"/>
        <v>131</v>
      </c>
      <c r="P61" s="850">
        <f t="shared" si="20"/>
        <v>133</v>
      </c>
      <c r="Q61" s="850">
        <f t="shared" si="20"/>
        <v>224</v>
      </c>
      <c r="R61" s="850">
        <f t="shared" si="20"/>
        <v>256</v>
      </c>
      <c r="S61" s="850">
        <f>SUM(S46:S60)</f>
        <v>867</v>
      </c>
      <c r="T61" s="851">
        <f>SUM(T46:T60)</f>
        <v>1908</v>
      </c>
    </row>
    <row r="62" spans="1:22">
      <c r="B62" s="211" t="s">
        <v>698</v>
      </c>
      <c r="L62" s="213"/>
      <c r="S62" s="213"/>
      <c r="U62" s="924"/>
    </row>
    <row r="63" spans="1:22">
      <c r="S63" s="848"/>
    </row>
  </sheetData>
  <mergeCells count="5">
    <mergeCell ref="A1:T1"/>
    <mergeCell ref="A3:T3"/>
    <mergeCell ref="A4:T4"/>
    <mergeCell ref="C8:T8"/>
    <mergeCell ref="B8:B9"/>
  </mergeCells>
  <phoneticPr fontId="18" type="noConversion"/>
  <pageMargins left="0.98425196850393704" right="0" top="1.3779527559055118" bottom="0.78740157480314965" header="0.51181102362204722" footer="0.51181102362204722"/>
  <pageSetup paperSize="5" scale="70" orientation="landscape"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72"/>
  <sheetViews>
    <sheetView showGridLines="0" topLeftCell="A31" zoomScale="75" workbookViewId="0">
      <selection activeCell="G14" sqref="G14"/>
    </sheetView>
  </sheetViews>
  <sheetFormatPr baseColWidth="10" defaultRowHeight="12.75"/>
  <cols>
    <col min="2" max="2" width="25.5703125" customWidth="1"/>
    <col min="3" max="3" width="10.7109375" customWidth="1"/>
    <col min="4" max="5" width="10.28515625" customWidth="1"/>
    <col min="6" max="6" width="10.5703125" customWidth="1"/>
    <col min="7" max="7" width="10.28515625" customWidth="1"/>
    <col min="8" max="8" width="9.7109375" customWidth="1"/>
  </cols>
  <sheetData>
    <row r="1" spans="1:8">
      <c r="A1" s="63" t="s">
        <v>701</v>
      </c>
      <c r="B1" s="86"/>
      <c r="C1" s="86"/>
      <c r="D1" s="86"/>
      <c r="E1" s="86"/>
      <c r="F1" s="86"/>
      <c r="G1" s="86"/>
      <c r="H1" s="1"/>
    </row>
    <row r="2" spans="1:8">
      <c r="A2" s="63"/>
      <c r="B2" s="86"/>
      <c r="C2" s="86"/>
      <c r="D2" s="86"/>
      <c r="E2" s="86"/>
      <c r="F2" s="86"/>
      <c r="G2" s="86"/>
      <c r="H2" s="1"/>
    </row>
    <row r="3" spans="1:8">
      <c r="A3" s="63" t="s">
        <v>702</v>
      </c>
      <c r="B3" s="86"/>
      <c r="C3" s="86"/>
      <c r="D3" s="86"/>
      <c r="E3" s="86"/>
      <c r="F3" s="86"/>
      <c r="G3" s="86"/>
      <c r="H3" s="1"/>
    </row>
    <row r="4" spans="1:8">
      <c r="A4" s="63"/>
      <c r="B4" s="86"/>
      <c r="C4" s="86"/>
      <c r="D4" s="86"/>
      <c r="E4" s="86"/>
      <c r="F4" s="86"/>
      <c r="G4" s="86"/>
      <c r="H4" s="1"/>
    </row>
    <row r="5" spans="1:8" ht="12" customHeight="1">
      <c r="A5" s="63">
        <v>2023</v>
      </c>
      <c r="B5" s="86"/>
      <c r="C5" s="86"/>
      <c r="D5" s="86"/>
      <c r="E5" s="86"/>
      <c r="F5" s="86"/>
      <c r="G5" s="86"/>
      <c r="H5" s="1"/>
    </row>
    <row r="6" spans="1:8">
      <c r="A6" s="86"/>
      <c r="B6" s="86"/>
      <c r="C6" s="86"/>
      <c r="D6" s="86"/>
      <c r="E6" s="86"/>
      <c r="F6" s="86"/>
      <c r="G6" s="86"/>
      <c r="H6" s="1"/>
    </row>
    <row r="7" spans="1:8">
      <c r="A7" s="86"/>
      <c r="B7" s="86"/>
      <c r="C7" s="86"/>
      <c r="D7" s="86"/>
      <c r="E7" s="86"/>
      <c r="F7" s="86"/>
      <c r="G7" s="86"/>
      <c r="H7" s="1"/>
    </row>
    <row r="10" spans="1:8">
      <c r="A10" s="230"/>
      <c r="B10" s="220"/>
      <c r="C10" s="139"/>
      <c r="D10" s="220"/>
      <c r="E10" s="139"/>
      <c r="F10" s="220"/>
      <c r="G10" s="139"/>
      <c r="H10" s="220"/>
    </row>
    <row r="11" spans="1:8">
      <c r="A11" s="231"/>
      <c r="B11" s="146"/>
      <c r="C11" s="147" t="s">
        <v>703</v>
      </c>
      <c r="D11" s="232"/>
      <c r="E11" s="147" t="s">
        <v>603</v>
      </c>
      <c r="F11" s="232"/>
      <c r="G11" s="147" t="s">
        <v>704</v>
      </c>
      <c r="H11" s="232"/>
    </row>
    <row r="12" spans="1:8">
      <c r="A12" s="231" t="s">
        <v>705</v>
      </c>
      <c r="B12" s="146"/>
      <c r="C12" s="147" t="s">
        <v>706</v>
      </c>
      <c r="D12" s="232" t="s">
        <v>615</v>
      </c>
      <c r="E12" s="147" t="s">
        <v>706</v>
      </c>
      <c r="F12" s="232" t="s">
        <v>615</v>
      </c>
      <c r="G12" s="147" t="s">
        <v>706</v>
      </c>
      <c r="H12" s="232" t="s">
        <v>615</v>
      </c>
    </row>
    <row r="13" spans="1:8">
      <c r="A13" s="233"/>
      <c r="B13" s="234"/>
      <c r="C13" s="233"/>
      <c r="D13" s="234"/>
      <c r="E13" s="233"/>
      <c r="F13" s="234"/>
      <c r="G13" s="233"/>
      <c r="H13" s="234"/>
    </row>
    <row r="14" spans="1:8" s="6" customFormat="1" ht="24" customHeight="1">
      <c r="A14" s="37" t="s">
        <v>717</v>
      </c>
      <c r="B14" s="109"/>
      <c r="C14" s="34"/>
      <c r="D14" s="236">
        <f t="shared" ref="D14:D45" si="0">+C14/C$72*100000</f>
        <v>0</v>
      </c>
      <c r="E14" s="32"/>
      <c r="F14" s="236">
        <f>+E14/E$72*100000</f>
        <v>0</v>
      </c>
      <c r="G14" s="34"/>
      <c r="H14" s="236">
        <f>+G14/G$72*100000</f>
        <v>0</v>
      </c>
    </row>
    <row r="15" spans="1:8" s="6" customFormat="1" ht="24" customHeight="1">
      <c r="A15" s="37" t="s">
        <v>232</v>
      </c>
      <c r="B15" s="109"/>
      <c r="C15" s="34"/>
      <c r="D15" s="236">
        <f t="shared" si="0"/>
        <v>0</v>
      </c>
      <c r="E15" s="32"/>
      <c r="F15" s="236">
        <f>+E15/E$72*100000</f>
        <v>0</v>
      </c>
      <c r="G15" s="34"/>
      <c r="H15" s="236">
        <f>+G15/G$72*100000</f>
        <v>0</v>
      </c>
    </row>
    <row r="16" spans="1:8" s="6" customFormat="1" ht="24" customHeight="1">
      <c r="A16" s="37" t="s">
        <v>712</v>
      </c>
      <c r="B16" s="109"/>
      <c r="C16" s="34"/>
      <c r="D16" s="236">
        <f t="shared" si="0"/>
        <v>0</v>
      </c>
      <c r="E16" s="32"/>
      <c r="F16" s="236">
        <f t="shared" ref="F16:F44" si="1">+E16/E$72*100000</f>
        <v>0</v>
      </c>
      <c r="G16" s="34"/>
      <c r="H16" s="236">
        <f t="shared" ref="H16:H44" si="2">+G16/G$72*100000</f>
        <v>0</v>
      </c>
    </row>
    <row r="17" spans="1:8" s="6" customFormat="1" ht="24" customHeight="1">
      <c r="A17" s="37" t="s">
        <v>233</v>
      </c>
      <c r="B17" s="109"/>
      <c r="C17" s="34"/>
      <c r="D17" s="236">
        <f t="shared" si="0"/>
        <v>0</v>
      </c>
      <c r="E17" s="32"/>
      <c r="F17" s="236">
        <f t="shared" si="1"/>
        <v>0</v>
      </c>
      <c r="G17" s="34"/>
      <c r="H17" s="236">
        <f t="shared" si="2"/>
        <v>0</v>
      </c>
    </row>
    <row r="18" spans="1:8" s="6" customFormat="1" ht="24" customHeight="1">
      <c r="A18" s="37" t="s">
        <v>725</v>
      </c>
      <c r="B18" s="109"/>
      <c r="C18" s="34"/>
      <c r="D18" s="236">
        <f t="shared" si="0"/>
        <v>0</v>
      </c>
      <c r="E18" s="32"/>
      <c r="F18" s="236">
        <f t="shared" si="1"/>
        <v>0</v>
      </c>
      <c r="G18" s="34"/>
      <c r="H18" s="236">
        <f t="shared" si="2"/>
        <v>0</v>
      </c>
    </row>
    <row r="19" spans="1:8" s="6" customFormat="1" ht="24" customHeight="1">
      <c r="A19" s="37" t="s">
        <v>234</v>
      </c>
      <c r="B19" s="109"/>
      <c r="C19" s="34"/>
      <c r="D19" s="236">
        <f t="shared" si="0"/>
        <v>0</v>
      </c>
      <c r="E19" s="32"/>
      <c r="F19" s="236">
        <f t="shared" si="1"/>
        <v>0</v>
      </c>
      <c r="G19" s="34"/>
      <c r="H19" s="236">
        <f t="shared" si="2"/>
        <v>0</v>
      </c>
    </row>
    <row r="20" spans="1:8" s="6" customFormat="1" ht="24" customHeight="1">
      <c r="A20" s="37" t="s">
        <v>235</v>
      </c>
      <c r="B20" s="109"/>
      <c r="C20" s="34"/>
      <c r="D20" s="236">
        <f t="shared" si="0"/>
        <v>0</v>
      </c>
      <c r="E20" s="32"/>
      <c r="F20" s="236">
        <f t="shared" si="1"/>
        <v>0</v>
      </c>
      <c r="G20" s="34"/>
      <c r="H20" s="236">
        <f t="shared" si="2"/>
        <v>0</v>
      </c>
    </row>
    <row r="21" spans="1:8" s="6" customFormat="1" ht="24" customHeight="1">
      <c r="A21" s="37" t="s">
        <v>236</v>
      </c>
      <c r="B21" s="109"/>
      <c r="C21" s="34"/>
      <c r="D21" s="236">
        <f t="shared" si="0"/>
        <v>0</v>
      </c>
      <c r="E21" s="32"/>
      <c r="F21" s="236">
        <f t="shared" si="1"/>
        <v>0</v>
      </c>
      <c r="G21" s="34"/>
      <c r="H21" s="236">
        <f t="shared" si="2"/>
        <v>0</v>
      </c>
    </row>
    <row r="22" spans="1:8" s="6" customFormat="1" ht="24" customHeight="1">
      <c r="A22" s="37" t="s">
        <v>716</v>
      </c>
      <c r="B22" s="109"/>
      <c r="C22" s="34"/>
      <c r="D22" s="236">
        <f t="shared" si="0"/>
        <v>0</v>
      </c>
      <c r="E22" s="32"/>
      <c r="F22" s="236">
        <f t="shared" si="1"/>
        <v>0</v>
      </c>
      <c r="G22" s="34"/>
      <c r="H22" s="236">
        <f t="shared" si="2"/>
        <v>0</v>
      </c>
    </row>
    <row r="23" spans="1:8" s="6" customFormat="1" ht="24" customHeight="1">
      <c r="A23" s="37" t="s">
        <v>721</v>
      </c>
      <c r="B23" s="109"/>
      <c r="C23" s="235"/>
      <c r="D23" s="236">
        <f t="shared" si="0"/>
        <v>0</v>
      </c>
      <c r="E23" s="32"/>
      <c r="F23" s="236">
        <f t="shared" si="1"/>
        <v>0</v>
      </c>
      <c r="G23" s="34"/>
      <c r="H23" s="236">
        <f t="shared" si="2"/>
        <v>0</v>
      </c>
    </row>
    <row r="24" spans="1:8" s="6" customFormat="1" ht="24" customHeight="1">
      <c r="A24" s="37" t="s">
        <v>720</v>
      </c>
      <c r="B24" s="109"/>
      <c r="C24" s="235"/>
      <c r="D24" s="236">
        <f t="shared" si="0"/>
        <v>0</v>
      </c>
      <c r="E24" s="32"/>
      <c r="F24" s="236">
        <f t="shared" si="1"/>
        <v>0</v>
      </c>
      <c r="G24" s="34"/>
      <c r="H24" s="236">
        <f t="shared" si="2"/>
        <v>0</v>
      </c>
    </row>
    <row r="25" spans="1:8" s="6" customFormat="1" ht="24" customHeight="1">
      <c r="A25" s="37" t="s">
        <v>707</v>
      </c>
      <c r="B25" s="109"/>
      <c r="C25" s="235"/>
      <c r="D25" s="236">
        <f t="shared" si="0"/>
        <v>0</v>
      </c>
      <c r="E25" s="32"/>
      <c r="F25" s="236">
        <f t="shared" si="1"/>
        <v>0</v>
      </c>
      <c r="G25" s="34"/>
      <c r="H25" s="236">
        <f t="shared" si="2"/>
        <v>0</v>
      </c>
    </row>
    <row r="26" spans="1:8" s="6" customFormat="1" ht="24" customHeight="1">
      <c r="A26" s="37" t="s">
        <v>722</v>
      </c>
      <c r="B26" s="109"/>
      <c r="C26" s="235"/>
      <c r="D26" s="236">
        <f t="shared" si="0"/>
        <v>0</v>
      </c>
      <c r="E26" s="32"/>
      <c r="F26" s="236">
        <f t="shared" si="1"/>
        <v>0</v>
      </c>
      <c r="G26" s="34"/>
      <c r="H26" s="236">
        <f t="shared" si="2"/>
        <v>0</v>
      </c>
    </row>
    <row r="27" spans="1:8" s="6" customFormat="1" ht="24" customHeight="1">
      <c r="A27" s="37" t="s">
        <v>711</v>
      </c>
      <c r="B27" s="109"/>
      <c r="C27" s="235"/>
      <c r="D27" s="236">
        <f t="shared" si="0"/>
        <v>0</v>
      </c>
      <c r="E27" s="32"/>
      <c r="F27" s="236">
        <f t="shared" si="1"/>
        <v>0</v>
      </c>
      <c r="G27" s="34"/>
      <c r="H27" s="236">
        <f t="shared" si="2"/>
        <v>0</v>
      </c>
    </row>
    <row r="28" spans="1:8" s="6" customFormat="1" ht="24" customHeight="1">
      <c r="A28" s="37" t="s">
        <v>237</v>
      </c>
      <c r="B28" s="109"/>
      <c r="C28" s="235"/>
      <c r="D28" s="236">
        <f t="shared" si="0"/>
        <v>0</v>
      </c>
      <c r="E28" s="32"/>
      <c r="F28" s="236">
        <f t="shared" si="1"/>
        <v>0</v>
      </c>
      <c r="G28" s="34"/>
      <c r="H28" s="236">
        <f t="shared" si="2"/>
        <v>0</v>
      </c>
    </row>
    <row r="29" spans="1:8" s="6" customFormat="1" ht="24" customHeight="1">
      <c r="A29" s="37" t="s">
        <v>710</v>
      </c>
      <c r="B29" s="109"/>
      <c r="C29" s="235"/>
      <c r="D29" s="236">
        <f t="shared" si="0"/>
        <v>0</v>
      </c>
      <c r="E29" s="32"/>
      <c r="F29" s="236">
        <f t="shared" si="1"/>
        <v>0</v>
      </c>
      <c r="G29" s="34"/>
      <c r="H29" s="236">
        <f t="shared" si="2"/>
        <v>0</v>
      </c>
    </row>
    <row r="30" spans="1:8" s="6" customFormat="1" ht="24" customHeight="1">
      <c r="A30" s="37" t="s">
        <v>1299</v>
      </c>
      <c r="B30" s="109"/>
      <c r="C30" s="34"/>
      <c r="D30" s="236">
        <f t="shared" si="0"/>
        <v>0</v>
      </c>
      <c r="E30" s="32"/>
      <c r="F30" s="236">
        <f t="shared" si="1"/>
        <v>0</v>
      </c>
      <c r="G30" s="34"/>
      <c r="H30" s="236">
        <f t="shared" si="2"/>
        <v>0</v>
      </c>
    </row>
    <row r="31" spans="1:8" s="6" customFormat="1" ht="24" customHeight="1">
      <c r="A31" s="37" t="s">
        <v>708</v>
      </c>
      <c r="B31" s="109"/>
      <c r="C31" s="235"/>
      <c r="D31" s="236">
        <f t="shared" si="0"/>
        <v>0</v>
      </c>
      <c r="E31" s="32"/>
      <c r="F31" s="236">
        <f t="shared" si="1"/>
        <v>0</v>
      </c>
      <c r="G31" s="34"/>
      <c r="H31" s="236">
        <f t="shared" si="2"/>
        <v>0</v>
      </c>
    </row>
    <row r="32" spans="1:8" s="6" customFormat="1" ht="24" customHeight="1">
      <c r="A32" s="37" t="s">
        <v>713</v>
      </c>
      <c r="B32" s="109"/>
      <c r="C32" s="235"/>
      <c r="D32" s="236">
        <f t="shared" si="0"/>
        <v>0</v>
      </c>
      <c r="E32" s="32"/>
      <c r="F32" s="236">
        <f t="shared" si="1"/>
        <v>0</v>
      </c>
      <c r="G32" s="34"/>
      <c r="H32" s="236">
        <f t="shared" si="2"/>
        <v>0</v>
      </c>
    </row>
    <row r="33" spans="1:8" s="6" customFormat="1" ht="24" customHeight="1">
      <c r="A33" s="37" t="s">
        <v>714</v>
      </c>
      <c r="B33" s="109"/>
      <c r="C33" s="235"/>
      <c r="D33" s="236">
        <f t="shared" si="0"/>
        <v>0</v>
      </c>
      <c r="E33" s="32"/>
      <c r="F33" s="236">
        <f t="shared" si="1"/>
        <v>0</v>
      </c>
      <c r="G33" s="34"/>
      <c r="H33" s="236">
        <f t="shared" si="2"/>
        <v>0</v>
      </c>
    </row>
    <row r="34" spans="1:8" s="6" customFormat="1" ht="24" customHeight="1">
      <c r="A34" s="37" t="s">
        <v>231</v>
      </c>
      <c r="B34" s="109"/>
      <c r="C34" s="235"/>
      <c r="D34" s="236">
        <f t="shared" si="0"/>
        <v>0</v>
      </c>
      <c r="E34" s="32"/>
      <c r="F34" s="236">
        <f t="shared" si="1"/>
        <v>0</v>
      </c>
      <c r="G34" s="34"/>
      <c r="H34" s="236">
        <f t="shared" si="2"/>
        <v>0</v>
      </c>
    </row>
    <row r="35" spans="1:8" s="6" customFormat="1" ht="24" customHeight="1">
      <c r="A35" s="37" t="s">
        <v>715</v>
      </c>
      <c r="B35" s="109"/>
      <c r="C35" s="235"/>
      <c r="D35" s="236">
        <f t="shared" si="0"/>
        <v>0</v>
      </c>
      <c r="E35" s="32"/>
      <c r="F35" s="236">
        <f t="shared" si="1"/>
        <v>0</v>
      </c>
      <c r="G35" s="34"/>
      <c r="H35" s="236">
        <f t="shared" si="2"/>
        <v>0</v>
      </c>
    </row>
    <row r="36" spans="1:8" s="6" customFormat="1" ht="24" customHeight="1">
      <c r="A36" s="37" t="s">
        <v>718</v>
      </c>
      <c r="B36" s="109"/>
      <c r="C36" s="235"/>
      <c r="D36" s="236">
        <f t="shared" si="0"/>
        <v>0</v>
      </c>
      <c r="E36" s="32"/>
      <c r="F36" s="236">
        <f t="shared" si="1"/>
        <v>0</v>
      </c>
      <c r="G36" s="34"/>
      <c r="H36" s="236">
        <f t="shared" si="2"/>
        <v>0</v>
      </c>
    </row>
    <row r="37" spans="1:8" s="6" customFormat="1" ht="24" customHeight="1">
      <c r="A37" s="37" t="s">
        <v>727</v>
      </c>
      <c r="B37" s="109"/>
      <c r="C37" s="235"/>
      <c r="D37" s="236">
        <f t="shared" si="0"/>
        <v>0</v>
      </c>
      <c r="E37" s="32"/>
      <c r="F37" s="236">
        <f t="shared" si="1"/>
        <v>0</v>
      </c>
      <c r="G37" s="34"/>
      <c r="H37" s="236">
        <f t="shared" si="2"/>
        <v>0</v>
      </c>
    </row>
    <row r="38" spans="1:8" s="6" customFormat="1" ht="24" customHeight="1">
      <c r="A38" s="37" t="s">
        <v>238</v>
      </c>
      <c r="B38" s="109"/>
      <c r="C38" s="235"/>
      <c r="D38" s="236">
        <f t="shared" si="0"/>
        <v>0</v>
      </c>
      <c r="E38" s="32"/>
      <c r="F38" s="236">
        <f t="shared" si="1"/>
        <v>0</v>
      </c>
      <c r="G38" s="34"/>
      <c r="H38" s="236">
        <f t="shared" si="2"/>
        <v>0</v>
      </c>
    </row>
    <row r="39" spans="1:8" s="6" customFormat="1" ht="24" customHeight="1">
      <c r="A39" s="37" t="s">
        <v>1043</v>
      </c>
      <c r="B39" s="109"/>
      <c r="C39" s="235"/>
      <c r="D39" s="236">
        <f t="shared" si="0"/>
        <v>0</v>
      </c>
      <c r="E39" s="32"/>
      <c r="F39" s="236">
        <f t="shared" si="1"/>
        <v>0</v>
      </c>
      <c r="G39" s="34"/>
      <c r="H39" s="236">
        <f t="shared" si="2"/>
        <v>0</v>
      </c>
    </row>
    <row r="40" spans="1:8" s="6" customFormat="1" ht="24" customHeight="1">
      <c r="A40" s="37" t="s">
        <v>724</v>
      </c>
      <c r="B40" s="109"/>
      <c r="C40" s="235"/>
      <c r="D40" s="236">
        <f t="shared" si="0"/>
        <v>0</v>
      </c>
      <c r="E40" s="32"/>
      <c r="F40" s="236">
        <f t="shared" si="1"/>
        <v>0</v>
      </c>
      <c r="G40" s="34"/>
      <c r="H40" s="236">
        <f t="shared" si="2"/>
        <v>0</v>
      </c>
    </row>
    <row r="41" spans="1:8" s="6" customFormat="1" ht="24" customHeight="1">
      <c r="A41" s="37" t="s">
        <v>726</v>
      </c>
      <c r="B41" s="109"/>
      <c r="C41" s="235"/>
      <c r="D41" s="236">
        <f t="shared" si="0"/>
        <v>0</v>
      </c>
      <c r="E41" s="32"/>
      <c r="F41" s="236">
        <f t="shared" si="1"/>
        <v>0</v>
      </c>
      <c r="G41" s="34"/>
      <c r="H41" s="236">
        <f t="shared" si="2"/>
        <v>0</v>
      </c>
    </row>
    <row r="42" spans="1:8" s="6" customFormat="1" ht="24" customHeight="1">
      <c r="A42" s="37" t="s">
        <v>1004</v>
      </c>
      <c r="B42" s="109"/>
      <c r="C42" s="235"/>
      <c r="D42" s="236">
        <f t="shared" si="0"/>
        <v>0</v>
      </c>
      <c r="E42" s="32"/>
      <c r="F42" s="236">
        <f t="shared" si="1"/>
        <v>0</v>
      </c>
      <c r="G42" s="34"/>
      <c r="H42" s="236">
        <f t="shared" si="2"/>
        <v>0</v>
      </c>
    </row>
    <row r="43" spans="1:8" s="6" customFormat="1" ht="24" customHeight="1">
      <c r="A43" s="37" t="s">
        <v>239</v>
      </c>
      <c r="B43" s="109"/>
      <c r="C43" s="235"/>
      <c r="D43" s="236">
        <f t="shared" si="0"/>
        <v>0</v>
      </c>
      <c r="E43" s="32"/>
      <c r="F43" s="236">
        <f t="shared" si="1"/>
        <v>0</v>
      </c>
      <c r="G43" s="34"/>
      <c r="H43" s="236">
        <f t="shared" si="2"/>
        <v>0</v>
      </c>
    </row>
    <row r="44" spans="1:8" s="6" customFormat="1" ht="24" customHeight="1">
      <c r="A44" s="37" t="s">
        <v>723</v>
      </c>
      <c r="B44" s="109"/>
      <c r="C44" s="235"/>
      <c r="D44" s="236">
        <f t="shared" si="0"/>
        <v>0</v>
      </c>
      <c r="E44" s="32"/>
      <c r="F44" s="236">
        <f t="shared" si="1"/>
        <v>0</v>
      </c>
      <c r="G44" s="34"/>
      <c r="H44" s="236">
        <f t="shared" si="2"/>
        <v>0</v>
      </c>
    </row>
    <row r="45" spans="1:8" s="6" customFormat="1" ht="24" customHeight="1">
      <c r="A45" s="167" t="s">
        <v>240</v>
      </c>
      <c r="B45" s="221"/>
      <c r="C45" s="237"/>
      <c r="D45" s="238">
        <f t="shared" si="0"/>
        <v>0</v>
      </c>
      <c r="E45" s="38"/>
      <c r="F45" s="238">
        <f>+E45/E$72*100000</f>
        <v>0</v>
      </c>
      <c r="G45" s="56"/>
      <c r="H45" s="238">
        <f>+G45/G$72*100000</f>
        <v>0</v>
      </c>
    </row>
    <row r="47" spans="1:8">
      <c r="A47" t="s">
        <v>728</v>
      </c>
    </row>
    <row r="50" spans="1:1">
      <c r="A50" s="2" t="s">
        <v>1559</v>
      </c>
    </row>
    <row r="67" spans="3:7">
      <c r="E67" s="164"/>
      <c r="F67" s="164"/>
    </row>
    <row r="72" spans="3:7">
      <c r="C72" s="88">
        <f>+'7'!$B$19</f>
        <v>19493184</v>
      </c>
      <c r="D72" s="88"/>
      <c r="E72" s="88">
        <f>+'7'!$C$19</f>
        <v>1995538</v>
      </c>
      <c r="F72" s="88"/>
      <c r="G72" s="88">
        <f>+'7'!$D$19</f>
        <v>288579</v>
      </c>
    </row>
  </sheetData>
  <phoneticPr fontId="18" type="noConversion"/>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72"/>
  <sheetViews>
    <sheetView showGridLines="0" topLeftCell="A31" zoomScale="75" workbookViewId="0">
      <selection activeCell="M14" sqref="M14"/>
    </sheetView>
  </sheetViews>
  <sheetFormatPr baseColWidth="10" defaultRowHeight="12.75"/>
  <cols>
    <col min="2" max="2" width="25" customWidth="1"/>
    <col min="3" max="3" width="10.7109375" customWidth="1"/>
    <col min="4" max="5" width="10.28515625" customWidth="1"/>
    <col min="6" max="6" width="10.5703125" customWidth="1"/>
    <col min="7" max="7" width="10.28515625" customWidth="1"/>
  </cols>
  <sheetData>
    <row r="1" spans="1:12">
      <c r="A1" s="1541" t="s">
        <v>1269</v>
      </c>
      <c r="B1" s="1541"/>
      <c r="C1" s="1541"/>
      <c r="D1" s="1541"/>
      <c r="E1" s="1541"/>
      <c r="F1" s="1541"/>
      <c r="G1" s="1541"/>
      <c r="H1" s="1541"/>
      <c r="I1" s="1541"/>
      <c r="J1" s="1541"/>
    </row>
    <row r="2" spans="1:12">
      <c r="A2" s="63"/>
      <c r="B2" s="86"/>
      <c r="C2" s="86"/>
      <c r="D2" s="86"/>
      <c r="E2" s="86"/>
      <c r="F2" s="86"/>
      <c r="G2" s="86"/>
    </row>
    <row r="3" spans="1:12">
      <c r="A3" s="1541" t="s">
        <v>702</v>
      </c>
      <c r="B3" s="1541"/>
      <c r="C3" s="1541"/>
      <c r="D3" s="1541"/>
      <c r="E3" s="1541"/>
      <c r="F3" s="1541"/>
      <c r="G3" s="1541"/>
      <c r="H3" s="1541"/>
      <c r="I3" s="1541"/>
      <c r="J3" s="1541"/>
    </row>
    <row r="4" spans="1:12">
      <c r="A4" s="63"/>
      <c r="B4" s="86"/>
      <c r="C4" s="86"/>
      <c r="D4" s="86"/>
      <c r="E4" s="86"/>
      <c r="F4" s="86"/>
      <c r="G4" s="86"/>
    </row>
    <row r="5" spans="1:12" ht="12" customHeight="1">
      <c r="A5" s="1541" t="s">
        <v>958</v>
      </c>
      <c r="B5" s="1541"/>
      <c r="C5" s="1541"/>
      <c r="D5" s="1541"/>
      <c r="E5" s="1541"/>
      <c r="F5" s="1541"/>
      <c r="G5" s="1541"/>
      <c r="H5" s="1541"/>
      <c r="I5" s="1541"/>
      <c r="J5" s="1541"/>
    </row>
    <row r="6" spans="1:12">
      <c r="A6" s="86"/>
      <c r="B6" s="86"/>
      <c r="C6" s="86"/>
      <c r="D6" s="86"/>
      <c r="E6" s="86"/>
      <c r="F6" s="86"/>
      <c r="G6" s="86"/>
    </row>
    <row r="7" spans="1:12">
      <c r="A7" s="86"/>
      <c r="B7" s="86"/>
      <c r="C7" s="86"/>
      <c r="D7" s="86"/>
      <c r="E7" s="86"/>
      <c r="F7" s="86"/>
      <c r="G7" s="86"/>
    </row>
    <row r="10" spans="1:12">
      <c r="A10" s="1242"/>
      <c r="B10" s="1100"/>
      <c r="C10" s="973"/>
      <c r="D10" s="1243"/>
      <c r="E10" s="1099"/>
      <c r="F10" s="1243"/>
      <c r="G10" s="1100"/>
      <c r="H10" s="1243"/>
      <c r="I10" s="1243"/>
      <c r="J10" s="1243"/>
      <c r="K10" s="1243"/>
      <c r="L10" s="1243"/>
    </row>
    <row r="11" spans="1:12">
      <c r="A11" s="1244"/>
      <c r="B11" s="977"/>
      <c r="C11" s="980"/>
      <c r="D11" s="981"/>
      <c r="E11" s="1245"/>
      <c r="F11" s="981"/>
      <c r="G11" s="1246"/>
      <c r="H11" s="981"/>
      <c r="I11" s="981"/>
      <c r="J11" s="981"/>
      <c r="K11" s="981"/>
      <c r="L11" s="981"/>
    </row>
    <row r="12" spans="1:12">
      <c r="A12" s="1244" t="s">
        <v>705</v>
      </c>
      <c r="B12" s="977"/>
      <c r="C12" s="981">
        <v>2014</v>
      </c>
      <c r="D12" s="1246">
        <v>2015</v>
      </c>
      <c r="E12" s="981">
        <v>2016</v>
      </c>
      <c r="F12" s="981">
        <v>2017</v>
      </c>
      <c r="G12" s="981">
        <v>2018</v>
      </c>
      <c r="H12" s="981">
        <v>2019</v>
      </c>
      <c r="I12" s="981">
        <v>2020</v>
      </c>
      <c r="J12" s="981">
        <v>2021</v>
      </c>
      <c r="K12" s="981">
        <v>2022</v>
      </c>
      <c r="L12" s="981">
        <v>2023</v>
      </c>
    </row>
    <row r="13" spans="1:12">
      <c r="A13" s="1247"/>
      <c r="B13" s="1248"/>
      <c r="C13" s="1249"/>
      <c r="D13" s="1248"/>
      <c r="E13" s="1249"/>
      <c r="F13" s="1249"/>
      <c r="G13" s="1249"/>
      <c r="H13" s="1249"/>
      <c r="I13" s="1249"/>
      <c r="J13" s="1249"/>
      <c r="K13" s="1249"/>
      <c r="L13" s="1249"/>
    </row>
    <row r="14" spans="1:12" s="6" customFormat="1" ht="24" customHeight="1">
      <c r="A14" s="37" t="s">
        <v>717</v>
      </c>
      <c r="B14" s="109"/>
      <c r="C14" s="33">
        <v>0</v>
      </c>
      <c r="D14" s="226">
        <v>0</v>
      </c>
      <c r="E14" s="226">
        <v>0</v>
      </c>
      <c r="F14" s="226">
        <v>0</v>
      </c>
      <c r="G14" s="226"/>
      <c r="H14" s="226"/>
      <c r="I14" s="226"/>
      <c r="J14" s="226"/>
      <c r="K14" s="226"/>
      <c r="L14" s="226"/>
    </row>
    <row r="15" spans="1:12" s="6" customFormat="1" ht="24" customHeight="1">
      <c r="A15" s="37" t="s">
        <v>232</v>
      </c>
      <c r="B15" s="109"/>
      <c r="C15" s="33">
        <v>0</v>
      </c>
      <c r="D15" s="226">
        <v>0</v>
      </c>
      <c r="E15" s="226">
        <v>0</v>
      </c>
      <c r="F15" s="226">
        <v>0</v>
      </c>
      <c r="G15" s="226"/>
      <c r="H15" s="226"/>
      <c r="I15" s="226"/>
      <c r="J15" s="226"/>
      <c r="K15" s="226"/>
      <c r="L15" s="226"/>
    </row>
    <row r="16" spans="1:12" s="6" customFormat="1" ht="24" customHeight="1">
      <c r="A16" s="37" t="s">
        <v>712</v>
      </c>
      <c r="B16" s="109"/>
      <c r="C16" s="33">
        <v>0</v>
      </c>
      <c r="D16" s="226">
        <v>0</v>
      </c>
      <c r="E16" s="226">
        <v>1</v>
      </c>
      <c r="F16" s="226">
        <v>0</v>
      </c>
      <c r="G16" s="226"/>
      <c r="H16" s="226"/>
      <c r="I16" s="226"/>
      <c r="J16" s="226"/>
      <c r="K16" s="226"/>
      <c r="L16" s="226"/>
    </row>
    <row r="17" spans="1:12" s="6" customFormat="1" ht="24" customHeight="1">
      <c r="A17" s="37" t="s">
        <v>233</v>
      </c>
      <c r="B17" s="109"/>
      <c r="C17" s="33">
        <v>1</v>
      </c>
      <c r="D17" s="226">
        <v>0</v>
      </c>
      <c r="E17" s="226">
        <v>0</v>
      </c>
      <c r="F17" s="226">
        <v>0</v>
      </c>
      <c r="G17" s="226"/>
      <c r="H17" s="226"/>
      <c r="I17" s="226"/>
      <c r="J17" s="226"/>
      <c r="K17" s="226"/>
      <c r="L17" s="226"/>
    </row>
    <row r="18" spans="1:12" s="6" customFormat="1" ht="24" customHeight="1">
      <c r="A18" s="37" t="s">
        <v>725</v>
      </c>
      <c r="B18" s="109"/>
      <c r="C18" s="33">
        <v>0</v>
      </c>
      <c r="D18" s="226">
        <v>0</v>
      </c>
      <c r="E18" s="226">
        <v>0</v>
      </c>
      <c r="F18" s="226">
        <v>0</v>
      </c>
      <c r="G18" s="226"/>
      <c r="H18" s="226"/>
      <c r="I18" s="226"/>
      <c r="J18" s="226"/>
      <c r="K18" s="226"/>
      <c r="L18" s="226"/>
    </row>
    <row r="19" spans="1:12" s="6" customFormat="1" ht="24" customHeight="1">
      <c r="A19" s="37" t="s">
        <v>234</v>
      </c>
      <c r="B19" s="109"/>
      <c r="C19" s="33">
        <v>0</v>
      </c>
      <c r="D19" s="226">
        <v>0</v>
      </c>
      <c r="E19" s="226">
        <v>0</v>
      </c>
      <c r="F19" s="226">
        <v>0</v>
      </c>
      <c r="G19" s="226"/>
      <c r="H19" s="226"/>
      <c r="I19" s="226"/>
      <c r="J19" s="226"/>
      <c r="K19" s="226"/>
      <c r="L19" s="226"/>
    </row>
    <row r="20" spans="1:12" s="6" customFormat="1" ht="24" customHeight="1">
      <c r="A20" s="37" t="s">
        <v>235</v>
      </c>
      <c r="B20" s="109"/>
      <c r="C20" s="33">
        <v>2</v>
      </c>
      <c r="D20" s="226">
        <v>7</v>
      </c>
      <c r="E20" s="226">
        <v>3</v>
      </c>
      <c r="F20" s="226">
        <v>1</v>
      </c>
      <c r="G20" s="226"/>
      <c r="H20" s="226"/>
      <c r="I20" s="226"/>
      <c r="J20" s="226"/>
      <c r="K20" s="226"/>
      <c r="L20" s="226"/>
    </row>
    <row r="21" spans="1:12" s="6" customFormat="1" ht="24" customHeight="1">
      <c r="A21" s="37" t="s">
        <v>236</v>
      </c>
      <c r="B21" s="109"/>
      <c r="C21" s="33">
        <v>0</v>
      </c>
      <c r="D21" s="226">
        <v>2</v>
      </c>
      <c r="E21" s="226">
        <v>4</v>
      </c>
      <c r="F21" s="226">
        <v>0</v>
      </c>
      <c r="G21" s="226"/>
      <c r="H21" s="226"/>
      <c r="I21" s="226"/>
      <c r="J21" s="226"/>
      <c r="K21" s="226"/>
      <c r="L21" s="226"/>
    </row>
    <row r="22" spans="1:12" s="6" customFormat="1" ht="24" customHeight="1">
      <c r="A22" s="37" t="s">
        <v>716</v>
      </c>
      <c r="B22" s="109"/>
      <c r="C22" s="33">
        <v>19</v>
      </c>
      <c r="D22" s="226">
        <v>14</v>
      </c>
      <c r="E22" s="226">
        <v>25</v>
      </c>
      <c r="F22" s="226">
        <v>0</v>
      </c>
      <c r="G22" s="226"/>
      <c r="H22" s="226"/>
      <c r="I22" s="226"/>
      <c r="J22" s="226"/>
      <c r="K22" s="226"/>
      <c r="L22" s="226"/>
    </row>
    <row r="23" spans="1:12" s="6" customFormat="1" ht="24" customHeight="1">
      <c r="A23" s="37" t="s">
        <v>721</v>
      </c>
      <c r="B23" s="109"/>
      <c r="C23" s="33">
        <v>10</v>
      </c>
      <c r="D23" s="226">
        <v>10</v>
      </c>
      <c r="E23" s="226">
        <v>7</v>
      </c>
      <c r="F23" s="226">
        <v>5</v>
      </c>
      <c r="G23" s="226"/>
      <c r="H23" s="226"/>
      <c r="I23" s="226"/>
      <c r="J23" s="226"/>
      <c r="K23" s="226"/>
      <c r="L23" s="226"/>
    </row>
    <row r="24" spans="1:12" s="6" customFormat="1" ht="24" customHeight="1">
      <c r="A24" s="37" t="s">
        <v>720</v>
      </c>
      <c r="B24" s="109"/>
      <c r="C24" s="33">
        <v>46</v>
      </c>
      <c r="D24" s="226">
        <v>57</v>
      </c>
      <c r="E24" s="226">
        <v>77</v>
      </c>
      <c r="F24" s="226">
        <v>23</v>
      </c>
      <c r="G24" s="226"/>
      <c r="H24" s="226"/>
      <c r="I24" s="226"/>
      <c r="J24" s="226"/>
      <c r="K24" s="226"/>
      <c r="L24" s="226"/>
    </row>
    <row r="25" spans="1:12" s="6" customFormat="1" ht="24" customHeight="1">
      <c r="A25" s="37" t="s">
        <v>707</v>
      </c>
      <c r="B25" s="109"/>
      <c r="C25" s="33">
        <v>0</v>
      </c>
      <c r="D25" s="226">
        <v>0</v>
      </c>
      <c r="E25" s="226">
        <v>0</v>
      </c>
      <c r="F25" s="226">
        <v>0</v>
      </c>
      <c r="G25" s="226"/>
      <c r="H25" s="226"/>
      <c r="I25" s="226"/>
      <c r="J25" s="226"/>
      <c r="K25" s="226"/>
      <c r="L25" s="226"/>
    </row>
    <row r="26" spans="1:12" s="6" customFormat="1" ht="24" customHeight="1">
      <c r="A26" s="37" t="s">
        <v>722</v>
      </c>
      <c r="B26" s="109"/>
      <c r="C26" s="33">
        <v>15</v>
      </c>
      <c r="D26" s="226">
        <v>11</v>
      </c>
      <c r="E26" s="226">
        <v>7</v>
      </c>
      <c r="F26" s="226">
        <v>0</v>
      </c>
      <c r="G26" s="226"/>
      <c r="H26" s="226"/>
      <c r="I26" s="226"/>
      <c r="J26" s="226"/>
      <c r="K26" s="226"/>
      <c r="L26" s="226"/>
    </row>
    <row r="27" spans="1:12" s="6" customFormat="1" ht="24" customHeight="1">
      <c r="A27" s="37" t="s">
        <v>711</v>
      </c>
      <c r="B27" s="109"/>
      <c r="C27" s="33">
        <v>0</v>
      </c>
      <c r="D27" s="226">
        <v>0</v>
      </c>
      <c r="E27" s="226">
        <v>0</v>
      </c>
      <c r="F27" s="226">
        <v>0</v>
      </c>
      <c r="G27" s="226"/>
      <c r="H27" s="226"/>
      <c r="I27" s="226"/>
      <c r="J27" s="226"/>
      <c r="K27" s="226"/>
      <c r="L27" s="226"/>
    </row>
    <row r="28" spans="1:12" s="6" customFormat="1" ht="24" customHeight="1">
      <c r="A28" s="37" t="s">
        <v>237</v>
      </c>
      <c r="B28" s="109"/>
      <c r="C28" s="33">
        <v>0</v>
      </c>
      <c r="D28" s="226">
        <v>0</v>
      </c>
      <c r="E28" s="226">
        <v>0</v>
      </c>
      <c r="F28" s="226">
        <v>0</v>
      </c>
      <c r="G28" s="226"/>
      <c r="H28" s="226"/>
      <c r="I28" s="226"/>
      <c r="J28" s="226"/>
      <c r="K28" s="226"/>
      <c r="L28" s="226"/>
    </row>
    <row r="29" spans="1:12" s="6" customFormat="1" ht="24" customHeight="1">
      <c r="A29" s="37" t="s">
        <v>710</v>
      </c>
      <c r="B29" s="109"/>
      <c r="C29" s="33">
        <v>0</v>
      </c>
      <c r="D29" s="226">
        <v>0</v>
      </c>
      <c r="E29" s="226">
        <v>0</v>
      </c>
      <c r="F29" s="226">
        <v>0</v>
      </c>
      <c r="G29" s="226"/>
      <c r="H29" s="226"/>
      <c r="I29" s="226"/>
      <c r="J29" s="226"/>
      <c r="K29" s="226"/>
      <c r="L29" s="226"/>
    </row>
    <row r="30" spans="1:12" s="6" customFormat="1" ht="24" customHeight="1">
      <c r="A30" s="37" t="s">
        <v>709</v>
      </c>
      <c r="B30" s="109"/>
      <c r="C30" s="33">
        <v>0</v>
      </c>
      <c r="D30" s="226">
        <v>0</v>
      </c>
      <c r="E30" s="226">
        <v>0</v>
      </c>
      <c r="F30" s="226">
        <v>0</v>
      </c>
      <c r="G30" s="226"/>
      <c r="H30" s="226"/>
      <c r="I30" s="226"/>
      <c r="J30" s="226"/>
      <c r="K30" s="226"/>
      <c r="L30" s="226"/>
    </row>
    <row r="31" spans="1:12" s="6" customFormat="1" ht="24" customHeight="1">
      <c r="A31" s="37" t="s">
        <v>708</v>
      </c>
      <c r="B31" s="109"/>
      <c r="C31" s="33">
        <v>9</v>
      </c>
      <c r="D31" s="226">
        <v>6</v>
      </c>
      <c r="E31" s="226">
        <v>14</v>
      </c>
      <c r="F31" s="226">
        <v>0</v>
      </c>
      <c r="G31" s="226"/>
      <c r="H31" s="226"/>
      <c r="I31" s="226"/>
      <c r="J31" s="226"/>
      <c r="K31" s="226"/>
      <c r="L31" s="226"/>
    </row>
    <row r="32" spans="1:12" s="6" customFormat="1" ht="24" customHeight="1">
      <c r="A32" s="37" t="s">
        <v>713</v>
      </c>
      <c r="B32" s="109"/>
      <c r="C32" s="33">
        <v>5</v>
      </c>
      <c r="D32" s="226">
        <v>0</v>
      </c>
      <c r="E32" s="226">
        <v>4</v>
      </c>
      <c r="F32" s="226">
        <v>0</v>
      </c>
      <c r="G32" s="226"/>
      <c r="H32" s="226"/>
      <c r="I32" s="226"/>
      <c r="J32" s="226"/>
      <c r="K32" s="226"/>
      <c r="L32" s="226"/>
    </row>
    <row r="33" spans="1:12" s="6" customFormat="1" ht="24" customHeight="1">
      <c r="A33" s="37" t="s">
        <v>714</v>
      </c>
      <c r="B33" s="109"/>
      <c r="C33" s="33">
        <v>9</v>
      </c>
      <c r="D33" s="226">
        <v>9</v>
      </c>
      <c r="E33" s="226">
        <v>7</v>
      </c>
      <c r="F33" s="226">
        <v>2</v>
      </c>
      <c r="G33" s="226"/>
      <c r="H33" s="226"/>
      <c r="I33" s="226"/>
      <c r="J33" s="226"/>
      <c r="K33" s="226"/>
      <c r="L33" s="226"/>
    </row>
    <row r="34" spans="1:12" s="6" customFormat="1" ht="24" customHeight="1">
      <c r="A34" s="37" t="s">
        <v>231</v>
      </c>
      <c r="B34" s="109"/>
      <c r="C34" s="33">
        <v>3</v>
      </c>
      <c r="D34" s="226">
        <v>5</v>
      </c>
      <c r="E34" s="226">
        <v>6</v>
      </c>
      <c r="F34" s="226">
        <v>2</v>
      </c>
      <c r="G34" s="226"/>
      <c r="H34" s="226"/>
      <c r="I34" s="226"/>
      <c r="J34" s="226"/>
      <c r="K34" s="226"/>
      <c r="L34" s="226"/>
    </row>
    <row r="35" spans="1:12" s="6" customFormat="1" ht="24" customHeight="1">
      <c r="A35" s="37" t="s">
        <v>715</v>
      </c>
      <c r="B35" s="109"/>
      <c r="C35" s="33">
        <v>0</v>
      </c>
      <c r="D35" s="226">
        <v>0</v>
      </c>
      <c r="E35" s="226">
        <v>0</v>
      </c>
      <c r="F35" s="226">
        <v>0</v>
      </c>
      <c r="G35" s="226"/>
      <c r="H35" s="226"/>
      <c r="I35" s="226"/>
      <c r="J35" s="226"/>
      <c r="K35" s="226"/>
      <c r="L35" s="226"/>
    </row>
    <row r="36" spans="1:12" s="6" customFormat="1" ht="24" customHeight="1">
      <c r="A36" s="37" t="s">
        <v>718</v>
      </c>
      <c r="B36" s="109"/>
      <c r="C36" s="33">
        <v>0</v>
      </c>
      <c r="D36" s="226">
        <v>0</v>
      </c>
      <c r="E36" s="226">
        <v>0</v>
      </c>
      <c r="F36" s="226">
        <v>0</v>
      </c>
      <c r="G36" s="226"/>
      <c r="H36" s="226"/>
      <c r="I36" s="226"/>
      <c r="J36" s="226"/>
      <c r="K36" s="226"/>
      <c r="L36" s="226"/>
    </row>
    <row r="37" spans="1:12" s="6" customFormat="1" ht="24" customHeight="1">
      <c r="A37" s="37" t="s">
        <v>727</v>
      </c>
      <c r="B37" s="109"/>
      <c r="C37" s="33">
        <v>0</v>
      </c>
      <c r="D37" s="226">
        <v>0</v>
      </c>
      <c r="E37" s="226">
        <v>0</v>
      </c>
      <c r="F37" s="226">
        <v>0</v>
      </c>
      <c r="G37" s="226"/>
      <c r="H37" s="226"/>
      <c r="I37" s="226"/>
      <c r="J37" s="226"/>
      <c r="K37" s="226"/>
      <c r="L37" s="226"/>
    </row>
    <row r="38" spans="1:12" s="6" customFormat="1" ht="24" customHeight="1">
      <c r="A38" s="37" t="s">
        <v>238</v>
      </c>
      <c r="B38" s="109"/>
      <c r="C38" s="33">
        <v>0</v>
      </c>
      <c r="D38" s="226">
        <v>2</v>
      </c>
      <c r="E38" s="226">
        <v>8</v>
      </c>
      <c r="F38" s="226">
        <v>12</v>
      </c>
      <c r="G38" s="226"/>
      <c r="H38" s="226"/>
      <c r="I38" s="226"/>
      <c r="J38" s="226"/>
      <c r="K38" s="226"/>
      <c r="L38" s="226"/>
    </row>
    <row r="39" spans="1:12" s="6" customFormat="1" ht="24" customHeight="1">
      <c r="A39" s="37" t="s">
        <v>1043</v>
      </c>
      <c r="B39" s="109"/>
      <c r="C39" s="33">
        <v>1</v>
      </c>
      <c r="D39" s="226">
        <v>0</v>
      </c>
      <c r="E39" s="226">
        <v>0</v>
      </c>
      <c r="F39" s="226">
        <v>0</v>
      </c>
      <c r="G39" s="226"/>
      <c r="H39" s="226"/>
      <c r="I39" s="226"/>
      <c r="J39" s="226"/>
      <c r="K39" s="226"/>
      <c r="L39" s="226"/>
    </row>
    <row r="40" spans="1:12" s="6" customFormat="1" ht="24" customHeight="1">
      <c r="A40" s="37" t="s">
        <v>724</v>
      </c>
      <c r="B40" s="109"/>
      <c r="C40" s="33">
        <v>0</v>
      </c>
      <c r="D40" s="226">
        <v>2</v>
      </c>
      <c r="E40" s="226">
        <v>1</v>
      </c>
      <c r="F40" s="226">
        <v>0</v>
      </c>
      <c r="G40" s="226"/>
      <c r="H40" s="226"/>
      <c r="I40" s="226"/>
      <c r="J40" s="226"/>
      <c r="K40" s="226"/>
      <c r="L40" s="226"/>
    </row>
    <row r="41" spans="1:12" s="6" customFormat="1" ht="24" customHeight="1">
      <c r="A41" s="37" t="s">
        <v>726</v>
      </c>
      <c r="B41" s="109"/>
      <c r="C41" s="33">
        <v>0</v>
      </c>
      <c r="D41" s="226">
        <v>0</v>
      </c>
      <c r="E41" s="226">
        <v>0</v>
      </c>
      <c r="F41" s="226">
        <v>0</v>
      </c>
      <c r="G41" s="226"/>
      <c r="H41" s="226"/>
      <c r="I41" s="226"/>
      <c r="J41" s="226"/>
      <c r="K41" s="226"/>
      <c r="L41" s="226"/>
    </row>
    <row r="42" spans="1:12" s="6" customFormat="1" ht="24" customHeight="1">
      <c r="A42" s="37" t="s">
        <v>1004</v>
      </c>
      <c r="B42" s="109"/>
      <c r="C42" s="33">
        <v>1</v>
      </c>
      <c r="D42" s="226">
        <v>0</v>
      </c>
      <c r="E42" s="226">
        <v>1</v>
      </c>
      <c r="F42" s="226">
        <v>0</v>
      </c>
      <c r="G42" s="226"/>
      <c r="H42" s="226"/>
      <c r="I42" s="226"/>
      <c r="J42" s="226"/>
      <c r="K42" s="226"/>
      <c r="L42" s="226"/>
    </row>
    <row r="43" spans="1:12" s="6" customFormat="1" ht="24" customHeight="1">
      <c r="A43" s="37" t="s">
        <v>239</v>
      </c>
      <c r="B43" s="109"/>
      <c r="C43" s="33">
        <v>0</v>
      </c>
      <c r="D43" s="226">
        <v>0</v>
      </c>
      <c r="E43" s="226">
        <v>0</v>
      </c>
      <c r="F43" s="226">
        <v>0</v>
      </c>
      <c r="G43" s="226"/>
      <c r="H43" s="226"/>
      <c r="I43" s="226"/>
      <c r="J43" s="226"/>
      <c r="K43" s="226"/>
      <c r="L43" s="226"/>
    </row>
    <row r="44" spans="1:12" s="6" customFormat="1" ht="24" customHeight="1">
      <c r="A44" s="37" t="s">
        <v>723</v>
      </c>
      <c r="B44" s="109"/>
      <c r="C44" s="33">
        <v>0</v>
      </c>
      <c r="D44" s="226">
        <v>0</v>
      </c>
      <c r="E44" s="226">
        <v>0</v>
      </c>
      <c r="F44" s="226">
        <v>0</v>
      </c>
      <c r="G44" s="226"/>
      <c r="H44" s="226"/>
      <c r="I44" s="226"/>
      <c r="J44" s="226"/>
      <c r="K44" s="226"/>
      <c r="L44" s="226"/>
    </row>
    <row r="45" spans="1:12" s="6" customFormat="1" ht="24" customHeight="1">
      <c r="A45" s="167" t="s">
        <v>240</v>
      </c>
      <c r="B45" s="221"/>
      <c r="C45" s="40">
        <v>0</v>
      </c>
      <c r="D45" s="672">
        <v>2</v>
      </c>
      <c r="E45" s="672">
        <v>0</v>
      </c>
      <c r="F45" s="672">
        <v>0</v>
      </c>
      <c r="G45" s="672"/>
      <c r="H45" s="672"/>
      <c r="I45" s="672"/>
      <c r="J45" s="672"/>
      <c r="K45" s="672"/>
      <c r="L45" s="672"/>
    </row>
    <row r="48" spans="1:12">
      <c r="A48" s="2" t="s">
        <v>1543</v>
      </c>
    </row>
    <row r="67" spans="3:7">
      <c r="E67" s="164"/>
      <c r="F67" s="164"/>
    </row>
    <row r="72" spans="3:7">
      <c r="C72" s="88"/>
      <c r="D72" s="88"/>
      <c r="E72" s="88"/>
      <c r="F72" s="88"/>
      <c r="G72" s="88"/>
    </row>
  </sheetData>
  <mergeCells count="3">
    <mergeCell ref="A1:J1"/>
    <mergeCell ref="A3:J3"/>
    <mergeCell ref="A5:J5"/>
  </mergeCells>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M101"/>
  <sheetViews>
    <sheetView showGridLines="0" zoomScaleNormal="100" workbookViewId="0">
      <selection activeCell="E100" sqref="E100"/>
    </sheetView>
  </sheetViews>
  <sheetFormatPr baseColWidth="10" defaultRowHeight="12.75"/>
  <cols>
    <col min="2" max="2" width="34.7109375" customWidth="1"/>
  </cols>
  <sheetData>
    <row r="1" spans="1:13" ht="22.5" customHeight="1">
      <c r="A1" s="1523"/>
      <c r="B1" s="1523"/>
      <c r="C1" s="1523"/>
      <c r="D1" s="1523"/>
      <c r="E1" s="1523"/>
      <c r="F1" s="1523"/>
      <c r="G1" s="1523"/>
      <c r="H1" s="1523"/>
      <c r="I1" s="1523"/>
      <c r="J1" s="1523"/>
      <c r="K1" s="1523"/>
      <c r="L1" s="1523"/>
    </row>
    <row r="4" spans="1:13" ht="24.75" customHeight="1">
      <c r="A4" s="6"/>
      <c r="B4" s="592"/>
      <c r="C4" s="1542"/>
      <c r="D4" s="1542"/>
      <c r="E4" s="1542"/>
      <c r="F4" s="1542"/>
      <c r="G4" s="1542"/>
      <c r="H4" s="1542"/>
      <c r="I4" s="1542"/>
      <c r="J4" s="1542"/>
      <c r="K4" s="1542"/>
      <c r="L4" s="1542"/>
      <c r="M4" s="1542"/>
    </row>
    <row r="5" spans="1:13">
      <c r="A5" s="6"/>
      <c r="B5" s="6"/>
      <c r="C5" s="6"/>
      <c r="D5" s="6"/>
      <c r="E5" s="6"/>
      <c r="F5" s="6"/>
      <c r="G5" s="6"/>
      <c r="H5" s="6"/>
      <c r="I5" s="6"/>
      <c r="J5" s="6"/>
      <c r="K5" s="6"/>
      <c r="L5" s="6"/>
      <c r="M5" s="6"/>
    </row>
    <row r="6" spans="1:13" ht="26.25" customHeight="1">
      <c r="A6" s="6"/>
      <c r="B6" s="592"/>
      <c r="C6" s="1542"/>
      <c r="D6" s="1542"/>
      <c r="E6" s="1542"/>
      <c r="F6" s="1542"/>
      <c r="G6" s="1542"/>
      <c r="H6" s="1542"/>
      <c r="I6" s="1542"/>
      <c r="J6" s="1542"/>
      <c r="K6" s="1542"/>
      <c r="L6" s="1542"/>
      <c r="M6" s="1542"/>
    </row>
    <row r="7" spans="1:13">
      <c r="A7" s="6"/>
      <c r="B7" s="6"/>
      <c r="C7" s="6"/>
      <c r="D7" s="6"/>
      <c r="E7" s="6"/>
      <c r="F7" s="6"/>
      <c r="G7" s="6"/>
      <c r="H7" s="6"/>
      <c r="I7" s="6"/>
      <c r="J7" s="6"/>
      <c r="K7" s="6"/>
      <c r="L7" s="6"/>
      <c r="M7" s="6"/>
    </row>
    <row r="8" spans="1:13">
      <c r="A8" s="6"/>
      <c r="B8" s="6"/>
      <c r="C8" s="6"/>
      <c r="D8" s="6"/>
      <c r="E8" s="6"/>
      <c r="F8" s="6"/>
      <c r="G8" s="6"/>
      <c r="H8" s="6"/>
      <c r="I8" s="6"/>
      <c r="J8" s="6"/>
      <c r="K8" s="6"/>
      <c r="L8" s="6"/>
      <c r="M8" s="6"/>
    </row>
    <row r="9" spans="1:13" ht="29.25" customHeight="1">
      <c r="A9" s="6"/>
      <c r="B9" s="592"/>
      <c r="C9" s="1542"/>
      <c r="D9" s="1542"/>
      <c r="E9" s="1542"/>
      <c r="F9" s="1542"/>
      <c r="G9" s="1542"/>
      <c r="H9" s="1542"/>
      <c r="I9" s="1542"/>
      <c r="J9" s="1542"/>
      <c r="K9" s="1542"/>
      <c r="L9" s="1542"/>
      <c r="M9" s="1542"/>
    </row>
    <row r="10" spans="1:13" ht="23.25">
      <c r="A10" s="708"/>
      <c r="B10" s="5"/>
      <c r="C10" s="5"/>
      <c r="D10" s="5"/>
      <c r="E10" s="5"/>
      <c r="F10" s="5"/>
      <c r="G10" s="5"/>
      <c r="H10" s="6"/>
      <c r="I10" s="6"/>
      <c r="J10" s="6"/>
      <c r="K10" s="6"/>
      <c r="L10" s="6"/>
      <c r="M10" s="6"/>
    </row>
    <row r="11" spans="1:13" ht="36.75" customHeight="1">
      <c r="A11" s="708"/>
      <c r="B11" s="592"/>
      <c r="C11" s="1542"/>
      <c r="D11" s="1542"/>
      <c r="E11" s="1542"/>
      <c r="F11" s="1542"/>
      <c r="G11" s="1542"/>
      <c r="H11" s="1542"/>
      <c r="I11" s="1542"/>
      <c r="J11" s="1542"/>
      <c r="K11" s="1542"/>
      <c r="L11" s="1542"/>
      <c r="M11" s="1542"/>
    </row>
    <row r="12" spans="1:13" ht="23.25">
      <c r="A12" s="1543"/>
      <c r="B12" s="1543"/>
      <c r="C12" s="1543"/>
      <c r="D12" s="1543"/>
      <c r="E12" s="1543"/>
      <c r="F12" s="1543"/>
      <c r="G12" s="1543"/>
      <c r="H12" s="609"/>
      <c r="I12" s="6"/>
      <c r="J12" s="6"/>
      <c r="K12" s="6"/>
      <c r="L12" s="6"/>
      <c r="M12" s="6"/>
    </row>
    <row r="13" spans="1:13" ht="35.25" customHeight="1">
      <c r="A13" s="709"/>
      <c r="B13" s="592"/>
      <c r="C13" s="1542"/>
      <c r="D13" s="1542"/>
      <c r="E13" s="1542"/>
      <c r="F13" s="1542"/>
      <c r="G13" s="1542"/>
      <c r="H13" s="1542"/>
      <c r="I13" s="1542"/>
      <c r="J13" s="1542"/>
      <c r="K13" s="1542"/>
      <c r="L13" s="1542"/>
      <c r="M13" s="1542"/>
    </row>
    <row r="14" spans="1:13" ht="23.25">
      <c r="A14" s="709"/>
      <c r="B14" s="34"/>
      <c r="C14" s="34"/>
      <c r="D14" s="34"/>
      <c r="E14" s="34"/>
      <c r="F14" s="34"/>
      <c r="G14" s="34"/>
      <c r="H14" s="6"/>
      <c r="I14" s="6"/>
      <c r="J14" s="6"/>
      <c r="K14" s="6"/>
      <c r="L14" s="6"/>
      <c r="M14" s="6"/>
    </row>
    <row r="15" spans="1:13" ht="23.25">
      <c r="A15" s="709"/>
      <c r="B15" s="592"/>
      <c r="C15" s="1542"/>
      <c r="D15" s="1542"/>
      <c r="E15" s="1542"/>
      <c r="F15" s="1542"/>
      <c r="G15" s="1542"/>
      <c r="H15" s="1542"/>
      <c r="I15" s="1542"/>
      <c r="J15" s="1542"/>
      <c r="K15" s="1542"/>
      <c r="L15" s="1542"/>
      <c r="M15" s="1542"/>
    </row>
    <row r="16" spans="1:13" ht="23.25">
      <c r="A16" s="1515"/>
      <c r="B16" s="1515"/>
      <c r="C16" s="1515"/>
      <c r="D16" s="1515"/>
      <c r="E16" s="1515"/>
      <c r="F16" s="1515"/>
      <c r="G16" s="1515"/>
    </row>
    <row r="17" spans="1:13" ht="22.5" customHeight="1">
      <c r="A17" s="239"/>
      <c r="B17" s="592"/>
      <c r="C17" s="1542"/>
      <c r="D17" s="1542"/>
      <c r="E17" s="1542"/>
      <c r="F17" s="1542"/>
      <c r="G17" s="1542"/>
      <c r="H17" s="1542"/>
      <c r="I17" s="1542"/>
      <c r="J17" s="1542"/>
      <c r="K17" s="1542"/>
      <c r="L17" s="1542"/>
      <c r="M17" s="1542"/>
    </row>
    <row r="18" spans="1:13" ht="23.25">
      <c r="A18" s="239"/>
      <c r="B18" s="240"/>
      <c r="C18" s="240"/>
      <c r="D18" s="240"/>
      <c r="E18" s="240"/>
      <c r="F18" s="240"/>
      <c r="G18" s="240"/>
    </row>
    <row r="19" spans="1:13" ht="23.25">
      <c r="A19" s="239"/>
      <c r="B19" s="592"/>
      <c r="C19" s="1542"/>
      <c r="D19" s="1542"/>
      <c r="E19" s="1542"/>
      <c r="F19" s="1542"/>
      <c r="G19" s="1542"/>
      <c r="H19" s="1542"/>
      <c r="I19" s="1542"/>
      <c r="J19" s="1542"/>
      <c r="K19" s="1542"/>
      <c r="L19" s="1542"/>
      <c r="M19" s="1542"/>
    </row>
    <row r="20" spans="1:13" ht="23.25">
      <c r="A20" s="239"/>
      <c r="B20" s="240"/>
      <c r="C20" s="240"/>
      <c r="D20" s="240"/>
      <c r="E20" s="240"/>
      <c r="F20" s="240"/>
      <c r="G20" s="240"/>
    </row>
    <row r="21" spans="1:13" ht="27.75" customHeight="1">
      <c r="B21" s="592"/>
      <c r="C21" s="1542"/>
      <c r="D21" s="1542"/>
      <c r="E21" s="1542"/>
      <c r="F21" s="1542"/>
      <c r="G21" s="1542"/>
      <c r="H21" s="1542"/>
      <c r="I21" s="1542"/>
      <c r="J21" s="1542"/>
      <c r="K21" s="1542"/>
      <c r="L21" s="1542"/>
      <c r="M21" s="1542"/>
    </row>
    <row r="23" spans="1:13" ht="27" customHeight="1">
      <c r="B23" s="592"/>
      <c r="C23" s="1542"/>
      <c r="D23" s="1542"/>
      <c r="E23" s="1542"/>
      <c r="F23" s="1542"/>
      <c r="G23" s="1542"/>
      <c r="H23" s="1542"/>
      <c r="I23" s="1542"/>
      <c r="J23" s="1542"/>
      <c r="K23" s="1542"/>
      <c r="L23" s="1542"/>
      <c r="M23" s="1542"/>
    </row>
    <row r="25" spans="1:13" ht="24" customHeight="1">
      <c r="B25" s="592"/>
      <c r="C25" s="1542"/>
      <c r="D25" s="1542"/>
      <c r="E25" s="1542"/>
      <c r="F25" s="1542"/>
      <c r="G25" s="1542"/>
      <c r="H25" s="1542"/>
      <c r="I25" s="1542"/>
      <c r="J25" s="1542"/>
      <c r="K25" s="1542"/>
      <c r="L25" s="1542"/>
      <c r="M25" s="1542"/>
    </row>
    <row r="27" spans="1:13" ht="26.25" customHeight="1">
      <c r="B27" s="592"/>
      <c r="C27" s="1542"/>
      <c r="D27" s="1542"/>
      <c r="E27" s="1542"/>
      <c r="F27" s="1542"/>
      <c r="G27" s="1542"/>
      <c r="H27" s="1542"/>
      <c r="I27" s="1542"/>
      <c r="J27" s="1542"/>
      <c r="K27" s="1542"/>
      <c r="L27" s="1542"/>
      <c r="M27" s="1542"/>
    </row>
    <row r="29" spans="1:13" ht="28.5" customHeight="1">
      <c r="B29" s="592"/>
      <c r="C29" s="1542"/>
      <c r="D29" s="1542"/>
      <c r="E29" s="1542"/>
      <c r="F29" s="1542"/>
      <c r="G29" s="1542"/>
      <c r="H29" s="1542"/>
      <c r="I29" s="1542"/>
      <c r="J29" s="1542"/>
      <c r="K29" s="1542"/>
      <c r="L29" s="1542"/>
      <c r="M29" s="1542"/>
    </row>
    <row r="31" spans="1:13" ht="27.75" customHeight="1">
      <c r="B31" s="592"/>
      <c r="C31" s="1542"/>
      <c r="D31" s="1542"/>
      <c r="E31" s="1542"/>
      <c r="F31" s="1542"/>
      <c r="G31" s="1542"/>
      <c r="H31" s="1542"/>
      <c r="I31" s="1542"/>
      <c r="J31" s="1542"/>
      <c r="K31" s="1542"/>
      <c r="L31" s="1542"/>
      <c r="M31" s="1542"/>
    </row>
    <row r="33" spans="2:13" ht="24.75" customHeight="1">
      <c r="B33" s="591"/>
      <c r="C33" s="1542"/>
      <c r="D33" s="1542"/>
      <c r="E33" s="1542"/>
      <c r="F33" s="1542"/>
      <c r="G33" s="1542"/>
      <c r="H33" s="1542"/>
      <c r="I33" s="1542"/>
      <c r="J33" s="1542"/>
      <c r="K33" s="1542"/>
      <c r="L33" s="1542"/>
      <c r="M33" s="1542"/>
    </row>
    <row r="98" ht="16.5" customHeight="1"/>
    <row r="99" ht="16.5" customHeight="1"/>
    <row r="100" ht="16.5" customHeight="1"/>
    <row r="101" ht="16.5" customHeight="1"/>
  </sheetData>
  <mergeCells count="18">
    <mergeCell ref="C17:M17"/>
    <mergeCell ref="C19:M19"/>
    <mergeCell ref="A12:G12"/>
    <mergeCell ref="A16:G16"/>
    <mergeCell ref="A1:L1"/>
    <mergeCell ref="C4:M4"/>
    <mergeCell ref="C6:M6"/>
    <mergeCell ref="C9:M9"/>
    <mergeCell ref="C11:M11"/>
    <mergeCell ref="C13:M13"/>
    <mergeCell ref="C15:M15"/>
    <mergeCell ref="C29:M29"/>
    <mergeCell ref="C31:M31"/>
    <mergeCell ref="C33:M33"/>
    <mergeCell ref="C21:M21"/>
    <mergeCell ref="C23:M23"/>
    <mergeCell ref="C25:M25"/>
    <mergeCell ref="C27:M27"/>
  </mergeCells>
  <printOptions gridLinesSet="0"/>
  <pageMargins left="1.1023622047244095" right="0.70866141732283461" top="0.74803149606299213" bottom="0.74803149606299213" header="0.31496062992125984" footer="0.31496062992125984"/>
  <pageSetup paperSize="14" scale="55" orientation="portrait" verticalDpi="300" r:id="rId1"/>
  <headerFooter alignWithMargins="0"/>
  <rowBreaks count="1" manualBreakCount="1">
    <brk id="97" max="10" man="1"/>
  </rowBreaks>
  <colBreaks count="1" manualBreakCount="1">
    <brk id="11"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V39"/>
  <sheetViews>
    <sheetView zoomScaleNormal="100" workbookViewId="0">
      <selection activeCell="D9" sqref="D9"/>
    </sheetView>
  </sheetViews>
  <sheetFormatPr baseColWidth="10" defaultRowHeight="12.75"/>
  <cols>
    <col min="1" max="1" width="14.28515625" customWidth="1"/>
    <col min="2" max="2" width="18.7109375" customWidth="1"/>
    <col min="3" max="3" width="11" customWidth="1"/>
    <col min="4" max="9" width="6.7109375" customWidth="1"/>
    <col min="10" max="10" width="9.85546875" customWidth="1"/>
    <col min="11" max="22" width="6.7109375" customWidth="1"/>
  </cols>
  <sheetData>
    <row r="1" spans="1:22" s="1069" customFormat="1" ht="18" customHeight="1">
      <c r="A1" s="1517" t="s">
        <v>1339</v>
      </c>
      <c r="B1" s="1517"/>
      <c r="C1" s="1517"/>
      <c r="D1" s="1517"/>
      <c r="E1" s="1517"/>
      <c r="F1" s="1517"/>
      <c r="G1" s="1517"/>
      <c r="H1" s="1517"/>
      <c r="I1" s="1517"/>
      <c r="J1" s="1517"/>
      <c r="K1" s="1517"/>
      <c r="L1" s="1517"/>
      <c r="M1" s="1517"/>
      <c r="N1" s="1517"/>
      <c r="O1" s="1517"/>
      <c r="P1" s="1517"/>
      <c r="Q1" s="1517"/>
      <c r="R1" s="1517"/>
      <c r="S1" s="1517"/>
      <c r="T1" s="1068"/>
    </row>
    <row r="2" spans="1:22" s="1069" customFormat="1" ht="18" customHeight="1">
      <c r="A2" s="1517" t="s">
        <v>729</v>
      </c>
      <c r="B2" s="1517"/>
      <c r="C2" s="1517"/>
      <c r="D2" s="1517"/>
      <c r="E2" s="1517"/>
      <c r="F2" s="1517"/>
      <c r="G2" s="1517"/>
      <c r="H2" s="1517"/>
      <c r="I2" s="1517"/>
      <c r="J2" s="1517"/>
      <c r="K2" s="1517"/>
      <c r="L2" s="1517"/>
      <c r="M2" s="1517"/>
      <c r="N2" s="1517"/>
      <c r="O2" s="1517"/>
      <c r="P2" s="1517"/>
      <c r="Q2" s="1517"/>
      <c r="R2" s="1517"/>
      <c r="S2" s="1517"/>
      <c r="T2" s="1068"/>
    </row>
    <row r="3" spans="1:22" s="1069" customFormat="1" ht="20.25" customHeight="1">
      <c r="A3" s="1549" t="s">
        <v>1544</v>
      </c>
      <c r="B3" s="1549"/>
      <c r="C3" s="1549"/>
      <c r="D3" s="1549"/>
      <c r="E3" s="1549"/>
      <c r="F3" s="1549"/>
      <c r="G3" s="1549"/>
      <c r="H3" s="1549"/>
      <c r="I3" s="1549"/>
      <c r="J3" s="1549"/>
      <c r="K3" s="1549"/>
      <c r="L3" s="1549"/>
      <c r="M3" s="1549"/>
      <c r="N3" s="1549"/>
      <c r="O3" s="1549"/>
      <c r="P3" s="1549"/>
      <c r="Q3" s="1549"/>
      <c r="R3" s="1549"/>
      <c r="S3" s="1549"/>
      <c r="T3" s="1102"/>
    </row>
    <row r="5" spans="1:22" ht="19.5" customHeight="1">
      <c r="A5" s="1539" t="s">
        <v>731</v>
      </c>
      <c r="B5" s="1539" t="s">
        <v>732</v>
      </c>
      <c r="C5" s="1103" t="s">
        <v>730</v>
      </c>
      <c r="D5" s="1104" t="s">
        <v>1340</v>
      </c>
      <c r="E5" s="1105"/>
      <c r="F5" s="1105"/>
      <c r="G5" s="1105"/>
      <c r="H5" s="1105"/>
      <c r="I5" s="1106"/>
      <c r="J5" s="1103" t="s">
        <v>730</v>
      </c>
      <c r="K5" s="1550" t="s">
        <v>1341</v>
      </c>
      <c r="L5" s="1552"/>
      <c r="M5" s="1552"/>
      <c r="N5" s="1552"/>
      <c r="O5" s="1552"/>
      <c r="P5" s="1552"/>
      <c r="Q5" s="1552"/>
      <c r="R5" s="1552"/>
      <c r="S5" s="1552"/>
      <c r="T5" s="1552"/>
      <c r="U5" s="1552"/>
      <c r="V5" s="1551"/>
    </row>
    <row r="6" spans="1:22" ht="19.5" customHeight="1">
      <c r="A6" s="1556"/>
      <c r="B6" s="1556"/>
      <c r="C6" s="1108"/>
      <c r="D6" s="1550" t="s">
        <v>734</v>
      </c>
      <c r="E6" s="1552"/>
      <c r="F6" s="1552" t="s">
        <v>735</v>
      </c>
      <c r="G6" s="1552"/>
      <c r="H6" s="1552" t="s">
        <v>736</v>
      </c>
      <c r="I6" s="1554"/>
      <c r="J6" s="1108"/>
      <c r="K6" s="1550" t="s">
        <v>1342</v>
      </c>
      <c r="L6" s="1551"/>
      <c r="M6" s="1550" t="s">
        <v>1343</v>
      </c>
      <c r="N6" s="1551"/>
      <c r="O6" s="1544" t="s">
        <v>1431</v>
      </c>
      <c r="P6" s="1545"/>
      <c r="Q6" s="1545"/>
      <c r="R6" s="1545"/>
      <c r="S6" s="1545"/>
      <c r="T6" s="1545"/>
      <c r="U6" s="1545"/>
      <c r="V6" s="1546"/>
    </row>
    <row r="7" spans="1:22" ht="32.25" customHeight="1">
      <c r="A7" s="1556"/>
      <c r="B7" s="1556"/>
      <c r="C7" s="1108" t="s">
        <v>733</v>
      </c>
      <c r="D7" s="1547"/>
      <c r="E7" s="1553"/>
      <c r="F7" s="1553"/>
      <c r="G7" s="1553"/>
      <c r="H7" s="1553"/>
      <c r="I7" s="1555"/>
      <c r="J7" s="1108" t="s">
        <v>733</v>
      </c>
      <c r="K7" s="1547"/>
      <c r="L7" s="1548"/>
      <c r="M7" s="1547"/>
      <c r="N7" s="1548"/>
      <c r="O7" s="1547" t="s">
        <v>474</v>
      </c>
      <c r="P7" s="1548"/>
      <c r="Q7" s="1112" t="s">
        <v>1434</v>
      </c>
      <c r="R7" s="1112"/>
      <c r="S7" s="1112" t="s">
        <v>1432</v>
      </c>
      <c r="T7" s="1112"/>
      <c r="U7" s="1557" t="s">
        <v>1433</v>
      </c>
      <c r="V7" s="1558"/>
    </row>
    <row r="8" spans="1:22" ht="18" customHeight="1">
      <c r="A8" s="1540"/>
      <c r="B8" s="1540"/>
      <c r="C8" s="1101"/>
      <c r="D8" s="1113" t="s">
        <v>614</v>
      </c>
      <c r="E8" s="1114" t="s">
        <v>468</v>
      </c>
      <c r="F8" s="1115" t="s">
        <v>614</v>
      </c>
      <c r="G8" s="1115" t="s">
        <v>468</v>
      </c>
      <c r="H8" s="1113" t="s">
        <v>614</v>
      </c>
      <c r="I8" s="1116" t="s">
        <v>468</v>
      </c>
      <c r="J8" s="1079"/>
      <c r="K8" s="1113" t="s">
        <v>614</v>
      </c>
      <c r="L8" s="1114" t="s">
        <v>468</v>
      </c>
      <c r="M8" s="1115" t="s">
        <v>614</v>
      </c>
      <c r="N8" s="1115" t="s">
        <v>468</v>
      </c>
      <c r="O8" s="1104" t="s">
        <v>614</v>
      </c>
      <c r="P8" s="1117" t="s">
        <v>468</v>
      </c>
      <c r="Q8" s="1104" t="s">
        <v>614</v>
      </c>
      <c r="R8" s="1117" t="s">
        <v>468</v>
      </c>
      <c r="S8" s="1104" t="s">
        <v>614</v>
      </c>
      <c r="T8" s="1117" t="s">
        <v>468</v>
      </c>
      <c r="U8" s="1104" t="s">
        <v>614</v>
      </c>
      <c r="V8" s="1117" t="s">
        <v>468</v>
      </c>
    </row>
    <row r="9" spans="1:22" ht="18.75" customHeight="1">
      <c r="A9" s="211" t="s">
        <v>573</v>
      </c>
      <c r="B9" s="211" t="s">
        <v>1173</v>
      </c>
      <c r="C9" s="244">
        <v>902</v>
      </c>
      <c r="D9" s="244">
        <v>190</v>
      </c>
      <c r="E9" s="245">
        <v>21.064301552106429</v>
      </c>
      <c r="F9" s="244">
        <v>283</v>
      </c>
      <c r="G9" s="245">
        <v>31.374722838137469</v>
      </c>
      <c r="H9" s="244">
        <v>254</v>
      </c>
      <c r="I9" s="847">
        <v>28.159645232815965</v>
      </c>
      <c r="J9" s="846">
        <v>890</v>
      </c>
      <c r="K9" s="244">
        <v>433</v>
      </c>
      <c r="L9" s="245">
        <v>48.651685393258425</v>
      </c>
      <c r="M9" s="244">
        <v>261</v>
      </c>
      <c r="N9" s="245">
        <v>29.325842696629213</v>
      </c>
      <c r="O9" s="893">
        <v>889</v>
      </c>
      <c r="P9" s="886">
        <v>100.00000000000001</v>
      </c>
      <c r="Q9" s="244">
        <v>529</v>
      </c>
      <c r="R9" s="885">
        <v>59.505061867266598</v>
      </c>
      <c r="S9" s="244">
        <v>165</v>
      </c>
      <c r="T9" s="885">
        <v>18.560179977502813</v>
      </c>
      <c r="U9" s="244">
        <v>195</v>
      </c>
      <c r="V9" s="885">
        <v>21.934758155230597</v>
      </c>
    </row>
    <row r="10" spans="1:22" ht="15.75" customHeight="1">
      <c r="A10" s="211"/>
      <c r="B10" s="211" t="s">
        <v>1177</v>
      </c>
      <c r="C10" s="244">
        <v>764</v>
      </c>
      <c r="D10" s="244">
        <v>200</v>
      </c>
      <c r="E10" s="245">
        <v>26.178010471204189</v>
      </c>
      <c r="F10" s="244">
        <v>307</v>
      </c>
      <c r="G10" s="245">
        <v>40.183246073298427</v>
      </c>
      <c r="H10" s="244">
        <v>206</v>
      </c>
      <c r="I10" s="847">
        <v>26.96335078534031</v>
      </c>
      <c r="J10" s="396">
        <v>417</v>
      </c>
      <c r="K10" s="244">
        <v>208</v>
      </c>
      <c r="L10" s="245">
        <v>49.880095923261393</v>
      </c>
      <c r="M10" s="244">
        <v>147</v>
      </c>
      <c r="N10" s="245">
        <v>35.251798561151077</v>
      </c>
      <c r="O10" s="893">
        <v>398</v>
      </c>
      <c r="P10" s="883">
        <v>100.00000000000001</v>
      </c>
      <c r="Q10" s="244">
        <v>261</v>
      </c>
      <c r="R10" s="885">
        <v>65.577889447236188</v>
      </c>
      <c r="S10" s="244">
        <v>66</v>
      </c>
      <c r="T10" s="885">
        <v>16.582914572864322</v>
      </c>
      <c r="U10" s="244">
        <v>71</v>
      </c>
      <c r="V10" s="885">
        <v>17.839195979899497</v>
      </c>
    </row>
    <row r="11" spans="1:22" ht="15.75" customHeight="1">
      <c r="A11" s="211"/>
      <c r="B11" s="243" t="s">
        <v>739</v>
      </c>
      <c r="C11" s="244">
        <v>115</v>
      </c>
      <c r="D11" s="244">
        <v>28</v>
      </c>
      <c r="E11" s="245">
        <v>24.347826086956523</v>
      </c>
      <c r="F11" s="244">
        <v>34</v>
      </c>
      <c r="G11" s="245">
        <v>29.565217391304348</v>
      </c>
      <c r="H11" s="244">
        <v>42</v>
      </c>
      <c r="I11" s="847">
        <v>36.521739130434781</v>
      </c>
      <c r="J11" s="396">
        <v>99</v>
      </c>
      <c r="K11" s="244">
        <v>48</v>
      </c>
      <c r="L11" s="245">
        <v>48.484848484848484</v>
      </c>
      <c r="M11" s="244">
        <v>32</v>
      </c>
      <c r="N11" s="245">
        <v>32.323232323232325</v>
      </c>
      <c r="O11" s="893">
        <v>99</v>
      </c>
      <c r="P11" s="883">
        <v>100</v>
      </c>
      <c r="Q11" s="244">
        <v>61</v>
      </c>
      <c r="R11" s="885">
        <v>61.616161616161612</v>
      </c>
      <c r="S11" s="244">
        <v>19</v>
      </c>
      <c r="T11" s="885">
        <v>19.19191919191919</v>
      </c>
      <c r="U11" s="244">
        <v>19</v>
      </c>
      <c r="V11" s="885">
        <v>19.19191919191919</v>
      </c>
    </row>
    <row r="12" spans="1:22" ht="15.75" customHeight="1">
      <c r="A12" s="211"/>
      <c r="B12" s="211" t="s">
        <v>675</v>
      </c>
      <c r="C12" s="244">
        <v>1781</v>
      </c>
      <c r="D12" s="244">
        <v>418</v>
      </c>
      <c r="E12" s="245">
        <v>23.469960696238068</v>
      </c>
      <c r="F12" s="244">
        <v>624</v>
      </c>
      <c r="G12" s="245">
        <v>35.036496350364963</v>
      </c>
      <c r="H12" s="244">
        <v>502</v>
      </c>
      <c r="I12" s="847">
        <v>28.186412128017967</v>
      </c>
      <c r="J12" s="396">
        <v>1406</v>
      </c>
      <c r="K12" s="244">
        <v>689</v>
      </c>
      <c r="L12" s="245">
        <v>49.004267425320059</v>
      </c>
      <c r="M12" s="244">
        <v>440</v>
      </c>
      <c r="N12" s="245">
        <v>31.294452347083929</v>
      </c>
      <c r="O12" s="893">
        <v>1386</v>
      </c>
      <c r="P12" s="883">
        <v>100</v>
      </c>
      <c r="Q12" s="244">
        <v>851</v>
      </c>
      <c r="R12" s="885">
        <v>61.3997113997114</v>
      </c>
      <c r="S12" s="244">
        <v>250</v>
      </c>
      <c r="T12" s="885">
        <v>18.037518037518037</v>
      </c>
      <c r="U12" s="244">
        <v>285</v>
      </c>
      <c r="V12" s="885">
        <v>20.562770562770563</v>
      </c>
    </row>
    <row r="13" spans="1:22" ht="16.5" customHeight="1">
      <c r="A13" s="211" t="s">
        <v>574</v>
      </c>
      <c r="B13" s="243" t="s">
        <v>740</v>
      </c>
      <c r="C13" s="244">
        <v>590</v>
      </c>
      <c r="D13" s="244">
        <v>18</v>
      </c>
      <c r="E13" s="245">
        <v>3.050847457627119</v>
      </c>
      <c r="F13" s="244">
        <v>223</v>
      </c>
      <c r="G13" s="245">
        <v>37.796610169491522</v>
      </c>
      <c r="H13" s="244">
        <v>26</v>
      </c>
      <c r="I13" s="847">
        <v>4.406779661016949</v>
      </c>
      <c r="J13" s="396">
        <v>476</v>
      </c>
      <c r="K13" s="244">
        <v>216</v>
      </c>
      <c r="L13" s="245">
        <v>45.378151260504204</v>
      </c>
      <c r="M13" s="244">
        <v>28</v>
      </c>
      <c r="N13" s="245">
        <v>5.8823529411764701</v>
      </c>
      <c r="O13" s="893">
        <v>46</v>
      </c>
      <c r="P13" s="883">
        <v>0</v>
      </c>
      <c r="Q13" s="244">
        <v>23</v>
      </c>
      <c r="R13" s="885">
        <v>0</v>
      </c>
      <c r="S13" s="244">
        <v>11</v>
      </c>
      <c r="T13" s="885">
        <v>0</v>
      </c>
      <c r="U13" s="244">
        <v>12</v>
      </c>
      <c r="V13" s="885">
        <v>0</v>
      </c>
    </row>
    <row r="14" spans="1:22" ht="16.5" customHeight="1">
      <c r="A14" s="211"/>
      <c r="B14" s="211" t="s">
        <v>1044</v>
      </c>
      <c r="C14" s="244">
        <v>91</v>
      </c>
      <c r="D14" s="244">
        <v>5</v>
      </c>
      <c r="E14" s="245">
        <v>5.4945054945054945</v>
      </c>
      <c r="F14" s="244">
        <v>43</v>
      </c>
      <c r="G14" s="245">
        <v>47.252747252747248</v>
      </c>
      <c r="H14" s="244">
        <v>8</v>
      </c>
      <c r="I14" s="847">
        <v>8.791208791208792</v>
      </c>
      <c r="J14" s="396">
        <v>88</v>
      </c>
      <c r="K14" s="244">
        <v>40</v>
      </c>
      <c r="L14" s="245">
        <v>45.454545454545453</v>
      </c>
      <c r="M14" s="244">
        <v>0</v>
      </c>
      <c r="N14" s="245">
        <v>0</v>
      </c>
      <c r="O14" s="893">
        <v>0</v>
      </c>
      <c r="P14" s="883">
        <v>0</v>
      </c>
      <c r="Q14" s="244">
        <v>0</v>
      </c>
      <c r="R14" s="885">
        <v>0</v>
      </c>
      <c r="S14" s="244">
        <v>0</v>
      </c>
      <c r="T14" s="885">
        <v>0</v>
      </c>
      <c r="U14" s="244">
        <v>0</v>
      </c>
      <c r="V14" s="885">
        <v>0</v>
      </c>
    </row>
    <row r="15" spans="1:22" ht="17.25" customHeight="1">
      <c r="A15" s="211" t="s">
        <v>741</v>
      </c>
      <c r="B15" s="243" t="s">
        <v>742</v>
      </c>
      <c r="C15" s="244">
        <v>669</v>
      </c>
      <c r="D15" s="244">
        <v>172</v>
      </c>
      <c r="E15" s="245">
        <v>25.710014947683106</v>
      </c>
      <c r="F15" s="244">
        <v>275</v>
      </c>
      <c r="G15" s="245">
        <v>41.106128550074736</v>
      </c>
      <c r="H15" s="244">
        <v>212</v>
      </c>
      <c r="I15" s="847">
        <v>31.689088191330345</v>
      </c>
      <c r="J15" s="846">
        <v>269</v>
      </c>
      <c r="K15" s="244">
        <v>129</v>
      </c>
      <c r="L15" s="245">
        <v>47.955390334572492</v>
      </c>
      <c r="M15" s="244">
        <v>97</v>
      </c>
      <c r="N15" s="245">
        <v>36.059479553903344</v>
      </c>
      <c r="O15" s="893">
        <v>209</v>
      </c>
      <c r="P15" s="883">
        <v>100</v>
      </c>
      <c r="Q15" s="244">
        <v>138</v>
      </c>
      <c r="R15" s="885">
        <v>66.028708133971293</v>
      </c>
      <c r="S15" s="244">
        <v>33</v>
      </c>
      <c r="T15" s="885">
        <v>15.789473684210526</v>
      </c>
      <c r="U15" s="244">
        <v>38</v>
      </c>
      <c r="V15" s="885">
        <v>18.181818181818183</v>
      </c>
    </row>
    <row r="16" spans="1:22" ht="15.75" customHeight="1">
      <c r="A16" s="211" t="s">
        <v>575</v>
      </c>
      <c r="B16" s="243" t="s">
        <v>743</v>
      </c>
      <c r="C16" s="244">
        <v>533</v>
      </c>
      <c r="D16" s="244">
        <v>131</v>
      </c>
      <c r="E16" s="245">
        <v>24.577861163227016</v>
      </c>
      <c r="F16" s="244">
        <v>205</v>
      </c>
      <c r="G16" s="245">
        <v>38.461538461538467</v>
      </c>
      <c r="H16" s="244">
        <v>166</v>
      </c>
      <c r="I16" s="847">
        <v>31.144465290806757</v>
      </c>
      <c r="J16" s="846">
        <v>286</v>
      </c>
      <c r="K16" s="244">
        <v>144</v>
      </c>
      <c r="L16" s="245">
        <v>50.349650349650354</v>
      </c>
      <c r="M16" s="244">
        <v>94</v>
      </c>
      <c r="N16" s="245">
        <v>32.867132867132867</v>
      </c>
      <c r="O16" s="893">
        <v>259</v>
      </c>
      <c r="P16" s="883">
        <v>100</v>
      </c>
      <c r="Q16" s="244">
        <v>158</v>
      </c>
      <c r="R16" s="885">
        <v>61.003861003861005</v>
      </c>
      <c r="S16" s="244">
        <v>49</v>
      </c>
      <c r="T16" s="885">
        <v>18.918918918918919</v>
      </c>
      <c r="U16" s="244">
        <v>52</v>
      </c>
      <c r="V16" s="885">
        <v>20.077220077220076</v>
      </c>
    </row>
    <row r="17" spans="1:22" ht="18" customHeight="1">
      <c r="A17" s="211" t="s">
        <v>744</v>
      </c>
      <c r="B17" s="211" t="s">
        <v>744</v>
      </c>
      <c r="C17" s="888">
        <v>3664</v>
      </c>
      <c r="D17" s="888">
        <v>744</v>
      </c>
      <c r="E17" s="887">
        <v>20.305676855895197</v>
      </c>
      <c r="F17" s="888">
        <v>1370</v>
      </c>
      <c r="G17" s="887">
        <v>37.390829694323145</v>
      </c>
      <c r="H17" s="888">
        <v>914</v>
      </c>
      <c r="I17" s="889">
        <v>24.945414847161572</v>
      </c>
      <c r="J17" s="890">
        <v>2525</v>
      </c>
      <c r="K17" s="888">
        <v>1218</v>
      </c>
      <c r="L17" s="887">
        <v>48.237623762376238</v>
      </c>
      <c r="M17" s="888">
        <v>659</v>
      </c>
      <c r="N17" s="887">
        <v>26.099009900990101</v>
      </c>
      <c r="O17" s="888">
        <v>1900</v>
      </c>
      <c r="P17" s="891">
        <v>100</v>
      </c>
      <c r="Q17" s="888">
        <v>1170</v>
      </c>
      <c r="R17" s="892">
        <v>61.578947368421055</v>
      </c>
      <c r="S17" s="888">
        <v>343</v>
      </c>
      <c r="T17" s="892">
        <v>18.052631578947366</v>
      </c>
      <c r="U17" s="888">
        <v>387</v>
      </c>
      <c r="V17" s="892">
        <v>20.368421052631579</v>
      </c>
    </row>
    <row r="18" spans="1:22">
      <c r="A18" s="211"/>
      <c r="B18" s="211"/>
      <c r="C18" s="244"/>
      <c r="D18" s="244"/>
      <c r="E18" s="245"/>
      <c r="F18" s="244"/>
      <c r="G18" s="245"/>
      <c r="H18" s="244"/>
      <c r="I18" s="847"/>
      <c r="J18" s="846"/>
      <c r="K18" s="244"/>
      <c r="L18" s="245"/>
      <c r="M18" s="244"/>
      <c r="N18" s="245"/>
      <c r="O18" s="884"/>
      <c r="P18" s="883"/>
      <c r="Q18" s="244"/>
      <c r="R18" s="885"/>
      <c r="S18" s="244"/>
      <c r="T18" s="885"/>
      <c r="U18" s="244"/>
      <c r="V18" s="885"/>
    </row>
    <row r="19" spans="1:22" ht="18" customHeight="1">
      <c r="A19" s="211" t="s">
        <v>576</v>
      </c>
      <c r="B19" s="243" t="s">
        <v>745</v>
      </c>
      <c r="C19" s="244">
        <v>1238</v>
      </c>
      <c r="D19" s="244">
        <v>305</v>
      </c>
      <c r="E19" s="245">
        <v>24.636510500807756</v>
      </c>
      <c r="F19" s="244">
        <v>425</v>
      </c>
      <c r="G19" s="245">
        <v>34.329563812600973</v>
      </c>
      <c r="H19" s="244">
        <v>308</v>
      </c>
      <c r="I19" s="847">
        <v>24.878836833602584</v>
      </c>
      <c r="J19" s="846">
        <v>541</v>
      </c>
      <c r="K19" s="244">
        <v>294</v>
      </c>
      <c r="L19" s="245">
        <v>54.343807763401109</v>
      </c>
      <c r="M19" s="244">
        <v>142</v>
      </c>
      <c r="N19" s="245">
        <v>26.247689463955638</v>
      </c>
      <c r="O19" s="893">
        <v>383</v>
      </c>
      <c r="P19" s="883">
        <v>100</v>
      </c>
      <c r="Q19" s="244">
        <v>219</v>
      </c>
      <c r="R19" s="885">
        <v>57.180156657963444</v>
      </c>
      <c r="S19" s="244">
        <v>84</v>
      </c>
      <c r="T19" s="885">
        <v>21.932114882506529</v>
      </c>
      <c r="U19" s="244">
        <v>80</v>
      </c>
      <c r="V19" s="885">
        <v>20.887728459530024</v>
      </c>
    </row>
    <row r="20" spans="1:22" ht="18" customHeight="1">
      <c r="A20" s="211"/>
      <c r="B20" s="243" t="s">
        <v>746</v>
      </c>
      <c r="C20" s="244">
        <v>1599</v>
      </c>
      <c r="D20" s="244">
        <v>290</v>
      </c>
      <c r="E20" s="245">
        <v>18.13633520950594</v>
      </c>
      <c r="F20" s="244">
        <v>438</v>
      </c>
      <c r="G20" s="245">
        <v>27.392120075046904</v>
      </c>
      <c r="H20" s="244">
        <v>369</v>
      </c>
      <c r="I20" s="847">
        <v>23.076923076923077</v>
      </c>
      <c r="J20" s="846">
        <v>807</v>
      </c>
      <c r="K20" s="244">
        <v>386</v>
      </c>
      <c r="L20" s="245">
        <v>47.831474597273854</v>
      </c>
      <c r="M20" s="244">
        <v>255</v>
      </c>
      <c r="N20" s="245">
        <v>31.59851301115242</v>
      </c>
      <c r="O20" s="893">
        <v>655</v>
      </c>
      <c r="P20" s="883">
        <v>100</v>
      </c>
      <c r="Q20" s="244">
        <v>395</v>
      </c>
      <c r="R20" s="885">
        <v>60.305343511450381</v>
      </c>
      <c r="S20" s="244">
        <v>112</v>
      </c>
      <c r="T20" s="885">
        <v>17.099236641221374</v>
      </c>
      <c r="U20" s="244">
        <v>148</v>
      </c>
      <c r="V20" s="885">
        <v>22.595419847328245</v>
      </c>
    </row>
    <row r="21" spans="1:22" ht="18" customHeight="1">
      <c r="A21" s="211"/>
      <c r="B21" s="243" t="s">
        <v>836</v>
      </c>
      <c r="C21" s="244">
        <v>160</v>
      </c>
      <c r="D21" s="244">
        <v>31</v>
      </c>
      <c r="E21" s="245">
        <v>19.375</v>
      </c>
      <c r="F21" s="244">
        <v>45</v>
      </c>
      <c r="G21" s="245">
        <v>28.125</v>
      </c>
      <c r="H21" s="244">
        <v>49</v>
      </c>
      <c r="I21" s="847">
        <v>30.625000000000004</v>
      </c>
      <c r="J21" s="846">
        <v>83</v>
      </c>
      <c r="K21" s="244">
        <v>31</v>
      </c>
      <c r="L21" s="245">
        <v>37.349397590361441</v>
      </c>
      <c r="M21" s="244">
        <v>18</v>
      </c>
      <c r="N21" s="245">
        <v>21.686746987951807</v>
      </c>
      <c r="O21" s="893">
        <v>66</v>
      </c>
      <c r="P21" s="883">
        <v>100</v>
      </c>
      <c r="Q21" s="244">
        <v>47</v>
      </c>
      <c r="R21" s="885">
        <v>71.212121212121218</v>
      </c>
      <c r="S21" s="244">
        <v>4</v>
      </c>
      <c r="T21" s="885">
        <v>6.0606060606060606</v>
      </c>
      <c r="U21" s="244">
        <v>15</v>
      </c>
      <c r="V21" s="885">
        <v>22.727272727272727</v>
      </c>
    </row>
    <row r="22" spans="1:22" ht="18" customHeight="1">
      <c r="A22" s="211"/>
      <c r="B22" s="243" t="s">
        <v>747</v>
      </c>
      <c r="C22" s="244">
        <v>399</v>
      </c>
      <c r="D22" s="244">
        <v>24</v>
      </c>
      <c r="E22" s="245">
        <v>6.0150375939849621</v>
      </c>
      <c r="F22" s="244">
        <v>67</v>
      </c>
      <c r="G22" s="245">
        <v>16.791979949874687</v>
      </c>
      <c r="H22" s="244">
        <v>81</v>
      </c>
      <c r="I22" s="847">
        <v>20.300751879699249</v>
      </c>
      <c r="J22" s="846">
        <v>230</v>
      </c>
      <c r="K22" s="244">
        <v>70</v>
      </c>
      <c r="L22" s="245">
        <v>30.434782608695656</v>
      </c>
      <c r="M22" s="244">
        <v>22</v>
      </c>
      <c r="N22" s="245">
        <v>9.5652173913043477</v>
      </c>
      <c r="O22" s="893">
        <v>89</v>
      </c>
      <c r="P22" s="883">
        <v>100</v>
      </c>
      <c r="Q22" s="244">
        <v>38</v>
      </c>
      <c r="R22" s="885">
        <v>42.696629213483142</v>
      </c>
      <c r="S22" s="244">
        <v>19</v>
      </c>
      <c r="T22" s="885">
        <v>21.348314606741571</v>
      </c>
      <c r="U22" s="244">
        <v>32</v>
      </c>
      <c r="V22" s="885">
        <v>35.955056179775283</v>
      </c>
    </row>
    <row r="23" spans="1:22" ht="18" customHeight="1">
      <c r="A23" s="211"/>
      <c r="B23" s="211" t="s">
        <v>675</v>
      </c>
      <c r="C23" s="244">
        <v>3396</v>
      </c>
      <c r="D23" s="244">
        <v>650</v>
      </c>
      <c r="E23" s="245">
        <v>19.140164899882215</v>
      </c>
      <c r="F23" s="244">
        <v>975</v>
      </c>
      <c r="G23" s="245">
        <v>28.710247349823319</v>
      </c>
      <c r="H23" s="244">
        <v>807</v>
      </c>
      <c r="I23" s="847">
        <v>23.763250883392224</v>
      </c>
      <c r="J23" s="846">
        <v>1661</v>
      </c>
      <c r="K23" s="244">
        <v>781</v>
      </c>
      <c r="L23" s="245">
        <v>47.019867549668874</v>
      </c>
      <c r="M23" s="244">
        <v>437</v>
      </c>
      <c r="N23" s="245">
        <v>26.30945213726671</v>
      </c>
      <c r="O23" s="884">
        <v>1193</v>
      </c>
      <c r="P23" s="883">
        <v>100</v>
      </c>
      <c r="Q23" s="244">
        <v>699</v>
      </c>
      <c r="R23" s="885">
        <v>58.591785414920373</v>
      </c>
      <c r="S23" s="244">
        <v>219</v>
      </c>
      <c r="T23" s="885">
        <v>18.357082984073763</v>
      </c>
      <c r="U23" s="244">
        <v>275</v>
      </c>
      <c r="V23" s="885">
        <v>23.051131601005867</v>
      </c>
    </row>
    <row r="24" spans="1:22" ht="17.25" customHeight="1">
      <c r="A24" s="211" t="s">
        <v>577</v>
      </c>
      <c r="B24" s="243" t="s">
        <v>748</v>
      </c>
      <c r="C24" s="244">
        <v>625</v>
      </c>
      <c r="D24" s="244">
        <v>165</v>
      </c>
      <c r="E24" s="245">
        <v>26.400000000000002</v>
      </c>
      <c r="F24" s="244"/>
      <c r="G24" s="245">
        <v>0</v>
      </c>
      <c r="H24" s="244">
        <v>203</v>
      </c>
      <c r="I24" s="847">
        <v>32.479999999999997</v>
      </c>
      <c r="J24" s="244">
        <v>462</v>
      </c>
      <c r="K24" s="244">
        <v>232</v>
      </c>
      <c r="L24" s="245">
        <v>50.216450216450212</v>
      </c>
      <c r="M24" s="244">
        <v>164</v>
      </c>
      <c r="N24" s="245">
        <v>35.497835497835503</v>
      </c>
      <c r="O24" s="893">
        <v>369</v>
      </c>
      <c r="P24" s="883">
        <v>100</v>
      </c>
      <c r="Q24" s="244">
        <v>232</v>
      </c>
      <c r="R24" s="885">
        <v>62.87262872628726</v>
      </c>
      <c r="S24" s="244">
        <v>71</v>
      </c>
      <c r="T24" s="885">
        <v>19.241192411924118</v>
      </c>
      <c r="U24" s="244">
        <v>66</v>
      </c>
      <c r="V24" s="885">
        <v>17.886178861788618</v>
      </c>
    </row>
    <row r="25" spans="1:22" ht="17.25" customHeight="1">
      <c r="A25" s="211"/>
      <c r="B25" s="211" t="s">
        <v>1298</v>
      </c>
      <c r="C25" s="244">
        <v>99</v>
      </c>
      <c r="D25" s="244">
        <v>30</v>
      </c>
      <c r="E25" s="245">
        <v>30.303030303030305</v>
      </c>
      <c r="F25" s="244">
        <v>33</v>
      </c>
      <c r="G25" s="245">
        <v>33.333333333333329</v>
      </c>
      <c r="H25" s="244">
        <v>25</v>
      </c>
      <c r="I25" s="900">
        <v>25.252525252525253</v>
      </c>
      <c r="J25" s="846">
        <v>93</v>
      </c>
      <c r="K25" s="244">
        <v>48</v>
      </c>
      <c r="L25" s="245">
        <v>51.612903225806448</v>
      </c>
      <c r="M25" s="244">
        <v>36</v>
      </c>
      <c r="N25" s="245">
        <v>38.70967741935484</v>
      </c>
      <c r="O25" s="893">
        <v>93</v>
      </c>
      <c r="P25" s="883">
        <v>100</v>
      </c>
      <c r="Q25" s="244">
        <v>51</v>
      </c>
      <c r="R25" s="885">
        <v>54.838709677419352</v>
      </c>
      <c r="S25" s="244">
        <v>20</v>
      </c>
      <c r="T25" s="885">
        <v>21.50537634408602</v>
      </c>
      <c r="U25" s="244">
        <v>22</v>
      </c>
      <c r="V25" s="885">
        <v>23.655913978494624</v>
      </c>
    </row>
    <row r="26" spans="1:22" ht="17.25" customHeight="1">
      <c r="A26" s="211" t="s">
        <v>578</v>
      </c>
      <c r="B26" s="211" t="s">
        <v>586</v>
      </c>
      <c r="C26" s="244">
        <v>541</v>
      </c>
      <c r="D26" s="244">
        <v>143</v>
      </c>
      <c r="E26" s="245">
        <v>26.432532347504623</v>
      </c>
      <c r="F26" s="244">
        <v>182</v>
      </c>
      <c r="G26" s="245">
        <v>33.641404805914974</v>
      </c>
      <c r="H26" s="244">
        <v>126</v>
      </c>
      <c r="I26" s="900">
        <v>23.290203327171906</v>
      </c>
      <c r="J26" s="846">
        <v>430</v>
      </c>
      <c r="K26" s="244">
        <v>171</v>
      </c>
      <c r="L26" s="245">
        <v>39.767441860465112</v>
      </c>
      <c r="M26" s="244">
        <v>82</v>
      </c>
      <c r="N26" s="245">
        <v>19.069767441860467</v>
      </c>
      <c r="O26" s="893">
        <v>230</v>
      </c>
      <c r="P26" s="883">
        <v>100</v>
      </c>
      <c r="Q26" s="244">
        <v>138</v>
      </c>
      <c r="R26" s="885">
        <v>60</v>
      </c>
      <c r="S26" s="244">
        <v>44</v>
      </c>
      <c r="T26" s="885">
        <v>19.130434782608695</v>
      </c>
      <c r="U26" s="244">
        <v>48</v>
      </c>
      <c r="V26" s="885">
        <v>20.869565217391305</v>
      </c>
    </row>
    <row r="27" spans="1:22" ht="17.25" customHeight="1">
      <c r="A27" s="211"/>
      <c r="B27" s="243" t="s">
        <v>750</v>
      </c>
      <c r="C27" s="244">
        <v>92</v>
      </c>
      <c r="D27" s="244">
        <v>25</v>
      </c>
      <c r="E27" s="245">
        <v>27.173913043478258</v>
      </c>
      <c r="F27" s="244">
        <v>34</v>
      </c>
      <c r="G27" s="245">
        <v>36.95652173913043</v>
      </c>
      <c r="H27" s="244">
        <v>36</v>
      </c>
      <c r="I27" s="900">
        <v>39.130434782608695</v>
      </c>
      <c r="J27" s="846">
        <v>64</v>
      </c>
      <c r="K27" s="244">
        <v>30</v>
      </c>
      <c r="L27" s="245">
        <v>46.875</v>
      </c>
      <c r="M27" s="244">
        <v>18</v>
      </c>
      <c r="N27" s="245">
        <v>28.125</v>
      </c>
      <c r="O27" s="893">
        <v>59</v>
      </c>
      <c r="P27" s="883">
        <v>100</v>
      </c>
      <c r="Q27" s="244">
        <v>36</v>
      </c>
      <c r="R27" s="885">
        <v>61.016949152542374</v>
      </c>
      <c r="S27" s="244">
        <v>7</v>
      </c>
      <c r="T27" s="885">
        <v>11.864406779661017</v>
      </c>
      <c r="U27" s="244">
        <v>16</v>
      </c>
      <c r="V27" s="885">
        <v>27.118644067796609</v>
      </c>
    </row>
    <row r="28" spans="1:22" ht="17.25" customHeight="1">
      <c r="A28" s="211" t="s">
        <v>579</v>
      </c>
      <c r="B28" s="243" t="s">
        <v>751</v>
      </c>
      <c r="C28" s="244">
        <v>348</v>
      </c>
      <c r="D28" s="244">
        <v>99</v>
      </c>
      <c r="E28" s="245">
        <v>28.448275862068968</v>
      </c>
      <c r="F28" s="244">
        <v>152</v>
      </c>
      <c r="G28" s="245">
        <v>43.678160919540232</v>
      </c>
      <c r="H28" s="244">
        <v>98</v>
      </c>
      <c r="I28" s="900">
        <v>28.160919540229884</v>
      </c>
      <c r="J28" s="846">
        <v>206</v>
      </c>
      <c r="K28" s="244">
        <v>2</v>
      </c>
      <c r="L28" s="245">
        <v>0.97087378640776689</v>
      </c>
      <c r="M28" s="244">
        <v>0</v>
      </c>
      <c r="N28" s="245">
        <v>0</v>
      </c>
      <c r="O28" s="893">
        <v>118</v>
      </c>
      <c r="P28" s="883">
        <v>100</v>
      </c>
      <c r="Q28" s="244">
        <v>76</v>
      </c>
      <c r="R28" s="885">
        <v>64.406779661016941</v>
      </c>
      <c r="S28" s="244">
        <v>21</v>
      </c>
      <c r="T28" s="885">
        <v>17.796610169491526</v>
      </c>
      <c r="U28" s="244">
        <v>21</v>
      </c>
      <c r="V28" s="885">
        <v>17.796610169491526</v>
      </c>
    </row>
    <row r="29" spans="1:22" ht="18" customHeight="1">
      <c r="A29" s="211" t="s">
        <v>580</v>
      </c>
      <c r="B29" s="243" t="s">
        <v>752</v>
      </c>
      <c r="C29" s="244">
        <v>900</v>
      </c>
      <c r="D29" s="244">
        <v>259</v>
      </c>
      <c r="E29" s="245">
        <v>28.777777777777779</v>
      </c>
      <c r="F29" s="244">
        <v>353</v>
      </c>
      <c r="G29" s="245">
        <v>39.222222222222229</v>
      </c>
      <c r="H29" s="244">
        <v>289</v>
      </c>
      <c r="I29" s="900">
        <v>32.111111111111114</v>
      </c>
      <c r="J29" s="846">
        <v>241</v>
      </c>
      <c r="K29" s="244">
        <v>120</v>
      </c>
      <c r="L29" s="245">
        <v>49.792531120331951</v>
      </c>
      <c r="M29" s="244">
        <v>91</v>
      </c>
      <c r="N29" s="245">
        <v>37.759336099585063</v>
      </c>
      <c r="O29" s="893">
        <v>97</v>
      </c>
      <c r="P29" s="883">
        <v>100</v>
      </c>
      <c r="Q29" s="244">
        <v>62</v>
      </c>
      <c r="R29" s="885">
        <v>63.917525773195869</v>
      </c>
      <c r="S29" s="244">
        <v>16</v>
      </c>
      <c r="T29" s="885">
        <v>16.494845360824741</v>
      </c>
      <c r="U29" s="244">
        <v>19</v>
      </c>
      <c r="V29" s="885">
        <v>19.587628865979383</v>
      </c>
    </row>
    <row r="30" spans="1:22" ht="18" customHeight="1">
      <c r="A30" s="211" t="s">
        <v>581</v>
      </c>
      <c r="B30" s="243" t="s">
        <v>753</v>
      </c>
      <c r="C30" s="244">
        <v>494</v>
      </c>
      <c r="D30" s="244">
        <v>161</v>
      </c>
      <c r="E30" s="245">
        <v>32.59109311740891</v>
      </c>
      <c r="F30" s="244">
        <v>217</v>
      </c>
      <c r="G30" s="245">
        <v>43.927125506072869</v>
      </c>
      <c r="H30" s="244">
        <v>157</v>
      </c>
      <c r="I30" s="900">
        <v>31.781376518218625</v>
      </c>
      <c r="J30" s="846">
        <v>397</v>
      </c>
      <c r="K30" s="244">
        <v>208</v>
      </c>
      <c r="L30" s="245">
        <v>52.392947103274558</v>
      </c>
      <c r="M30" s="244">
        <v>147</v>
      </c>
      <c r="N30" s="245">
        <v>37.02770780856423</v>
      </c>
      <c r="O30" s="893">
        <v>385</v>
      </c>
      <c r="P30" s="883">
        <v>100</v>
      </c>
      <c r="Q30" s="244">
        <v>225</v>
      </c>
      <c r="R30" s="885">
        <v>58.441558441558442</v>
      </c>
      <c r="S30" s="244">
        <v>61</v>
      </c>
      <c r="T30" s="885">
        <v>15.844155844155845</v>
      </c>
      <c r="U30" s="244">
        <v>99</v>
      </c>
      <c r="V30" s="885">
        <v>25.714285714285712</v>
      </c>
    </row>
    <row r="31" spans="1:22" ht="18" customHeight="1">
      <c r="A31" s="211"/>
      <c r="B31" s="211" t="s">
        <v>1045</v>
      </c>
      <c r="C31" s="244">
        <v>85</v>
      </c>
      <c r="D31" s="244">
        <v>31</v>
      </c>
      <c r="E31" s="245">
        <v>36.470588235294116</v>
      </c>
      <c r="F31" s="244">
        <v>36</v>
      </c>
      <c r="G31" s="245">
        <v>42.352941176470587</v>
      </c>
      <c r="H31" s="244">
        <v>26</v>
      </c>
      <c r="I31" s="900">
        <v>30.588235294117649</v>
      </c>
      <c r="J31" s="846">
        <v>61</v>
      </c>
      <c r="K31" s="244">
        <v>39</v>
      </c>
      <c r="L31" s="245">
        <v>63.934426229508205</v>
      </c>
      <c r="M31" s="244">
        <v>19</v>
      </c>
      <c r="N31" s="245">
        <v>31.147540983606557</v>
      </c>
      <c r="O31" s="893">
        <v>44</v>
      </c>
      <c r="P31" s="883">
        <v>100</v>
      </c>
      <c r="Q31" s="244">
        <v>19</v>
      </c>
      <c r="R31" s="885">
        <v>43.18181818181818</v>
      </c>
      <c r="S31" s="244">
        <v>11</v>
      </c>
      <c r="T31" s="885">
        <v>25</v>
      </c>
      <c r="U31" s="244">
        <v>14</v>
      </c>
      <c r="V31" s="885">
        <v>31.818181818181817</v>
      </c>
    </row>
    <row r="32" spans="1:22" ht="17.25" customHeight="1">
      <c r="A32" s="211" t="s">
        <v>744</v>
      </c>
      <c r="B32" s="211" t="s">
        <v>744</v>
      </c>
      <c r="C32" s="888">
        <v>6580</v>
      </c>
      <c r="D32" s="888">
        <v>1563</v>
      </c>
      <c r="E32" s="887">
        <v>23.753799392097264</v>
      </c>
      <c r="F32" s="888">
        <v>1982</v>
      </c>
      <c r="G32" s="887">
        <v>30.121580547112465</v>
      </c>
      <c r="H32" s="888">
        <v>1767</v>
      </c>
      <c r="I32" s="901">
        <v>26.854103343465045</v>
      </c>
      <c r="J32" s="890">
        <v>3615</v>
      </c>
      <c r="K32" s="888">
        <v>1631</v>
      </c>
      <c r="L32" s="887">
        <v>45.117565698478565</v>
      </c>
      <c r="M32" s="888">
        <v>994</v>
      </c>
      <c r="N32" s="887">
        <v>27.496542185338868</v>
      </c>
      <c r="O32" s="894">
        <v>2588</v>
      </c>
      <c r="P32" s="891">
        <v>100</v>
      </c>
      <c r="Q32" s="888">
        <v>1538</v>
      </c>
      <c r="R32" s="892">
        <v>59.428129829984542</v>
      </c>
      <c r="S32" s="888">
        <v>470</v>
      </c>
      <c r="T32" s="892">
        <v>18.160741885625967</v>
      </c>
      <c r="U32" s="888">
        <v>580</v>
      </c>
      <c r="V32" s="892">
        <v>22.411128284389488</v>
      </c>
    </row>
    <row r="33" spans="1:22" ht="17.25" customHeight="1">
      <c r="A33" s="214" t="s">
        <v>582</v>
      </c>
      <c r="B33" s="214"/>
      <c r="C33" s="895">
        <v>10244</v>
      </c>
      <c r="D33" s="895">
        <v>2307</v>
      </c>
      <c r="E33" s="896">
        <v>22.520499804763762</v>
      </c>
      <c r="F33" s="895">
        <v>3352</v>
      </c>
      <c r="G33" s="896">
        <v>32.7215931276845</v>
      </c>
      <c r="H33" s="895">
        <v>2681</v>
      </c>
      <c r="I33" s="902">
        <v>26.171417415072241</v>
      </c>
      <c r="J33" s="899">
        <v>6140</v>
      </c>
      <c r="K33" s="895">
        <v>2849</v>
      </c>
      <c r="L33" s="896">
        <v>46.400651465798042</v>
      </c>
      <c r="M33" s="895">
        <v>1653</v>
      </c>
      <c r="N33" s="896">
        <v>26.921824104234528</v>
      </c>
      <c r="O33" s="897">
        <v>4488</v>
      </c>
      <c r="P33" s="898">
        <v>100</v>
      </c>
      <c r="Q33" s="895">
        <v>2708</v>
      </c>
      <c r="R33" s="903">
        <v>60.338680926916219</v>
      </c>
      <c r="S33" s="895">
        <v>813</v>
      </c>
      <c r="T33" s="903">
        <v>18.114973262032088</v>
      </c>
      <c r="U33" s="895">
        <v>967</v>
      </c>
      <c r="V33" s="903">
        <v>21.546345811051694</v>
      </c>
    </row>
    <row r="34" spans="1:22">
      <c r="A34" s="165"/>
      <c r="B34" s="165"/>
      <c r="C34" s="129"/>
      <c r="D34" s="129"/>
      <c r="E34" s="129"/>
      <c r="F34" s="129"/>
      <c r="G34" s="129"/>
      <c r="H34" s="129"/>
      <c r="I34" s="129"/>
      <c r="J34" s="844"/>
      <c r="K34" s="844"/>
      <c r="L34" s="844"/>
      <c r="M34" s="845"/>
      <c r="N34" s="845"/>
      <c r="O34" s="845"/>
      <c r="P34" s="845"/>
      <c r="Q34" s="845"/>
      <c r="R34" s="845"/>
      <c r="S34" s="845"/>
      <c r="T34" s="845"/>
      <c r="U34" s="845"/>
    </row>
    <row r="35" spans="1:22">
      <c r="A35" s="165"/>
      <c r="B35" s="165"/>
      <c r="C35" s="129"/>
      <c r="D35" s="129"/>
      <c r="E35" s="129"/>
      <c r="F35" s="129"/>
      <c r="G35" s="129"/>
      <c r="H35" s="129"/>
      <c r="I35" s="129"/>
      <c r="J35" s="844"/>
      <c r="K35" s="844"/>
      <c r="L35" s="844"/>
      <c r="M35" s="845"/>
      <c r="N35" s="845"/>
      <c r="O35" s="845"/>
      <c r="P35" s="845"/>
      <c r="Q35" s="845"/>
      <c r="R35" s="845"/>
      <c r="S35" s="845"/>
      <c r="T35" s="845"/>
      <c r="U35" s="845"/>
    </row>
    <row r="36" spans="1:22">
      <c r="C36" s="94"/>
      <c r="D36" s="94"/>
      <c r="E36" s="94"/>
      <c r="F36" s="94"/>
      <c r="G36" s="94"/>
      <c r="H36" s="94"/>
      <c r="I36" s="94"/>
      <c r="J36" s="94"/>
      <c r="O36" s="94"/>
      <c r="U36" s="94"/>
    </row>
    <row r="37" spans="1:22">
      <c r="C37" s="94"/>
      <c r="D37" s="94"/>
      <c r="E37" s="94"/>
      <c r="F37" s="94"/>
      <c r="G37" s="94"/>
      <c r="H37" s="94"/>
      <c r="I37" s="94"/>
    </row>
    <row r="38" spans="1:22">
      <c r="C38" s="94"/>
      <c r="D38" s="94"/>
      <c r="E38" s="94"/>
      <c r="F38" s="94"/>
      <c r="G38" s="94"/>
      <c r="H38" s="94"/>
      <c r="I38" s="94"/>
    </row>
    <row r="39" spans="1:22">
      <c r="C39" s="94"/>
      <c r="D39" s="94"/>
      <c r="E39" s="94"/>
      <c r="F39" s="94"/>
      <c r="G39" s="94"/>
      <c r="H39" s="94"/>
      <c r="I39" s="94"/>
    </row>
  </sheetData>
  <mergeCells count="14">
    <mergeCell ref="O6:V6"/>
    <mergeCell ref="O7:P7"/>
    <mergeCell ref="A1:S1"/>
    <mergeCell ref="A2:S2"/>
    <mergeCell ref="A3:S3"/>
    <mergeCell ref="K6:L7"/>
    <mergeCell ref="M6:N7"/>
    <mergeCell ref="D6:E7"/>
    <mergeCell ref="F6:G7"/>
    <mergeCell ref="H6:I7"/>
    <mergeCell ref="A5:A8"/>
    <mergeCell ref="B5:B8"/>
    <mergeCell ref="U7:V7"/>
    <mergeCell ref="K5:V5"/>
  </mergeCells>
  <phoneticPr fontId="18" type="noConversion"/>
  <pageMargins left="0.78740157480314965" right="0.78740157480314965" top="0.78740157480314965" bottom="0.59055118110236227" header="0.51181102362204722" footer="0.51181102362204722"/>
  <pageSetup paperSize="14" scale="85" orientation="landscape" horizontalDpi="300" verticalDpi="300" r:id="rId1"/>
  <headerFooter alignWithMargins="0">
    <oddHeader xml:space="preserve">&amp;R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A46"/>
  <sheetViews>
    <sheetView zoomScaleNormal="100" workbookViewId="0">
      <selection activeCell="H35" sqref="H35"/>
    </sheetView>
  </sheetViews>
  <sheetFormatPr baseColWidth="10" defaultRowHeight="12.75"/>
  <cols>
    <col min="1" max="1" width="13.7109375" customWidth="1"/>
    <col min="2" max="2" width="17.7109375" customWidth="1"/>
    <col min="3" max="4" width="7" customWidth="1"/>
    <col min="5" max="5" width="9.42578125" customWidth="1"/>
    <col min="6" max="26" width="7" customWidth="1"/>
    <col min="27" max="32" width="8.28515625" customWidth="1"/>
  </cols>
  <sheetData>
    <row r="1" spans="1:27">
      <c r="A1" s="1559" t="s">
        <v>1348</v>
      </c>
      <c r="B1" s="1559"/>
      <c r="C1" s="1559"/>
      <c r="D1" s="1559"/>
      <c r="E1" s="1559"/>
      <c r="F1" s="1559"/>
      <c r="G1" s="1559"/>
      <c r="H1" s="1559"/>
      <c r="I1" s="1559"/>
      <c r="J1" s="1559"/>
      <c r="K1" s="1559"/>
      <c r="L1" s="1559"/>
      <c r="M1" s="1559"/>
      <c r="N1" s="1559"/>
      <c r="O1" s="1559"/>
      <c r="P1" s="1559"/>
      <c r="Q1" s="1559"/>
      <c r="R1" s="1559"/>
      <c r="S1" s="1559"/>
      <c r="T1" s="1559"/>
      <c r="U1" s="1559"/>
      <c r="V1" s="1559"/>
      <c r="W1" s="1559"/>
      <c r="X1" s="1559"/>
      <c r="Y1" s="1559"/>
      <c r="Z1" s="1559"/>
    </row>
    <row r="2" spans="1:27">
      <c r="A2" s="1559" t="s">
        <v>754</v>
      </c>
      <c r="B2" s="1559"/>
      <c r="C2" s="1559"/>
      <c r="D2" s="1559"/>
      <c r="E2" s="1559"/>
      <c r="F2" s="1559"/>
      <c r="G2" s="1559"/>
      <c r="H2" s="1559"/>
      <c r="I2" s="1559"/>
      <c r="J2" s="1559"/>
      <c r="K2" s="1559"/>
      <c r="L2" s="1559"/>
      <c r="M2" s="1559"/>
      <c r="N2" s="1559"/>
      <c r="O2" s="1559"/>
      <c r="P2" s="1559"/>
      <c r="Q2" s="1559"/>
      <c r="R2" s="1559"/>
      <c r="S2" s="1559"/>
      <c r="T2" s="1559"/>
      <c r="U2" s="1559"/>
      <c r="V2" s="1559"/>
      <c r="W2" s="1559"/>
      <c r="X2" s="1559"/>
      <c r="Y2" s="1559"/>
      <c r="Z2" s="1559"/>
    </row>
    <row r="3" spans="1:27">
      <c r="A3" s="1559" t="s">
        <v>1545</v>
      </c>
      <c r="B3" s="1559"/>
      <c r="C3" s="1559"/>
      <c r="D3" s="1559"/>
      <c r="E3" s="1559"/>
      <c r="F3" s="1559"/>
      <c r="G3" s="1559"/>
      <c r="H3" s="1559"/>
      <c r="I3" s="1559"/>
      <c r="J3" s="1559"/>
      <c r="K3" s="1559"/>
      <c r="L3" s="1559"/>
      <c r="M3" s="1559"/>
      <c r="N3" s="1559"/>
      <c r="O3" s="1559"/>
      <c r="P3" s="1559"/>
      <c r="Q3" s="1559"/>
      <c r="R3" s="1559"/>
      <c r="S3" s="1559"/>
      <c r="T3" s="1559"/>
      <c r="U3" s="1559"/>
      <c r="V3" s="1559"/>
      <c r="W3" s="1559"/>
      <c r="X3" s="1559"/>
      <c r="Y3" s="1559"/>
      <c r="Z3" s="1559"/>
    </row>
    <row r="8" spans="1:27" ht="25.5" customHeight="1">
      <c r="A8" s="1107"/>
      <c r="B8" s="1094"/>
      <c r="C8" s="1561" t="s">
        <v>1344</v>
      </c>
      <c r="D8" s="1552"/>
      <c r="E8" s="1551"/>
      <c r="F8" s="1552" t="s">
        <v>755</v>
      </c>
      <c r="G8" s="1552"/>
      <c r="H8" s="1552"/>
      <c r="I8" s="1561" t="s">
        <v>1345</v>
      </c>
      <c r="J8" s="1552"/>
      <c r="K8" s="1551"/>
      <c r="L8" s="1552" t="s">
        <v>757</v>
      </c>
      <c r="M8" s="1552"/>
      <c r="N8" s="1552"/>
      <c r="O8" s="1561" t="s">
        <v>1347</v>
      </c>
      <c r="P8" s="1552"/>
      <c r="Q8" s="1551"/>
      <c r="R8" s="1552" t="s">
        <v>758</v>
      </c>
      <c r="S8" s="1552"/>
      <c r="T8" s="1551"/>
      <c r="U8" s="1560" t="s">
        <v>1346</v>
      </c>
      <c r="V8" s="1552"/>
      <c r="W8" s="1552"/>
      <c r="X8" s="1550" t="s">
        <v>594</v>
      </c>
      <c r="Y8" s="1552"/>
      <c r="Z8" s="1551"/>
    </row>
    <row r="9" spans="1:27" ht="9.75" customHeight="1">
      <c r="A9" s="1131" t="s">
        <v>731</v>
      </c>
      <c r="B9" s="1132" t="s">
        <v>759</v>
      </c>
      <c r="C9" s="1133"/>
      <c r="D9" s="1134"/>
      <c r="E9" s="1108"/>
      <c r="F9" s="1134"/>
      <c r="G9" s="1134"/>
      <c r="H9" s="1134"/>
      <c r="I9" s="1133"/>
      <c r="J9" s="1134"/>
      <c r="K9" s="1108"/>
      <c r="L9" s="1134"/>
      <c r="M9" s="1134"/>
      <c r="N9" s="1134"/>
      <c r="O9" s="1133"/>
      <c r="P9" s="1134"/>
      <c r="Q9" s="1108"/>
      <c r="R9" s="1134"/>
      <c r="S9" s="1134"/>
      <c r="T9" s="1108"/>
      <c r="U9" s="1134"/>
      <c r="V9" s="1134"/>
      <c r="W9" s="1134"/>
      <c r="X9" s="1133"/>
      <c r="Y9" s="1134"/>
      <c r="Z9" s="1108"/>
    </row>
    <row r="10" spans="1:27" ht="17.25" customHeight="1">
      <c r="A10" s="1135"/>
      <c r="B10" s="1136"/>
      <c r="C10" s="1110">
        <v>2022</v>
      </c>
      <c r="D10" s="1110">
        <v>2023</v>
      </c>
      <c r="E10" s="1111" t="s">
        <v>468</v>
      </c>
      <c r="F10" s="1110">
        <f>+C10</f>
        <v>2022</v>
      </c>
      <c r="G10" s="1110">
        <f>+D10</f>
        <v>2023</v>
      </c>
      <c r="H10" s="1110" t="s">
        <v>468</v>
      </c>
      <c r="I10" s="1109">
        <f>+F10</f>
        <v>2022</v>
      </c>
      <c r="J10" s="1110">
        <f>+G10</f>
        <v>2023</v>
      </c>
      <c r="K10" s="1111" t="s">
        <v>468</v>
      </c>
      <c r="L10" s="1110">
        <f>+I10</f>
        <v>2022</v>
      </c>
      <c r="M10" s="1110">
        <f>+G10</f>
        <v>2023</v>
      </c>
      <c r="N10" s="1110" t="s">
        <v>468</v>
      </c>
      <c r="O10" s="1109">
        <f>+L10</f>
        <v>2022</v>
      </c>
      <c r="P10" s="1110">
        <f>+J10</f>
        <v>2023</v>
      </c>
      <c r="Q10" s="1111" t="s">
        <v>468</v>
      </c>
      <c r="R10" s="1110">
        <f>+L10</f>
        <v>2022</v>
      </c>
      <c r="S10" s="1110">
        <f>+M10</f>
        <v>2023</v>
      </c>
      <c r="T10" s="1111" t="s">
        <v>468</v>
      </c>
      <c r="U10" s="1110">
        <f>+R10</f>
        <v>2022</v>
      </c>
      <c r="V10" s="1110">
        <f>+S10</f>
        <v>2023</v>
      </c>
      <c r="W10" s="1110" t="s">
        <v>468</v>
      </c>
      <c r="X10" s="1109">
        <f>+U10</f>
        <v>2022</v>
      </c>
      <c r="Y10" s="1110">
        <f>+V10</f>
        <v>2023</v>
      </c>
      <c r="Z10" s="1111" t="s">
        <v>468</v>
      </c>
    </row>
    <row r="11" spans="1:27">
      <c r="A11" s="384"/>
      <c r="B11" s="380"/>
      <c r="C11" s="213"/>
      <c r="D11" s="213"/>
      <c r="E11" s="344"/>
      <c r="F11" s="348"/>
      <c r="G11" s="345"/>
      <c r="H11" s="346"/>
      <c r="I11" s="213"/>
      <c r="J11" s="213"/>
      <c r="K11" s="344"/>
      <c r="L11" s="345"/>
      <c r="M11" s="345"/>
      <c r="N11" s="346"/>
      <c r="O11" s="213"/>
      <c r="P11" s="213"/>
      <c r="Q11" s="344"/>
      <c r="R11" s="213"/>
      <c r="S11" s="213"/>
      <c r="T11" s="344"/>
      <c r="U11" s="213"/>
      <c r="V11" s="213"/>
      <c r="W11" s="346"/>
      <c r="X11" s="213"/>
      <c r="Y11" s="213"/>
      <c r="Z11" s="344"/>
    </row>
    <row r="12" spans="1:27" ht="15.75" customHeight="1">
      <c r="A12" s="384" t="s">
        <v>573</v>
      </c>
      <c r="B12" s="211" t="s">
        <v>1173</v>
      </c>
      <c r="C12" s="1118">
        <v>48</v>
      </c>
      <c r="D12" s="1118">
        <v>70</v>
      </c>
      <c r="E12" s="171">
        <v>45.833333333333329</v>
      </c>
      <c r="F12" s="213">
        <v>4</v>
      </c>
      <c r="G12" s="1118">
        <v>7</v>
      </c>
      <c r="H12" s="171">
        <v>75</v>
      </c>
      <c r="I12" s="352">
        <v>300</v>
      </c>
      <c r="J12" s="1118">
        <v>354</v>
      </c>
      <c r="K12" s="171">
        <v>18</v>
      </c>
      <c r="L12" s="1118">
        <v>209</v>
      </c>
      <c r="M12" s="1118">
        <v>213</v>
      </c>
      <c r="N12" s="171">
        <v>1.9138755980861244</v>
      </c>
      <c r="O12" s="352">
        <v>71</v>
      </c>
      <c r="P12" s="1118">
        <v>64</v>
      </c>
      <c r="Q12" s="171">
        <v>-9.8591549295774641</v>
      </c>
      <c r="R12" s="352">
        <v>903</v>
      </c>
      <c r="S12" s="1118">
        <v>1064</v>
      </c>
      <c r="T12" s="171">
        <v>17.829457364341085</v>
      </c>
      <c r="U12" s="213"/>
      <c r="V12" s="1118">
        <v>0</v>
      </c>
      <c r="W12" s="171"/>
      <c r="X12" s="352">
        <v>1535</v>
      </c>
      <c r="Y12" s="352">
        <v>1772</v>
      </c>
      <c r="Z12" s="171">
        <v>15.439739413680782</v>
      </c>
      <c r="AA12" s="106"/>
    </row>
    <row r="13" spans="1:27" ht="15.75" customHeight="1">
      <c r="A13" s="384"/>
      <c r="B13" s="211" t="s">
        <v>1177</v>
      </c>
      <c r="C13" s="213">
        <v>126</v>
      </c>
      <c r="D13" s="1118">
        <v>70</v>
      </c>
      <c r="E13" s="171">
        <v>-44.444444444444443</v>
      </c>
      <c r="F13" s="213">
        <v>17</v>
      </c>
      <c r="G13" s="1118">
        <v>16</v>
      </c>
      <c r="H13" s="171">
        <v>-5.8823529411764701</v>
      </c>
      <c r="I13" s="352">
        <v>477</v>
      </c>
      <c r="J13" s="1118">
        <v>272</v>
      </c>
      <c r="K13" s="171">
        <v>-42.976939203354299</v>
      </c>
      <c r="L13" s="213">
        <v>269</v>
      </c>
      <c r="M13" s="1118">
        <v>128</v>
      </c>
      <c r="N13" s="171">
        <v>-52.416356877323423</v>
      </c>
      <c r="O13" s="352">
        <v>52</v>
      </c>
      <c r="P13" s="1118">
        <v>29</v>
      </c>
      <c r="Q13" s="171">
        <v>-44.230769230769226</v>
      </c>
      <c r="R13" s="352">
        <v>1221</v>
      </c>
      <c r="S13" s="1118">
        <v>666</v>
      </c>
      <c r="T13" s="171">
        <v>-45.454545454545453</v>
      </c>
      <c r="U13" s="213"/>
      <c r="V13" s="1118">
        <v>0</v>
      </c>
      <c r="W13" s="171"/>
      <c r="X13" s="352">
        <v>2162</v>
      </c>
      <c r="Y13" s="352">
        <v>1181</v>
      </c>
      <c r="Z13" s="171">
        <v>-45.374653098982428</v>
      </c>
      <c r="AA13" s="106"/>
    </row>
    <row r="14" spans="1:27" ht="15.75" customHeight="1">
      <c r="A14" s="384"/>
      <c r="B14" s="211" t="s">
        <v>739</v>
      </c>
      <c r="C14" s="213">
        <v>5</v>
      </c>
      <c r="D14" s="1118">
        <v>9</v>
      </c>
      <c r="E14" s="171">
        <v>80</v>
      </c>
      <c r="F14" s="213">
        <v>0</v>
      </c>
      <c r="G14" s="1118">
        <v>1</v>
      </c>
      <c r="H14" s="171"/>
      <c r="I14" s="352">
        <v>50</v>
      </c>
      <c r="J14" s="1118">
        <v>38</v>
      </c>
      <c r="K14" s="171">
        <v>-24</v>
      </c>
      <c r="L14" s="213">
        <v>34</v>
      </c>
      <c r="M14" s="1118">
        <v>28</v>
      </c>
      <c r="N14" s="171">
        <v>-17.647058823529413</v>
      </c>
      <c r="O14" s="352">
        <v>9</v>
      </c>
      <c r="P14" s="1118">
        <v>8</v>
      </c>
      <c r="Q14" s="171">
        <v>-11.111111111111111</v>
      </c>
      <c r="R14" s="352">
        <v>116</v>
      </c>
      <c r="S14" s="1118">
        <v>130</v>
      </c>
      <c r="T14" s="171">
        <v>12.068965517241379</v>
      </c>
      <c r="U14" s="213"/>
      <c r="V14" s="1118">
        <v>0</v>
      </c>
      <c r="W14" s="344"/>
      <c r="X14" s="352">
        <v>214</v>
      </c>
      <c r="Y14" s="352">
        <v>214</v>
      </c>
      <c r="Z14" s="171">
        <v>0</v>
      </c>
      <c r="AA14" s="106"/>
    </row>
    <row r="15" spans="1:27" ht="15.75" customHeight="1">
      <c r="A15" s="1119"/>
      <c r="B15" s="1120" t="s">
        <v>675</v>
      </c>
      <c r="C15" s="1121">
        <v>179</v>
      </c>
      <c r="D15" s="1121">
        <v>149</v>
      </c>
      <c r="E15" s="1122">
        <v>-16.759776536312849</v>
      </c>
      <c r="F15" s="1121">
        <v>21</v>
      </c>
      <c r="G15" s="1121">
        <v>24</v>
      </c>
      <c r="H15" s="1122">
        <v>14.285714285714285</v>
      </c>
      <c r="I15" s="1121">
        <v>827</v>
      </c>
      <c r="J15" s="1121">
        <v>664</v>
      </c>
      <c r="K15" s="1122">
        <v>-19.709794437726725</v>
      </c>
      <c r="L15" s="1121">
        <v>512</v>
      </c>
      <c r="M15" s="1121">
        <v>369</v>
      </c>
      <c r="N15" s="1122">
        <v>-27.9296875</v>
      </c>
      <c r="O15" s="1121">
        <v>132</v>
      </c>
      <c r="P15" s="1121">
        <v>101</v>
      </c>
      <c r="Q15" s="1122">
        <v>-23.484848484848484</v>
      </c>
      <c r="R15" s="1121">
        <v>2240</v>
      </c>
      <c r="S15" s="1121">
        <v>1860</v>
      </c>
      <c r="T15" s="1122">
        <v>-16.964285714285715</v>
      </c>
      <c r="U15" s="1121">
        <v>0</v>
      </c>
      <c r="V15" s="1121">
        <v>0</v>
      </c>
      <c r="W15" s="1122"/>
      <c r="X15" s="1121">
        <v>3911</v>
      </c>
      <c r="Y15" s="1121">
        <v>3167</v>
      </c>
      <c r="Z15" s="1122">
        <v>-19.023267706468932</v>
      </c>
      <c r="AA15" s="106"/>
    </row>
    <row r="16" spans="1:27" ht="15.75" customHeight="1">
      <c r="A16" s="384" t="s">
        <v>574</v>
      </c>
      <c r="B16" s="211" t="s">
        <v>740</v>
      </c>
      <c r="C16" s="213">
        <v>39</v>
      </c>
      <c r="D16" s="1118">
        <v>34</v>
      </c>
      <c r="E16" s="171">
        <v>-12.820512820512819</v>
      </c>
      <c r="F16" s="213">
        <v>3</v>
      </c>
      <c r="G16" s="1118">
        <v>3</v>
      </c>
      <c r="H16" s="171">
        <v>0</v>
      </c>
      <c r="I16" s="352">
        <v>162</v>
      </c>
      <c r="J16" s="1118">
        <v>228</v>
      </c>
      <c r="K16" s="171">
        <v>40.74074074074074</v>
      </c>
      <c r="L16" s="213">
        <v>125</v>
      </c>
      <c r="M16" s="1118">
        <v>157</v>
      </c>
      <c r="N16" s="171">
        <v>25.6</v>
      </c>
      <c r="O16" s="352">
        <v>18</v>
      </c>
      <c r="P16" s="1118">
        <v>17</v>
      </c>
      <c r="Q16" s="171">
        <v>-5.5555555555555554</v>
      </c>
      <c r="R16" s="352">
        <v>545</v>
      </c>
      <c r="S16" s="1118">
        <v>623</v>
      </c>
      <c r="T16" s="171">
        <v>14.311926605504588</v>
      </c>
      <c r="U16" s="213">
        <v>0</v>
      </c>
      <c r="V16" s="1118">
        <v>0</v>
      </c>
      <c r="W16" s="171"/>
      <c r="X16" s="352">
        <v>892</v>
      </c>
      <c r="Y16" s="352">
        <v>1062</v>
      </c>
      <c r="Z16" s="171">
        <v>19.058295964125559</v>
      </c>
      <c r="AA16" s="106"/>
    </row>
    <row r="17" spans="1:27" ht="15.75" customHeight="1">
      <c r="A17" s="384"/>
      <c r="B17" s="211" t="s">
        <v>1044</v>
      </c>
      <c r="C17" s="213">
        <v>6</v>
      </c>
      <c r="D17" s="1118">
        <v>4</v>
      </c>
      <c r="E17" s="171">
        <v>-33.333333333333329</v>
      </c>
      <c r="F17" s="213">
        <v>1</v>
      </c>
      <c r="G17" s="1118">
        <v>0</v>
      </c>
      <c r="H17" s="171">
        <v>-100</v>
      </c>
      <c r="I17" s="352">
        <v>26</v>
      </c>
      <c r="J17" s="1118">
        <v>43</v>
      </c>
      <c r="K17" s="171">
        <v>65.384615384615387</v>
      </c>
      <c r="L17" s="213">
        <v>19</v>
      </c>
      <c r="M17" s="1118">
        <v>32</v>
      </c>
      <c r="N17" s="171">
        <v>68.421052631578945</v>
      </c>
      <c r="O17" s="352">
        <v>3</v>
      </c>
      <c r="P17" s="1118">
        <v>4</v>
      </c>
      <c r="Q17" s="171">
        <v>33.333333333333329</v>
      </c>
      <c r="R17" s="352">
        <v>76</v>
      </c>
      <c r="S17" s="1118">
        <v>95</v>
      </c>
      <c r="T17" s="171">
        <v>25</v>
      </c>
      <c r="U17" s="213"/>
      <c r="V17" s="1118">
        <v>0</v>
      </c>
      <c r="W17" s="344"/>
      <c r="X17" s="352">
        <v>131</v>
      </c>
      <c r="Y17" s="352">
        <v>178</v>
      </c>
      <c r="Z17" s="171">
        <v>35.877862595419849</v>
      </c>
      <c r="AA17" s="106"/>
    </row>
    <row r="18" spans="1:27" ht="15.75" customHeight="1">
      <c r="A18" s="384" t="s">
        <v>741</v>
      </c>
      <c r="B18" s="211" t="s">
        <v>742</v>
      </c>
      <c r="C18" s="213">
        <v>47</v>
      </c>
      <c r="D18" s="1118">
        <v>79</v>
      </c>
      <c r="E18" s="171">
        <v>68.085106382978722</v>
      </c>
      <c r="F18" s="213">
        <v>10</v>
      </c>
      <c r="G18" s="1118">
        <v>18</v>
      </c>
      <c r="H18" s="171">
        <v>80</v>
      </c>
      <c r="I18" s="352">
        <v>240</v>
      </c>
      <c r="J18" s="1118">
        <v>199</v>
      </c>
      <c r="K18" s="171">
        <v>-17.083333333333332</v>
      </c>
      <c r="L18" s="213">
        <v>88</v>
      </c>
      <c r="M18" s="1118">
        <v>92</v>
      </c>
      <c r="N18" s="171">
        <v>4.5454545454545459</v>
      </c>
      <c r="O18" s="352">
        <v>3</v>
      </c>
      <c r="P18" s="1118">
        <v>18</v>
      </c>
      <c r="Q18" s="171"/>
      <c r="R18" s="352">
        <v>439</v>
      </c>
      <c r="S18" s="1118">
        <v>529</v>
      </c>
      <c r="T18" s="171">
        <v>20.501138952164009</v>
      </c>
      <c r="U18" s="213"/>
      <c r="V18" s="1118">
        <v>0</v>
      </c>
      <c r="W18" s="344"/>
      <c r="X18" s="352">
        <v>827</v>
      </c>
      <c r="Y18" s="352">
        <v>935</v>
      </c>
      <c r="Z18" s="171">
        <v>13.059250302297462</v>
      </c>
      <c r="AA18" s="106"/>
    </row>
    <row r="19" spans="1:27" ht="15.75" customHeight="1">
      <c r="A19" s="384" t="s">
        <v>575</v>
      </c>
      <c r="B19" s="211" t="s">
        <v>743</v>
      </c>
      <c r="C19" s="213">
        <v>44</v>
      </c>
      <c r="D19" s="1118">
        <v>30</v>
      </c>
      <c r="E19" s="171">
        <v>-31.818181818181817</v>
      </c>
      <c r="F19" s="213">
        <v>10</v>
      </c>
      <c r="G19" s="1118">
        <v>6</v>
      </c>
      <c r="H19" s="171">
        <v>-40</v>
      </c>
      <c r="I19" s="352">
        <v>158</v>
      </c>
      <c r="J19" s="1118">
        <v>187</v>
      </c>
      <c r="K19" s="171">
        <v>18.354430379746837</v>
      </c>
      <c r="L19" s="213">
        <v>94</v>
      </c>
      <c r="M19" s="1118">
        <v>96</v>
      </c>
      <c r="N19" s="171">
        <v>2.1276595744680851</v>
      </c>
      <c r="O19" s="352">
        <v>17</v>
      </c>
      <c r="P19" s="1118">
        <v>23</v>
      </c>
      <c r="Q19" s="171">
        <v>35.294117647058826</v>
      </c>
      <c r="R19" s="352">
        <v>408</v>
      </c>
      <c r="S19" s="1118">
        <v>463</v>
      </c>
      <c r="T19" s="171">
        <v>13.480392156862745</v>
      </c>
      <c r="U19" s="213">
        <v>3</v>
      </c>
      <c r="V19" s="1118">
        <v>9</v>
      </c>
      <c r="W19" s="171"/>
      <c r="X19" s="352">
        <v>734</v>
      </c>
      <c r="Y19" s="352">
        <v>814</v>
      </c>
      <c r="Z19" s="171">
        <v>10.899182561307901</v>
      </c>
      <c r="AA19" s="936"/>
    </row>
    <row r="20" spans="1:27" ht="21.75" customHeight="1">
      <c r="A20" s="1119" t="s">
        <v>744</v>
      </c>
      <c r="B20" s="1120" t="s">
        <v>744</v>
      </c>
      <c r="C20" s="1121">
        <v>315</v>
      </c>
      <c r="D20" s="1121">
        <v>296</v>
      </c>
      <c r="E20" s="1122">
        <v>-6.0317460317460316</v>
      </c>
      <c r="F20" s="1121">
        <v>45</v>
      </c>
      <c r="G20" s="1121">
        <v>51</v>
      </c>
      <c r="H20" s="1122">
        <v>13.333333333333334</v>
      </c>
      <c r="I20" s="1123">
        <v>1413</v>
      </c>
      <c r="J20" s="1123">
        <v>1321</v>
      </c>
      <c r="K20" s="1122">
        <v>-6.5109695682944082</v>
      </c>
      <c r="L20" s="1121">
        <v>838</v>
      </c>
      <c r="M20" s="1121">
        <v>746</v>
      </c>
      <c r="N20" s="1122">
        <v>-10.978520286396181</v>
      </c>
      <c r="O20" s="1121">
        <v>173</v>
      </c>
      <c r="P20" s="1121">
        <v>163</v>
      </c>
      <c r="Q20" s="1122">
        <v>-5.7803468208092488</v>
      </c>
      <c r="R20" s="1123">
        <v>3708</v>
      </c>
      <c r="S20" s="1123">
        <v>3570</v>
      </c>
      <c r="T20" s="1122">
        <v>-3.7216828478964405</v>
      </c>
      <c r="U20" s="1121">
        <v>3</v>
      </c>
      <c r="V20" s="1121">
        <v>9</v>
      </c>
      <c r="W20" s="1122">
        <v>200</v>
      </c>
      <c r="X20" s="1123">
        <v>6495</v>
      </c>
      <c r="Y20" s="1123">
        <v>6156</v>
      </c>
      <c r="Z20" s="1122">
        <v>-5.2193995381062352</v>
      </c>
    </row>
    <row r="21" spans="1:27" ht="15.75" customHeight="1">
      <c r="A21" s="384"/>
      <c r="B21" s="380"/>
      <c r="C21" s="213"/>
      <c r="D21" s="213"/>
      <c r="E21" s="171"/>
      <c r="F21" s="213"/>
      <c r="G21" s="213"/>
      <c r="H21" s="171"/>
      <c r="I21" s="352"/>
      <c r="J21" s="352"/>
      <c r="K21" s="171"/>
      <c r="L21" s="213"/>
      <c r="M21" s="213"/>
      <c r="N21" s="171"/>
      <c r="O21" s="352"/>
      <c r="P21" s="352"/>
      <c r="Q21" s="171"/>
      <c r="R21" s="352"/>
      <c r="S21" s="352"/>
      <c r="T21" s="171"/>
      <c r="U21" s="213"/>
      <c r="V21" s="213"/>
      <c r="W21" s="171"/>
      <c r="X21" s="352"/>
      <c r="Y21" s="352"/>
      <c r="Z21" s="171"/>
    </row>
    <row r="22" spans="1:27" ht="15.75" customHeight="1">
      <c r="A22" s="384" t="s">
        <v>576</v>
      </c>
      <c r="B22" s="211" t="s">
        <v>745</v>
      </c>
      <c r="C22" s="213">
        <v>68</v>
      </c>
      <c r="D22" s="1118">
        <v>72</v>
      </c>
      <c r="E22" s="171">
        <v>5.8823529411764701</v>
      </c>
      <c r="F22" s="213">
        <v>14</v>
      </c>
      <c r="G22" s="1118">
        <v>11</v>
      </c>
      <c r="H22" s="171">
        <v>-21.428571428571427</v>
      </c>
      <c r="I22" s="352">
        <v>299</v>
      </c>
      <c r="J22" s="1118">
        <v>423</v>
      </c>
      <c r="K22" s="171">
        <v>41.471571906354512</v>
      </c>
      <c r="L22" s="213">
        <v>180</v>
      </c>
      <c r="M22" s="1118">
        <v>212</v>
      </c>
      <c r="N22" s="171">
        <v>17.777777777777779</v>
      </c>
      <c r="O22" s="352">
        <v>33</v>
      </c>
      <c r="P22" s="1118">
        <v>48</v>
      </c>
      <c r="Q22" s="171">
        <v>45.454545454545453</v>
      </c>
      <c r="R22" s="352">
        <v>778</v>
      </c>
      <c r="S22" s="1118">
        <v>996</v>
      </c>
      <c r="T22" s="171">
        <v>28.020565552699228</v>
      </c>
      <c r="U22" s="213">
        <v>0</v>
      </c>
      <c r="V22" s="1118">
        <v>0</v>
      </c>
      <c r="W22" s="171"/>
      <c r="X22" s="352">
        <v>1372</v>
      </c>
      <c r="Y22" s="352">
        <v>1762</v>
      </c>
      <c r="Z22" s="171">
        <v>28.425655976676385</v>
      </c>
      <c r="AA22" s="106"/>
    </row>
    <row r="23" spans="1:27" ht="15.75" customHeight="1">
      <c r="A23" s="384"/>
      <c r="B23" s="211" t="s">
        <v>746</v>
      </c>
      <c r="C23" s="213">
        <v>102</v>
      </c>
      <c r="D23" s="1118">
        <v>105</v>
      </c>
      <c r="E23" s="171">
        <v>2.9411764705882351</v>
      </c>
      <c r="F23" s="213">
        <v>12</v>
      </c>
      <c r="G23" s="1118">
        <v>15</v>
      </c>
      <c r="H23" s="171">
        <v>25</v>
      </c>
      <c r="I23" s="352">
        <v>378</v>
      </c>
      <c r="J23" s="1118">
        <v>370</v>
      </c>
      <c r="K23" s="171">
        <v>-2.1164021164021163</v>
      </c>
      <c r="L23" s="213">
        <v>228</v>
      </c>
      <c r="M23" s="1118">
        <v>277</v>
      </c>
      <c r="N23" s="171">
        <v>21.491228070175438</v>
      </c>
      <c r="O23" s="352">
        <v>48</v>
      </c>
      <c r="P23" s="1118">
        <v>58</v>
      </c>
      <c r="Q23" s="171">
        <v>20.833333333333336</v>
      </c>
      <c r="R23" s="352">
        <v>1258</v>
      </c>
      <c r="S23" s="1118">
        <v>1559</v>
      </c>
      <c r="T23" s="171">
        <v>23.926868044515103</v>
      </c>
      <c r="U23" s="213"/>
      <c r="V23" s="1118">
        <v>1</v>
      </c>
      <c r="W23" s="171"/>
      <c r="X23" s="352">
        <v>2026</v>
      </c>
      <c r="Y23" s="352">
        <v>2385</v>
      </c>
      <c r="Z23" s="171">
        <v>17.71964461994077</v>
      </c>
      <c r="AA23" s="106"/>
    </row>
    <row r="24" spans="1:27" ht="15.75" customHeight="1">
      <c r="A24" s="384"/>
      <c r="B24" s="211" t="s">
        <v>836</v>
      </c>
      <c r="C24" s="213">
        <v>7</v>
      </c>
      <c r="D24" s="1118">
        <v>16</v>
      </c>
      <c r="E24" s="171">
        <v>128.57142857142858</v>
      </c>
      <c r="F24" s="213">
        <v>1</v>
      </c>
      <c r="G24" s="1118">
        <v>0</v>
      </c>
      <c r="H24" s="171"/>
      <c r="I24" s="352">
        <v>30</v>
      </c>
      <c r="J24" s="1118">
        <v>29</v>
      </c>
      <c r="K24" s="171">
        <v>-3.3333333333333335</v>
      </c>
      <c r="L24" s="213">
        <v>22</v>
      </c>
      <c r="M24" s="1118">
        <v>25</v>
      </c>
      <c r="N24" s="171">
        <v>13.636363636363635</v>
      </c>
      <c r="O24" s="352">
        <v>8</v>
      </c>
      <c r="P24" s="1118">
        <v>5</v>
      </c>
      <c r="Q24" s="171">
        <v>-37.5</v>
      </c>
      <c r="R24" s="352">
        <v>147</v>
      </c>
      <c r="S24" s="1118">
        <v>168</v>
      </c>
      <c r="T24" s="171">
        <v>14.285714285714285</v>
      </c>
      <c r="U24" s="213"/>
      <c r="V24" s="1118">
        <v>0</v>
      </c>
      <c r="W24" s="171"/>
      <c r="X24" s="352">
        <v>215</v>
      </c>
      <c r="Y24" s="352">
        <v>243</v>
      </c>
      <c r="Z24" s="171">
        <v>13.023255813953488</v>
      </c>
      <c r="AA24" s="106"/>
    </row>
    <row r="25" spans="1:27" ht="15.75" customHeight="1">
      <c r="A25" s="384"/>
      <c r="B25" s="211" t="s">
        <v>747</v>
      </c>
      <c r="C25" s="213">
        <v>18</v>
      </c>
      <c r="D25" s="1118">
        <v>18</v>
      </c>
      <c r="E25" s="171">
        <v>0</v>
      </c>
      <c r="F25" s="213">
        <v>1</v>
      </c>
      <c r="G25" s="1118">
        <v>0</v>
      </c>
      <c r="H25" s="171">
        <v>-100</v>
      </c>
      <c r="I25" s="352">
        <v>74</v>
      </c>
      <c r="J25" s="1118">
        <v>49</v>
      </c>
      <c r="K25" s="171">
        <v>-33.783783783783782</v>
      </c>
      <c r="L25" s="213">
        <v>78</v>
      </c>
      <c r="M25" s="1118">
        <v>60</v>
      </c>
      <c r="N25" s="171">
        <v>-23.076923076923077</v>
      </c>
      <c r="O25" s="352">
        <v>13</v>
      </c>
      <c r="P25" s="1118">
        <v>10</v>
      </c>
      <c r="Q25" s="171">
        <v>-23.076923076923077</v>
      </c>
      <c r="R25" s="352">
        <v>229</v>
      </c>
      <c r="S25" s="1118">
        <v>489</v>
      </c>
      <c r="T25" s="171">
        <v>113.53711790393012</v>
      </c>
      <c r="U25" s="213"/>
      <c r="V25" s="1118">
        <v>0</v>
      </c>
      <c r="W25" s="344"/>
      <c r="X25" s="352">
        <v>413</v>
      </c>
      <c r="Y25" s="352">
        <v>626</v>
      </c>
      <c r="Z25" s="171">
        <v>51.573849878934631</v>
      </c>
      <c r="AA25" s="106"/>
    </row>
    <row r="26" spans="1:27" ht="15.75" customHeight="1">
      <c r="A26" s="1119"/>
      <c r="B26" s="1120" t="s">
        <v>675</v>
      </c>
      <c r="C26" s="1121">
        <v>195</v>
      </c>
      <c r="D26" s="1121">
        <v>211</v>
      </c>
      <c r="E26" s="1122">
        <v>8.2051282051282044</v>
      </c>
      <c r="F26" s="1121">
        <v>28</v>
      </c>
      <c r="G26" s="1121">
        <v>26</v>
      </c>
      <c r="H26" s="1122">
        <v>-7.1428571428571423</v>
      </c>
      <c r="I26" s="1123">
        <v>781</v>
      </c>
      <c r="J26" s="1123">
        <v>871</v>
      </c>
      <c r="K26" s="1122">
        <v>11.523687580025609</v>
      </c>
      <c r="L26" s="1121">
        <v>508</v>
      </c>
      <c r="M26" s="1121">
        <v>574</v>
      </c>
      <c r="N26" s="1122">
        <v>12.992125984251967</v>
      </c>
      <c r="O26" s="1121">
        <v>102</v>
      </c>
      <c r="P26" s="1121">
        <v>121</v>
      </c>
      <c r="Q26" s="1122">
        <v>18.627450980392158</v>
      </c>
      <c r="R26" s="1123">
        <v>2412</v>
      </c>
      <c r="S26" s="1123">
        <v>3212</v>
      </c>
      <c r="T26" s="1122">
        <v>33.16749585406302</v>
      </c>
      <c r="U26" s="1121">
        <v>0</v>
      </c>
      <c r="V26" s="1121">
        <v>1</v>
      </c>
      <c r="W26" s="1124"/>
      <c r="X26" s="1123">
        <v>4026</v>
      </c>
      <c r="Y26" s="1123">
        <v>5016</v>
      </c>
      <c r="Z26" s="1122">
        <v>24.590163934426229</v>
      </c>
      <c r="AA26" s="106"/>
    </row>
    <row r="27" spans="1:27" ht="15.75" customHeight="1">
      <c r="A27" s="384" t="s">
        <v>577</v>
      </c>
      <c r="B27" s="211" t="s">
        <v>748</v>
      </c>
      <c r="C27" s="213">
        <v>42</v>
      </c>
      <c r="D27" s="1118">
        <v>39</v>
      </c>
      <c r="E27" s="171">
        <v>-7.1428571428571423</v>
      </c>
      <c r="F27" s="213">
        <v>4</v>
      </c>
      <c r="G27" s="1118">
        <v>5</v>
      </c>
      <c r="H27" s="171">
        <v>25</v>
      </c>
      <c r="I27" s="352">
        <v>183</v>
      </c>
      <c r="J27" s="1118">
        <v>227</v>
      </c>
      <c r="K27" s="171">
        <v>24.043715846994534</v>
      </c>
      <c r="L27" s="213">
        <v>144</v>
      </c>
      <c r="M27" s="1118">
        <v>151</v>
      </c>
      <c r="N27" s="171">
        <v>4.8611111111111116</v>
      </c>
      <c r="O27" s="352">
        <v>31</v>
      </c>
      <c r="P27" s="1118">
        <v>27</v>
      </c>
      <c r="Q27" s="171">
        <v>-12.903225806451612</v>
      </c>
      <c r="R27" s="352">
        <v>581</v>
      </c>
      <c r="S27" s="1118">
        <v>636</v>
      </c>
      <c r="T27" s="171">
        <v>9.4664371772805502</v>
      </c>
      <c r="U27" s="213"/>
      <c r="V27" s="1118">
        <v>0</v>
      </c>
      <c r="W27" s="344"/>
      <c r="X27" s="352">
        <v>985</v>
      </c>
      <c r="Y27" s="352">
        <v>1085</v>
      </c>
      <c r="Z27" s="171">
        <v>10.152284263959391</v>
      </c>
      <c r="AA27" s="106"/>
    </row>
    <row r="28" spans="1:27" ht="15.75" customHeight="1">
      <c r="A28" s="384"/>
      <c r="B28" s="211" t="s">
        <v>1298</v>
      </c>
      <c r="C28" s="213">
        <v>4</v>
      </c>
      <c r="D28" s="1118">
        <v>3</v>
      </c>
      <c r="E28" s="171">
        <v>-25</v>
      </c>
      <c r="F28" s="213">
        <v>0</v>
      </c>
      <c r="G28" s="1118">
        <v>0</v>
      </c>
      <c r="H28" s="171"/>
      <c r="I28" s="352">
        <v>35</v>
      </c>
      <c r="J28" s="1118">
        <v>45</v>
      </c>
      <c r="K28" s="171">
        <v>28.571428571428569</v>
      </c>
      <c r="L28" s="213">
        <v>21</v>
      </c>
      <c r="M28" s="1118">
        <v>23</v>
      </c>
      <c r="N28" s="171">
        <v>9.5238095238095237</v>
      </c>
      <c r="O28" s="352">
        <v>8</v>
      </c>
      <c r="P28" s="1118">
        <v>10</v>
      </c>
      <c r="Q28" s="171">
        <v>25</v>
      </c>
      <c r="R28" s="352">
        <v>63</v>
      </c>
      <c r="S28" s="1118">
        <v>111</v>
      </c>
      <c r="T28" s="171">
        <v>76.19047619047619</v>
      </c>
      <c r="U28" s="213"/>
      <c r="V28" s="1118">
        <v>0</v>
      </c>
      <c r="W28" s="344"/>
      <c r="X28" s="352">
        <v>131</v>
      </c>
      <c r="Y28" s="352">
        <v>192</v>
      </c>
      <c r="Z28" s="171">
        <v>46.564885496183209</v>
      </c>
      <c r="AA28" s="106"/>
    </row>
    <row r="29" spans="1:27" ht="15.75" customHeight="1">
      <c r="A29" s="384" t="s">
        <v>578</v>
      </c>
      <c r="B29" s="211" t="s">
        <v>586</v>
      </c>
      <c r="C29" s="213">
        <v>29</v>
      </c>
      <c r="D29" s="1118">
        <v>34</v>
      </c>
      <c r="E29" s="171">
        <v>17.241379310344829</v>
      </c>
      <c r="F29" s="213">
        <v>3</v>
      </c>
      <c r="G29" s="1118">
        <v>7</v>
      </c>
      <c r="H29" s="171">
        <v>133.33333333333331</v>
      </c>
      <c r="I29" s="352">
        <v>142</v>
      </c>
      <c r="J29" s="1118">
        <v>159</v>
      </c>
      <c r="K29" s="171">
        <v>11.971830985915492</v>
      </c>
      <c r="L29" s="213">
        <v>143</v>
      </c>
      <c r="M29" s="1118">
        <v>119</v>
      </c>
      <c r="N29" s="171">
        <v>-16.783216783216783</v>
      </c>
      <c r="O29" s="352">
        <v>35</v>
      </c>
      <c r="P29" s="1118">
        <v>36</v>
      </c>
      <c r="Q29" s="171">
        <v>2.8571428571428572</v>
      </c>
      <c r="R29" s="352">
        <v>486</v>
      </c>
      <c r="S29" s="1118">
        <v>610</v>
      </c>
      <c r="T29" s="171">
        <v>25.514403292181072</v>
      </c>
      <c r="U29" s="213"/>
      <c r="V29" s="1118">
        <v>0</v>
      </c>
      <c r="W29" s="344"/>
      <c r="X29" s="352">
        <v>838</v>
      </c>
      <c r="Y29" s="352">
        <v>965</v>
      </c>
      <c r="Z29" s="171">
        <v>15.155131264916468</v>
      </c>
      <c r="AA29" s="106"/>
    </row>
    <row r="30" spans="1:27" ht="15.75" customHeight="1">
      <c r="A30" s="384"/>
      <c r="B30" s="211" t="s">
        <v>750</v>
      </c>
      <c r="C30" s="213">
        <v>5</v>
      </c>
      <c r="D30" s="1118">
        <v>5</v>
      </c>
      <c r="E30" s="171">
        <v>0</v>
      </c>
      <c r="F30" s="213">
        <v>1</v>
      </c>
      <c r="G30" s="1118">
        <v>1</v>
      </c>
      <c r="H30" s="171"/>
      <c r="I30" s="352">
        <v>29</v>
      </c>
      <c r="J30" s="1118">
        <v>25</v>
      </c>
      <c r="K30" s="171">
        <v>-13.793103448275861</v>
      </c>
      <c r="L30" s="213">
        <v>27</v>
      </c>
      <c r="M30" s="1118">
        <v>23</v>
      </c>
      <c r="N30" s="171">
        <v>-14.814814814814813</v>
      </c>
      <c r="O30" s="352">
        <v>8</v>
      </c>
      <c r="P30" s="1118">
        <v>11</v>
      </c>
      <c r="Q30" s="171">
        <v>37.5</v>
      </c>
      <c r="R30" s="352">
        <v>67</v>
      </c>
      <c r="S30" s="1118">
        <v>90</v>
      </c>
      <c r="T30" s="171">
        <v>34.328358208955223</v>
      </c>
      <c r="U30" s="213"/>
      <c r="V30" s="1118">
        <v>0</v>
      </c>
      <c r="W30" s="344"/>
      <c r="X30" s="352">
        <v>137</v>
      </c>
      <c r="Y30" s="352">
        <v>155</v>
      </c>
      <c r="Z30" s="171">
        <v>13.138686131386862</v>
      </c>
      <c r="AA30" s="106"/>
    </row>
    <row r="31" spans="1:27" ht="15.75" customHeight="1">
      <c r="A31" s="384" t="s">
        <v>579</v>
      </c>
      <c r="B31" s="211" t="s">
        <v>751</v>
      </c>
      <c r="C31" s="213">
        <v>22</v>
      </c>
      <c r="D31" s="1118">
        <v>12</v>
      </c>
      <c r="E31" s="171">
        <v>-45.454545454545453</v>
      </c>
      <c r="F31" s="213">
        <v>2</v>
      </c>
      <c r="G31" s="1118">
        <v>1</v>
      </c>
      <c r="H31" s="171">
        <v>-50</v>
      </c>
      <c r="I31" s="352">
        <v>128</v>
      </c>
      <c r="J31" s="1118">
        <v>127</v>
      </c>
      <c r="K31" s="171">
        <v>-0.78125</v>
      </c>
      <c r="L31" s="213">
        <v>94</v>
      </c>
      <c r="M31" s="1118">
        <v>104</v>
      </c>
      <c r="N31" s="171">
        <v>10.638297872340425</v>
      </c>
      <c r="O31" s="352"/>
      <c r="P31" s="1118">
        <v>5</v>
      </c>
      <c r="Q31" s="171"/>
      <c r="R31" s="352">
        <v>336</v>
      </c>
      <c r="S31" s="1118">
        <v>298</v>
      </c>
      <c r="T31" s="171">
        <v>-11.30952380952381</v>
      </c>
      <c r="U31" s="213"/>
      <c r="V31" s="1118">
        <v>0</v>
      </c>
      <c r="W31" s="344"/>
      <c r="X31" s="352">
        <v>582</v>
      </c>
      <c r="Y31" s="352">
        <v>547</v>
      </c>
      <c r="Z31" s="171">
        <v>-6.0137457044673539</v>
      </c>
      <c r="AA31" s="106"/>
    </row>
    <row r="32" spans="1:27" ht="15.75" customHeight="1">
      <c r="A32" s="384" t="s">
        <v>580</v>
      </c>
      <c r="B32" s="211" t="s">
        <v>752</v>
      </c>
      <c r="C32" s="213">
        <v>27</v>
      </c>
      <c r="D32" s="1118">
        <v>36</v>
      </c>
      <c r="E32" s="171">
        <v>33.333333333333329</v>
      </c>
      <c r="F32" s="213">
        <v>1</v>
      </c>
      <c r="G32" s="1118">
        <v>4</v>
      </c>
      <c r="H32" s="171">
        <v>300</v>
      </c>
      <c r="I32" s="352">
        <v>260</v>
      </c>
      <c r="J32" s="1118">
        <v>235</v>
      </c>
      <c r="K32" s="171">
        <v>-9.6153846153846168</v>
      </c>
      <c r="L32" s="213">
        <v>147</v>
      </c>
      <c r="M32" s="1118">
        <v>152</v>
      </c>
      <c r="N32" s="171">
        <v>3.4013605442176873</v>
      </c>
      <c r="O32" s="352">
        <v>12</v>
      </c>
      <c r="P32" s="1118">
        <v>19</v>
      </c>
      <c r="Q32" s="171">
        <v>58.333333333333336</v>
      </c>
      <c r="R32" s="352">
        <v>680</v>
      </c>
      <c r="S32" s="1118">
        <v>694</v>
      </c>
      <c r="T32" s="171">
        <v>2.0588235294117645</v>
      </c>
      <c r="U32" s="213"/>
      <c r="V32" s="1118">
        <v>0</v>
      </c>
      <c r="W32" s="344"/>
      <c r="X32" s="352">
        <v>1127</v>
      </c>
      <c r="Y32" s="352">
        <v>1140</v>
      </c>
      <c r="Z32" s="171">
        <v>1.1535048802129548</v>
      </c>
      <c r="AA32" s="106"/>
    </row>
    <row r="33" spans="1:27" ht="15.75" customHeight="1">
      <c r="A33" s="384" t="s">
        <v>581</v>
      </c>
      <c r="B33" s="211" t="s">
        <v>753</v>
      </c>
      <c r="C33" s="213">
        <v>10</v>
      </c>
      <c r="D33" s="1118">
        <v>9</v>
      </c>
      <c r="E33" s="171">
        <v>-10</v>
      </c>
      <c r="F33" s="213">
        <v>4</v>
      </c>
      <c r="G33" s="1118">
        <v>3</v>
      </c>
      <c r="H33" s="171">
        <v>-25</v>
      </c>
      <c r="I33" s="352">
        <v>210</v>
      </c>
      <c r="J33" s="1118">
        <v>198</v>
      </c>
      <c r="K33" s="171">
        <v>-5.7142857142857144</v>
      </c>
      <c r="L33" s="213">
        <v>151</v>
      </c>
      <c r="M33" s="1118">
        <v>127</v>
      </c>
      <c r="N33" s="171">
        <v>-15.894039735099339</v>
      </c>
      <c r="O33" s="352">
        <v>45</v>
      </c>
      <c r="P33" s="1118">
        <v>46</v>
      </c>
      <c r="Q33" s="171">
        <v>2.2222222222222223</v>
      </c>
      <c r="R33" s="352">
        <v>523</v>
      </c>
      <c r="S33" s="1118">
        <v>501</v>
      </c>
      <c r="T33" s="171">
        <v>-4.2065009560229445</v>
      </c>
      <c r="U33" s="213">
        <v>1</v>
      </c>
      <c r="V33" s="1118">
        <v>0</v>
      </c>
      <c r="W33" s="344"/>
      <c r="X33" s="352">
        <v>944</v>
      </c>
      <c r="Y33" s="352">
        <v>884</v>
      </c>
      <c r="Z33" s="171">
        <v>-6.3559322033898304</v>
      </c>
      <c r="AA33" s="106"/>
    </row>
    <row r="34" spans="1:27" ht="15.75" customHeight="1">
      <c r="A34" s="384"/>
      <c r="B34" s="211" t="s">
        <v>1045</v>
      </c>
      <c r="C34" s="213">
        <v>4</v>
      </c>
      <c r="D34" s="1118">
        <v>2</v>
      </c>
      <c r="E34" s="171">
        <v>-50</v>
      </c>
      <c r="F34" s="213">
        <v>0</v>
      </c>
      <c r="G34" s="1118">
        <v>0</v>
      </c>
      <c r="H34" s="171"/>
      <c r="I34" s="352">
        <v>37</v>
      </c>
      <c r="J34" s="1118">
        <v>41</v>
      </c>
      <c r="K34" s="171">
        <v>10.810810810810811</v>
      </c>
      <c r="L34" s="213">
        <v>21</v>
      </c>
      <c r="M34" s="1118">
        <v>24</v>
      </c>
      <c r="N34" s="171">
        <v>14.285714285714285</v>
      </c>
      <c r="O34" s="352">
        <v>5</v>
      </c>
      <c r="P34" s="1118">
        <v>5</v>
      </c>
      <c r="Q34" s="171">
        <v>0</v>
      </c>
      <c r="R34" s="352">
        <v>92</v>
      </c>
      <c r="S34" s="1118">
        <v>73</v>
      </c>
      <c r="T34" s="171">
        <v>-20.652173913043477</v>
      </c>
      <c r="U34" s="213"/>
      <c r="V34" s="1118">
        <v>0</v>
      </c>
      <c r="W34" s="344"/>
      <c r="X34" s="352">
        <v>159</v>
      </c>
      <c r="Y34" s="352">
        <v>145</v>
      </c>
      <c r="Z34" s="171">
        <v>-8.8050314465408803</v>
      </c>
      <c r="AA34" s="106"/>
    </row>
    <row r="35" spans="1:27" ht="15.75" customHeight="1">
      <c r="A35" s="1119" t="s">
        <v>744</v>
      </c>
      <c r="B35" s="1120" t="s">
        <v>744</v>
      </c>
      <c r="C35" s="1121">
        <v>338</v>
      </c>
      <c r="D35" s="1121">
        <v>351</v>
      </c>
      <c r="E35" s="1122">
        <v>3.8461538461538463</v>
      </c>
      <c r="F35" s="1121">
        <v>43</v>
      </c>
      <c r="G35" s="1121">
        <v>47</v>
      </c>
      <c r="H35" s="1122">
        <v>9.3023255813953494</v>
      </c>
      <c r="I35" s="1121">
        <v>1805</v>
      </c>
      <c r="J35" s="1123">
        <v>1928</v>
      </c>
      <c r="K35" s="1122">
        <v>6.8144044321329647</v>
      </c>
      <c r="L35" s="1121">
        <v>1256</v>
      </c>
      <c r="M35" s="1121">
        <v>1297</v>
      </c>
      <c r="N35" s="1122">
        <v>3.2643312101910826</v>
      </c>
      <c r="O35" s="1121">
        <v>246</v>
      </c>
      <c r="P35" s="1121">
        <v>280</v>
      </c>
      <c r="Q35" s="1122">
        <v>13.821138211382115</v>
      </c>
      <c r="R35" s="1121">
        <v>5240</v>
      </c>
      <c r="S35" s="1121">
        <v>6225</v>
      </c>
      <c r="T35" s="1122">
        <v>18.797709923664122</v>
      </c>
      <c r="U35" s="1121">
        <v>1</v>
      </c>
      <c r="V35" s="1121">
        <v>1</v>
      </c>
      <c r="W35" s="1124"/>
      <c r="X35" s="1123">
        <v>8929</v>
      </c>
      <c r="Y35" s="1123">
        <v>10129</v>
      </c>
      <c r="Z35" s="1122">
        <v>13.439354910964274</v>
      </c>
    </row>
    <row r="36" spans="1:27" ht="20.25" customHeight="1">
      <c r="A36" s="1125" t="s">
        <v>582</v>
      </c>
      <c r="B36" s="1126"/>
      <c r="C36" s="1127">
        <v>653</v>
      </c>
      <c r="D36" s="1127">
        <v>647</v>
      </c>
      <c r="E36" s="1128">
        <v>-0.91883614088820831</v>
      </c>
      <c r="F36" s="1129">
        <v>88</v>
      </c>
      <c r="G36" s="1127">
        <v>98</v>
      </c>
      <c r="H36" s="1128">
        <v>11.363636363636363</v>
      </c>
      <c r="I36" s="1130">
        <v>3218</v>
      </c>
      <c r="J36" s="1130">
        <v>3249</v>
      </c>
      <c r="K36" s="1128">
        <v>0.96333126165320071</v>
      </c>
      <c r="L36" s="1129">
        <v>2094</v>
      </c>
      <c r="M36" s="1127">
        <v>2043</v>
      </c>
      <c r="N36" s="1128">
        <v>-2.4355300859598854</v>
      </c>
      <c r="O36" s="1127">
        <v>419</v>
      </c>
      <c r="P36" s="1127">
        <v>443</v>
      </c>
      <c r="Q36" s="1128">
        <v>5.7279236276849641</v>
      </c>
      <c r="R36" s="1130">
        <v>8948</v>
      </c>
      <c r="S36" s="1130">
        <v>9795</v>
      </c>
      <c r="T36" s="1128">
        <v>9.4658024139472516</v>
      </c>
      <c r="U36" s="1127">
        <v>4</v>
      </c>
      <c r="V36" s="1127">
        <v>10</v>
      </c>
      <c r="W36" s="1128">
        <v>150</v>
      </c>
      <c r="X36" s="1130">
        <v>15424</v>
      </c>
      <c r="Y36" s="1130">
        <v>16285</v>
      </c>
      <c r="Z36" s="1128">
        <v>5.5822095435684647</v>
      </c>
    </row>
    <row r="37" spans="1:27">
      <c r="A37" s="384"/>
    </row>
    <row r="38" spans="1:27">
      <c r="C38" s="106"/>
      <c r="E38" s="106"/>
    </row>
    <row r="39" spans="1:27">
      <c r="C39" s="106"/>
    </row>
    <row r="40" spans="1:27">
      <c r="C40" s="106"/>
      <c r="E40" s="88"/>
    </row>
    <row r="41" spans="1:27">
      <c r="C41" s="106"/>
      <c r="E41" s="106"/>
    </row>
    <row r="42" spans="1:27">
      <c r="C42" s="106"/>
    </row>
    <row r="43" spans="1:27">
      <c r="C43" s="106"/>
      <c r="E43" s="88"/>
    </row>
    <row r="44" spans="1:27">
      <c r="C44" s="106"/>
    </row>
    <row r="45" spans="1:27">
      <c r="C45" s="106"/>
    </row>
    <row r="46" spans="1:27">
      <c r="C46" s="106"/>
    </row>
  </sheetData>
  <mergeCells count="11">
    <mergeCell ref="A1:Z1"/>
    <mergeCell ref="A2:Z2"/>
    <mergeCell ref="A3:Z3"/>
    <mergeCell ref="X8:Z8"/>
    <mergeCell ref="U8:W8"/>
    <mergeCell ref="R8:T8"/>
    <mergeCell ref="L8:N8"/>
    <mergeCell ref="I8:K8"/>
    <mergeCell ref="F8:H8"/>
    <mergeCell ref="C8:E8"/>
    <mergeCell ref="O8:Q8"/>
  </mergeCells>
  <phoneticPr fontId="18" type="noConversion"/>
  <pageMargins left="0.78740157480314965" right="0.19685039370078741" top="0.98425196850393704" bottom="0.98425196850393704" header="0" footer="0"/>
  <pageSetup paperSize="14" scale="77" orientation="landscape"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V36"/>
  <sheetViews>
    <sheetView zoomScaleNormal="100" workbookViewId="0">
      <selection activeCell="N22" sqref="N22"/>
    </sheetView>
  </sheetViews>
  <sheetFormatPr baseColWidth="10" defaultRowHeight="12.75"/>
  <cols>
    <col min="1" max="1" width="14.42578125" customWidth="1"/>
    <col min="2" max="2" width="20.7109375" customWidth="1"/>
    <col min="3" max="22" width="7" style="176" customWidth="1"/>
  </cols>
  <sheetData>
    <row r="1" spans="1:22">
      <c r="A1" s="1559" t="s">
        <v>760</v>
      </c>
      <c r="B1" s="1559"/>
      <c r="C1" s="1559"/>
      <c r="D1" s="1559"/>
      <c r="E1" s="1559"/>
      <c r="F1" s="1559"/>
      <c r="G1" s="1559"/>
      <c r="H1" s="1559"/>
      <c r="I1" s="1559"/>
      <c r="J1" s="1559"/>
      <c r="K1" s="1559"/>
      <c r="L1" s="1559"/>
      <c r="M1" s="1559"/>
      <c r="N1" s="1559"/>
      <c r="O1" s="1559"/>
      <c r="P1" s="1559"/>
      <c r="Q1" s="1559"/>
      <c r="R1" s="1559"/>
      <c r="S1" s="1559"/>
      <c r="T1" s="1559"/>
      <c r="U1" s="1559"/>
      <c r="V1" s="1559"/>
    </row>
    <row r="2" spans="1:22">
      <c r="A2" s="260"/>
      <c r="B2" s="260"/>
      <c r="C2" s="218"/>
      <c r="D2" s="218"/>
      <c r="E2" s="218"/>
      <c r="F2" s="218"/>
      <c r="G2" s="218"/>
      <c r="H2" s="218"/>
      <c r="I2" s="218"/>
      <c r="J2" s="218"/>
      <c r="K2" s="218"/>
      <c r="L2" s="218"/>
      <c r="M2" s="218"/>
      <c r="N2" s="218"/>
      <c r="O2" s="218"/>
      <c r="P2" s="218"/>
      <c r="Q2" s="218"/>
      <c r="R2" s="218"/>
      <c r="S2" s="218"/>
      <c r="T2" s="218"/>
      <c r="U2" s="218"/>
      <c r="V2" s="218"/>
    </row>
    <row r="3" spans="1:22">
      <c r="A3" s="1559" t="str">
        <f>+'35'!A3:Z3</f>
        <v>VARIACION     DICIEMBRE    2022    -     2023</v>
      </c>
      <c r="B3" s="1559"/>
      <c r="C3" s="1559"/>
      <c r="D3" s="1559"/>
      <c r="E3" s="1559"/>
      <c r="F3" s="1559"/>
      <c r="G3" s="1559"/>
      <c r="H3" s="1559"/>
      <c r="I3" s="1559"/>
      <c r="J3" s="1559"/>
      <c r="K3" s="1559"/>
      <c r="L3" s="1559"/>
      <c r="M3" s="1559"/>
      <c r="N3" s="1559"/>
      <c r="O3" s="1559"/>
      <c r="P3" s="1559"/>
      <c r="Q3" s="1559"/>
      <c r="R3" s="1559"/>
      <c r="S3" s="1559"/>
      <c r="T3" s="1559"/>
      <c r="U3" s="1559"/>
      <c r="V3" s="1559"/>
    </row>
    <row r="9" spans="1:22" ht="15.75" customHeight="1">
      <c r="A9" s="1137"/>
      <c r="B9" s="1137"/>
      <c r="C9" s="1562" t="s">
        <v>594</v>
      </c>
      <c r="D9" s="1563"/>
      <c r="E9" s="1563"/>
      <c r="F9" s="1564"/>
      <c r="G9" s="1563" t="s">
        <v>761</v>
      </c>
      <c r="H9" s="1563"/>
      <c r="I9" s="1563"/>
      <c r="J9" s="1563"/>
      <c r="K9" s="1562" t="s">
        <v>756</v>
      </c>
      <c r="L9" s="1563"/>
      <c r="M9" s="1563"/>
      <c r="N9" s="1564"/>
      <c r="O9" s="1563" t="s">
        <v>758</v>
      </c>
      <c r="P9" s="1563"/>
      <c r="Q9" s="1563"/>
      <c r="R9" s="1563"/>
      <c r="S9" s="1562" t="s">
        <v>762</v>
      </c>
      <c r="T9" s="1563"/>
      <c r="U9" s="1563"/>
      <c r="V9" s="1564"/>
    </row>
    <row r="10" spans="1:22" ht="15.75" customHeight="1">
      <c r="A10" s="1138" t="s">
        <v>493</v>
      </c>
      <c r="B10" s="1138"/>
      <c r="C10" s="1550">
        <f>+'35'!C10</f>
        <v>2022</v>
      </c>
      <c r="D10" s="1552"/>
      <c r="E10" s="1552">
        <f>+'35'!D10</f>
        <v>2023</v>
      </c>
      <c r="F10" s="1551"/>
      <c r="G10" s="1550">
        <f>+C10</f>
        <v>2022</v>
      </c>
      <c r="H10" s="1552"/>
      <c r="I10" s="1552">
        <f>+E10</f>
        <v>2023</v>
      </c>
      <c r="J10" s="1551"/>
      <c r="K10" s="1550">
        <f>+G10</f>
        <v>2022</v>
      </c>
      <c r="L10" s="1552"/>
      <c r="M10" s="1552">
        <f>+I10</f>
        <v>2023</v>
      </c>
      <c r="N10" s="1551"/>
      <c r="O10" s="1550">
        <f>+K10</f>
        <v>2022</v>
      </c>
      <c r="P10" s="1552"/>
      <c r="Q10" s="1552">
        <f>+M10</f>
        <v>2023</v>
      </c>
      <c r="R10" s="1551"/>
      <c r="S10" s="1550">
        <f>+O10</f>
        <v>2022</v>
      </c>
      <c r="T10" s="1552"/>
      <c r="U10" s="1552">
        <f>+Q10</f>
        <v>2023</v>
      </c>
      <c r="V10" s="1551"/>
    </row>
    <row r="11" spans="1:22" ht="15.75" customHeight="1">
      <c r="A11" s="1139"/>
      <c r="B11" s="1139"/>
      <c r="C11" s="1109" t="s">
        <v>614</v>
      </c>
      <c r="D11" s="1110" t="s">
        <v>468</v>
      </c>
      <c r="E11" s="1110" t="s">
        <v>614</v>
      </c>
      <c r="F11" s="1111" t="s">
        <v>468</v>
      </c>
      <c r="G11" s="1110" t="s">
        <v>614</v>
      </c>
      <c r="H11" s="1110" t="s">
        <v>468</v>
      </c>
      <c r="I11" s="1110" t="s">
        <v>614</v>
      </c>
      <c r="J11" s="1110" t="s">
        <v>468</v>
      </c>
      <c r="K11" s="1109" t="s">
        <v>614</v>
      </c>
      <c r="L11" s="1110" t="s">
        <v>468</v>
      </c>
      <c r="M11" s="1110" t="s">
        <v>614</v>
      </c>
      <c r="N11" s="1111" t="s">
        <v>468</v>
      </c>
      <c r="O11" s="1110" t="s">
        <v>614</v>
      </c>
      <c r="P11" s="1110" t="s">
        <v>468</v>
      </c>
      <c r="Q11" s="1110" t="s">
        <v>614</v>
      </c>
      <c r="R11" s="1110" t="s">
        <v>468</v>
      </c>
      <c r="S11" s="1109" t="s">
        <v>614</v>
      </c>
      <c r="T11" s="1110" t="s">
        <v>468</v>
      </c>
      <c r="U11" s="1110" t="s">
        <v>614</v>
      </c>
      <c r="V11" s="1111" t="s">
        <v>468</v>
      </c>
    </row>
    <row r="12" spans="1:22" ht="15.75" customHeight="1">
      <c r="A12" s="261" t="s">
        <v>573</v>
      </c>
      <c r="B12" s="211" t="s">
        <v>1173</v>
      </c>
      <c r="C12" s="247">
        <v>100</v>
      </c>
      <c r="D12" s="248">
        <v>100</v>
      </c>
      <c r="E12" s="248">
        <v>111</v>
      </c>
      <c r="F12" s="249">
        <v>100.00000000000001</v>
      </c>
      <c r="G12" s="248">
        <v>36</v>
      </c>
      <c r="H12" s="253">
        <v>36</v>
      </c>
      <c r="I12" s="248">
        <v>42</v>
      </c>
      <c r="J12" s="748">
        <v>37.837837837837839</v>
      </c>
      <c r="K12" s="248">
        <v>34</v>
      </c>
      <c r="L12" s="253">
        <v>34</v>
      </c>
      <c r="M12" s="248">
        <v>36</v>
      </c>
      <c r="N12" s="252">
        <v>32.432432432432435</v>
      </c>
      <c r="O12" s="248">
        <v>30</v>
      </c>
      <c r="P12" s="253">
        <v>30</v>
      </c>
      <c r="Q12" s="248">
        <v>32</v>
      </c>
      <c r="R12" s="748">
        <v>28.828828828828829</v>
      </c>
      <c r="S12" s="248">
        <v>0</v>
      </c>
      <c r="T12" s="253">
        <v>0</v>
      </c>
      <c r="U12" s="248">
        <v>1</v>
      </c>
      <c r="V12" s="252">
        <v>0.90090090090090091</v>
      </c>
    </row>
    <row r="13" spans="1:22" ht="15.75" customHeight="1">
      <c r="A13" s="261"/>
      <c r="B13" s="211" t="s">
        <v>1177</v>
      </c>
      <c r="C13" s="247">
        <v>215</v>
      </c>
      <c r="D13" s="248">
        <v>100</v>
      </c>
      <c r="E13" s="248">
        <v>158</v>
      </c>
      <c r="F13" s="263">
        <v>99.999999999999986</v>
      </c>
      <c r="G13" s="248">
        <v>92</v>
      </c>
      <c r="H13" s="253">
        <v>42.790697674418603</v>
      </c>
      <c r="I13" s="248">
        <v>62</v>
      </c>
      <c r="J13" s="252">
        <v>39.24050632911392</v>
      </c>
      <c r="K13" s="248">
        <v>66</v>
      </c>
      <c r="L13" s="253">
        <v>30.697674418604652</v>
      </c>
      <c r="M13" s="248">
        <v>54</v>
      </c>
      <c r="N13" s="252">
        <v>34.177215189873415</v>
      </c>
      <c r="O13" s="248">
        <v>54</v>
      </c>
      <c r="P13" s="253">
        <v>25.116279069767444</v>
      </c>
      <c r="Q13" s="248">
        <v>39</v>
      </c>
      <c r="R13" s="252">
        <v>24.683544303797468</v>
      </c>
      <c r="S13" s="248">
        <v>3</v>
      </c>
      <c r="T13" s="253">
        <v>1.3953488372093024</v>
      </c>
      <c r="U13" s="248">
        <v>3</v>
      </c>
      <c r="V13" s="252">
        <v>1.89873417721519</v>
      </c>
    </row>
    <row r="14" spans="1:22" ht="15.75" customHeight="1">
      <c r="A14" s="261"/>
      <c r="B14" s="243" t="s">
        <v>739</v>
      </c>
      <c r="C14" s="247">
        <v>8</v>
      </c>
      <c r="D14" s="248">
        <v>100</v>
      </c>
      <c r="E14" s="248">
        <v>13</v>
      </c>
      <c r="F14" s="263">
        <v>100</v>
      </c>
      <c r="G14" s="248">
        <v>4</v>
      </c>
      <c r="H14" s="253">
        <v>50</v>
      </c>
      <c r="I14" s="248">
        <v>3</v>
      </c>
      <c r="J14" s="252">
        <v>23.076923076923077</v>
      </c>
      <c r="K14" s="248">
        <v>2</v>
      </c>
      <c r="L14" s="253">
        <v>25</v>
      </c>
      <c r="M14" s="248">
        <v>8</v>
      </c>
      <c r="N14" s="252">
        <v>61.53846153846154</v>
      </c>
      <c r="O14" s="248">
        <v>2</v>
      </c>
      <c r="P14" s="253">
        <v>25</v>
      </c>
      <c r="Q14" s="248">
        <v>2</v>
      </c>
      <c r="R14" s="252">
        <v>15.384615384615385</v>
      </c>
      <c r="S14" s="248"/>
      <c r="T14" s="253">
        <v>0</v>
      </c>
      <c r="U14" s="248">
        <v>0</v>
      </c>
      <c r="V14" s="252">
        <v>0</v>
      </c>
    </row>
    <row r="15" spans="1:22" ht="15.75" customHeight="1">
      <c r="A15" s="261"/>
      <c r="B15" s="246" t="s">
        <v>675</v>
      </c>
      <c r="C15" s="247">
        <v>323</v>
      </c>
      <c r="D15" s="264">
        <v>100</v>
      </c>
      <c r="E15" s="248">
        <v>282</v>
      </c>
      <c r="F15" s="263">
        <v>100</v>
      </c>
      <c r="G15" s="248">
        <v>132</v>
      </c>
      <c r="H15" s="253">
        <v>40.866873065015483</v>
      </c>
      <c r="I15" s="248">
        <v>107</v>
      </c>
      <c r="J15" s="252">
        <v>37.943262411347519</v>
      </c>
      <c r="K15" s="248">
        <v>102</v>
      </c>
      <c r="L15" s="253">
        <v>31.578947368421051</v>
      </c>
      <c r="M15" s="248">
        <v>98</v>
      </c>
      <c r="N15" s="252">
        <v>34.751773049645394</v>
      </c>
      <c r="O15" s="248">
        <v>86</v>
      </c>
      <c r="P15" s="253">
        <v>26.625386996904027</v>
      </c>
      <c r="Q15" s="248">
        <v>73</v>
      </c>
      <c r="R15" s="252">
        <v>25.886524822695034</v>
      </c>
      <c r="S15" s="248">
        <v>3</v>
      </c>
      <c r="T15" s="253">
        <v>0.92879256965944268</v>
      </c>
      <c r="U15" s="248">
        <v>4</v>
      </c>
      <c r="V15" s="252">
        <v>1.4184397163120568</v>
      </c>
    </row>
    <row r="16" spans="1:22" ht="15.75" customHeight="1">
      <c r="A16" s="261" t="s">
        <v>574</v>
      </c>
      <c r="B16" s="211" t="s">
        <v>1297</v>
      </c>
      <c r="C16" s="247">
        <v>56</v>
      </c>
      <c r="D16" s="248">
        <v>100.00000000000001</v>
      </c>
      <c r="E16" s="248">
        <v>62</v>
      </c>
      <c r="F16" s="249">
        <v>100.00000000000001</v>
      </c>
      <c r="G16" s="248">
        <v>23</v>
      </c>
      <c r="H16" s="253">
        <v>41.071428571428569</v>
      </c>
      <c r="I16" s="248">
        <v>36</v>
      </c>
      <c r="J16" s="252">
        <v>58.064516129032263</v>
      </c>
      <c r="K16" s="248">
        <v>19</v>
      </c>
      <c r="L16" s="253">
        <v>33.928571428571431</v>
      </c>
      <c r="M16" s="248">
        <v>18</v>
      </c>
      <c r="N16" s="252">
        <v>29.032258064516132</v>
      </c>
      <c r="O16" s="248">
        <v>13</v>
      </c>
      <c r="P16" s="253">
        <v>23.214285714285715</v>
      </c>
      <c r="Q16" s="248">
        <v>8</v>
      </c>
      <c r="R16" s="252">
        <v>12.903225806451612</v>
      </c>
      <c r="S16" s="248">
        <v>1</v>
      </c>
      <c r="T16" s="253">
        <v>1.7857142857142856</v>
      </c>
      <c r="U16" s="248">
        <v>0</v>
      </c>
      <c r="V16" s="252">
        <v>0</v>
      </c>
    </row>
    <row r="17" spans="1:22" ht="15.75" customHeight="1">
      <c r="A17" s="261"/>
      <c r="B17" s="211" t="s">
        <v>1044</v>
      </c>
      <c r="C17" s="247">
        <v>11</v>
      </c>
      <c r="D17" s="264">
        <v>100</v>
      </c>
      <c r="E17" s="248">
        <v>12</v>
      </c>
      <c r="F17" s="249">
        <v>100</v>
      </c>
      <c r="G17" s="248">
        <v>4</v>
      </c>
      <c r="H17" s="253">
        <v>36.363636363636367</v>
      </c>
      <c r="I17" s="248">
        <v>6</v>
      </c>
      <c r="J17" s="252">
        <v>50</v>
      </c>
      <c r="K17" s="248">
        <v>4</v>
      </c>
      <c r="L17" s="253">
        <v>36.363636363636367</v>
      </c>
      <c r="M17" s="248">
        <v>6</v>
      </c>
      <c r="N17" s="252">
        <v>50</v>
      </c>
      <c r="O17" s="248">
        <v>3</v>
      </c>
      <c r="P17" s="253">
        <v>27.27272727272727</v>
      </c>
      <c r="Q17" s="248">
        <v>0</v>
      </c>
      <c r="R17" s="252">
        <v>0</v>
      </c>
      <c r="S17" s="248">
        <v>0</v>
      </c>
      <c r="T17" s="253">
        <v>0</v>
      </c>
      <c r="U17" s="248">
        <v>0</v>
      </c>
      <c r="V17" s="252">
        <v>0</v>
      </c>
    </row>
    <row r="18" spans="1:22" ht="15.75" customHeight="1">
      <c r="A18" s="261" t="s">
        <v>763</v>
      </c>
      <c r="B18" s="243" t="s">
        <v>742</v>
      </c>
      <c r="C18" s="247">
        <v>81</v>
      </c>
      <c r="D18" s="248">
        <v>99.999999999999986</v>
      </c>
      <c r="E18" s="248">
        <v>71</v>
      </c>
      <c r="F18" s="249">
        <v>100.00000000000001</v>
      </c>
      <c r="G18" s="248">
        <v>38</v>
      </c>
      <c r="H18" s="253">
        <v>46.913580246913575</v>
      </c>
      <c r="I18" s="248">
        <v>26</v>
      </c>
      <c r="J18" s="252">
        <v>36.619718309859159</v>
      </c>
      <c r="K18" s="248">
        <v>24</v>
      </c>
      <c r="L18" s="253">
        <v>29.629629629629626</v>
      </c>
      <c r="M18" s="248">
        <v>32</v>
      </c>
      <c r="N18" s="252">
        <v>45.070422535211272</v>
      </c>
      <c r="O18" s="248">
        <v>19</v>
      </c>
      <c r="P18" s="253">
        <v>23.456790123456788</v>
      </c>
      <c r="Q18" s="248">
        <v>13</v>
      </c>
      <c r="R18" s="252">
        <v>18.30985915492958</v>
      </c>
      <c r="S18" s="248">
        <v>0</v>
      </c>
      <c r="T18" s="253">
        <v>0</v>
      </c>
      <c r="U18" s="248">
        <v>0</v>
      </c>
      <c r="V18" s="252">
        <v>0</v>
      </c>
    </row>
    <row r="19" spans="1:22" ht="15.75" customHeight="1">
      <c r="A19" s="261" t="s">
        <v>575</v>
      </c>
      <c r="B19" s="243" t="s">
        <v>743</v>
      </c>
      <c r="C19" s="247">
        <v>35</v>
      </c>
      <c r="D19" s="248">
        <v>100</v>
      </c>
      <c r="E19" s="248">
        <v>48</v>
      </c>
      <c r="F19" s="249">
        <v>100</v>
      </c>
      <c r="G19" s="248">
        <v>12</v>
      </c>
      <c r="H19" s="253">
        <v>34.285714285714285</v>
      </c>
      <c r="I19" s="248">
        <v>19</v>
      </c>
      <c r="J19" s="252">
        <v>39.583333333333329</v>
      </c>
      <c r="K19" s="248">
        <v>13</v>
      </c>
      <c r="L19" s="253">
        <v>37.142857142857146</v>
      </c>
      <c r="M19" s="248">
        <v>19</v>
      </c>
      <c r="N19" s="252">
        <v>39.583333333333329</v>
      </c>
      <c r="O19" s="248">
        <v>10</v>
      </c>
      <c r="P19" s="253">
        <v>28.571428571428569</v>
      </c>
      <c r="Q19" s="248">
        <v>10</v>
      </c>
      <c r="R19" s="252">
        <v>20.833333333333336</v>
      </c>
      <c r="S19" s="248">
        <v>0</v>
      </c>
      <c r="T19" s="253">
        <v>0</v>
      </c>
      <c r="U19" s="248">
        <v>0</v>
      </c>
      <c r="V19" s="252">
        <v>0</v>
      </c>
    </row>
    <row r="20" spans="1:22" ht="15.75" customHeight="1">
      <c r="A20" s="261" t="s">
        <v>744</v>
      </c>
      <c r="B20" s="246" t="s">
        <v>744</v>
      </c>
      <c r="C20" s="247">
        <v>506</v>
      </c>
      <c r="D20" s="248">
        <v>100</v>
      </c>
      <c r="E20" s="248">
        <v>475</v>
      </c>
      <c r="F20" s="249">
        <v>100</v>
      </c>
      <c r="G20" s="248">
        <v>209</v>
      </c>
      <c r="H20" s="253">
        <v>41.304347826086953</v>
      </c>
      <c r="I20" s="248">
        <v>194</v>
      </c>
      <c r="J20" s="252">
        <v>40.842105263157897</v>
      </c>
      <c r="K20" s="248">
        <v>162</v>
      </c>
      <c r="L20" s="253">
        <v>32.015810276679844</v>
      </c>
      <c r="M20" s="248">
        <v>173</v>
      </c>
      <c r="N20" s="252">
        <v>36.421052631578945</v>
      </c>
      <c r="O20" s="248">
        <v>131</v>
      </c>
      <c r="P20" s="253">
        <v>25.889328063241106</v>
      </c>
      <c r="Q20" s="248">
        <v>104</v>
      </c>
      <c r="R20" s="252">
        <v>21.894736842105264</v>
      </c>
      <c r="S20" s="248">
        <v>4</v>
      </c>
      <c r="T20" s="253">
        <v>0.79051383399209485</v>
      </c>
      <c r="U20" s="248">
        <v>4</v>
      </c>
      <c r="V20" s="252">
        <v>0.84210526315789469</v>
      </c>
    </row>
    <row r="21" spans="1:22" ht="15.75" customHeight="1">
      <c r="A21" s="261"/>
      <c r="B21" s="246"/>
      <c r="C21" s="247"/>
      <c r="D21" s="248"/>
      <c r="E21" s="248"/>
      <c r="F21" s="249"/>
      <c r="G21" s="248"/>
      <c r="H21" s="253"/>
      <c r="I21" s="248"/>
      <c r="J21" s="252"/>
      <c r="K21" s="248"/>
      <c r="L21" s="253"/>
      <c r="M21" s="248"/>
      <c r="N21" s="252"/>
      <c r="O21" s="248"/>
      <c r="P21" s="253"/>
      <c r="Q21" s="248"/>
      <c r="R21" s="252"/>
      <c r="S21" s="248"/>
      <c r="T21" s="253"/>
      <c r="U21" s="248"/>
      <c r="V21" s="252"/>
    </row>
    <row r="22" spans="1:22" ht="15.75" customHeight="1">
      <c r="A22" s="261" t="s">
        <v>764</v>
      </c>
      <c r="B22" s="243" t="s">
        <v>745</v>
      </c>
      <c r="C22" s="247">
        <v>196</v>
      </c>
      <c r="D22" s="248">
        <v>100</v>
      </c>
      <c r="E22" s="248">
        <v>158</v>
      </c>
      <c r="F22" s="249">
        <v>100</v>
      </c>
      <c r="G22" s="248">
        <v>48</v>
      </c>
      <c r="H22" s="253">
        <v>24.489795918367346</v>
      </c>
      <c r="I22" s="248">
        <v>72</v>
      </c>
      <c r="J22" s="252">
        <v>45.569620253164558</v>
      </c>
      <c r="K22" s="248">
        <v>72</v>
      </c>
      <c r="L22" s="253">
        <v>36.734693877551024</v>
      </c>
      <c r="M22" s="248">
        <v>44</v>
      </c>
      <c r="N22" s="252">
        <v>27.848101265822784</v>
      </c>
      <c r="O22" s="248">
        <v>68</v>
      </c>
      <c r="P22" s="253">
        <v>34.693877551020407</v>
      </c>
      <c r="Q22" s="248">
        <v>40</v>
      </c>
      <c r="R22" s="252">
        <v>25.316455696202532</v>
      </c>
      <c r="S22" s="248">
        <v>8</v>
      </c>
      <c r="T22" s="253">
        <v>4.0816326530612246</v>
      </c>
      <c r="U22" s="248">
        <v>2</v>
      </c>
      <c r="V22" s="252">
        <v>1.2658227848101267</v>
      </c>
    </row>
    <row r="23" spans="1:22" ht="15.75" customHeight="1">
      <c r="A23" s="261"/>
      <c r="B23" s="243" t="s">
        <v>746</v>
      </c>
      <c r="C23" s="247">
        <v>187</v>
      </c>
      <c r="D23" s="248">
        <v>100</v>
      </c>
      <c r="E23" s="248">
        <v>155</v>
      </c>
      <c r="F23" s="249">
        <v>99.999999999999986</v>
      </c>
      <c r="G23" s="248">
        <v>65</v>
      </c>
      <c r="H23" s="253">
        <v>34.759358288770052</v>
      </c>
      <c r="I23" s="248">
        <v>67</v>
      </c>
      <c r="J23" s="252">
        <v>43.225806451612904</v>
      </c>
      <c r="K23" s="248">
        <v>62</v>
      </c>
      <c r="L23" s="253">
        <v>33.155080213903744</v>
      </c>
      <c r="M23" s="248">
        <v>48</v>
      </c>
      <c r="N23" s="252">
        <v>30.967741935483872</v>
      </c>
      <c r="O23" s="248">
        <v>57</v>
      </c>
      <c r="P23" s="253">
        <v>30.481283422459892</v>
      </c>
      <c r="Q23" s="248">
        <v>35</v>
      </c>
      <c r="R23" s="252">
        <v>22.58064516129032</v>
      </c>
      <c r="S23" s="248">
        <v>3</v>
      </c>
      <c r="T23" s="253">
        <v>1.6042780748663104</v>
      </c>
      <c r="U23" s="248">
        <v>5</v>
      </c>
      <c r="V23" s="252">
        <v>3.225806451612903</v>
      </c>
    </row>
    <row r="24" spans="1:22" ht="15.75" customHeight="1">
      <c r="A24" s="261"/>
      <c r="B24" s="243" t="s">
        <v>836</v>
      </c>
      <c r="C24" s="247">
        <v>14</v>
      </c>
      <c r="D24" s="248">
        <v>100</v>
      </c>
      <c r="E24" s="248">
        <v>42</v>
      </c>
      <c r="F24" s="249">
        <v>99.999999999999986</v>
      </c>
      <c r="G24" s="248">
        <v>7</v>
      </c>
      <c r="H24" s="253">
        <v>50</v>
      </c>
      <c r="I24" s="248">
        <v>24</v>
      </c>
      <c r="J24" s="252">
        <v>57.142857142857139</v>
      </c>
      <c r="K24" s="248">
        <v>1</v>
      </c>
      <c r="L24" s="253">
        <v>7.1428571428571423</v>
      </c>
      <c r="M24" s="248">
        <v>13</v>
      </c>
      <c r="N24" s="252">
        <v>30.952380952380953</v>
      </c>
      <c r="O24" s="248">
        <v>6</v>
      </c>
      <c r="P24" s="253">
        <v>42.857142857142854</v>
      </c>
      <c r="Q24" s="248">
        <v>4</v>
      </c>
      <c r="R24" s="252">
        <v>9.5238095238095237</v>
      </c>
      <c r="S24" s="248"/>
      <c r="T24" s="253">
        <v>0</v>
      </c>
      <c r="U24" s="248">
        <v>1</v>
      </c>
      <c r="V24" s="252">
        <v>2.3809523809523809</v>
      </c>
    </row>
    <row r="25" spans="1:22" ht="15.75" customHeight="1">
      <c r="A25" s="261"/>
      <c r="B25" s="243" t="s">
        <v>747</v>
      </c>
      <c r="C25" s="247">
        <v>26</v>
      </c>
      <c r="D25" s="248">
        <v>100</v>
      </c>
      <c r="E25" s="248">
        <v>17</v>
      </c>
      <c r="F25" s="263">
        <v>100</v>
      </c>
      <c r="G25" s="248">
        <v>12</v>
      </c>
      <c r="H25" s="253">
        <v>46.153846153846153</v>
      </c>
      <c r="I25" s="248">
        <v>7</v>
      </c>
      <c r="J25" s="252">
        <v>41.17647058823529</v>
      </c>
      <c r="K25" s="248">
        <v>8</v>
      </c>
      <c r="L25" s="253">
        <v>30.76923076923077</v>
      </c>
      <c r="M25" s="248">
        <v>6</v>
      </c>
      <c r="N25" s="252">
        <v>35.294117647058826</v>
      </c>
      <c r="O25" s="248">
        <v>6</v>
      </c>
      <c r="P25" s="253">
        <v>23.076923076923077</v>
      </c>
      <c r="Q25" s="248">
        <v>4</v>
      </c>
      <c r="R25" s="252">
        <v>23.52941176470588</v>
      </c>
      <c r="S25" s="248">
        <v>0</v>
      </c>
      <c r="T25" s="253">
        <v>0</v>
      </c>
      <c r="U25" s="248">
        <v>0</v>
      </c>
      <c r="V25" s="252">
        <v>0</v>
      </c>
    </row>
    <row r="26" spans="1:22" ht="15.75" customHeight="1">
      <c r="A26" s="261"/>
      <c r="B26" s="246" t="s">
        <v>675</v>
      </c>
      <c r="C26" s="247">
        <v>423</v>
      </c>
      <c r="D26" s="264">
        <v>100</v>
      </c>
      <c r="E26" s="248">
        <v>372</v>
      </c>
      <c r="F26" s="263">
        <v>100</v>
      </c>
      <c r="G26" s="248">
        <v>132</v>
      </c>
      <c r="H26" s="253">
        <v>31.205673758865249</v>
      </c>
      <c r="I26" s="248">
        <v>170</v>
      </c>
      <c r="J26" s="252">
        <v>45.698924731182792</v>
      </c>
      <c r="K26" s="248">
        <v>143</v>
      </c>
      <c r="L26" s="253">
        <v>33.806146572104019</v>
      </c>
      <c r="M26" s="248">
        <v>111</v>
      </c>
      <c r="N26" s="252">
        <v>29.838709677419356</v>
      </c>
      <c r="O26" s="248">
        <v>137</v>
      </c>
      <c r="P26" s="253">
        <v>32.387706855791961</v>
      </c>
      <c r="Q26" s="248">
        <v>83</v>
      </c>
      <c r="R26" s="252">
        <v>22.311827956989248</v>
      </c>
      <c r="S26" s="248">
        <v>11</v>
      </c>
      <c r="T26" s="253">
        <v>2.6004728132387704</v>
      </c>
      <c r="U26" s="248">
        <v>8</v>
      </c>
      <c r="V26" s="252">
        <v>2.1505376344086025</v>
      </c>
    </row>
    <row r="27" spans="1:22" ht="15.75" customHeight="1">
      <c r="A27" s="261" t="s">
        <v>577</v>
      </c>
      <c r="B27" s="211" t="s">
        <v>748</v>
      </c>
      <c r="C27" s="247">
        <v>73</v>
      </c>
      <c r="D27" s="248">
        <v>100</v>
      </c>
      <c r="E27" s="248">
        <v>52</v>
      </c>
      <c r="F27" s="249">
        <v>100</v>
      </c>
      <c r="G27" s="248">
        <v>30</v>
      </c>
      <c r="H27" s="253">
        <v>41.095890410958901</v>
      </c>
      <c r="I27" s="248">
        <v>28</v>
      </c>
      <c r="J27" s="252">
        <v>53.846153846153847</v>
      </c>
      <c r="K27" s="248">
        <v>20</v>
      </c>
      <c r="L27" s="253">
        <v>27.397260273972602</v>
      </c>
      <c r="M27" s="248">
        <v>15</v>
      </c>
      <c r="N27" s="252">
        <v>28.846153846153843</v>
      </c>
      <c r="O27" s="248">
        <v>23</v>
      </c>
      <c r="P27" s="253">
        <v>31.506849315068493</v>
      </c>
      <c r="Q27" s="248">
        <v>9</v>
      </c>
      <c r="R27" s="252">
        <v>17.307692307692307</v>
      </c>
      <c r="S27" s="248">
        <v>0</v>
      </c>
      <c r="T27" s="253">
        <v>0</v>
      </c>
      <c r="U27" s="248">
        <v>0</v>
      </c>
      <c r="V27" s="252">
        <v>0</v>
      </c>
    </row>
    <row r="28" spans="1:22" ht="15.75" customHeight="1">
      <c r="A28" s="261"/>
      <c r="B28" s="211" t="s">
        <v>1298</v>
      </c>
      <c r="C28" s="247">
        <v>3</v>
      </c>
      <c r="D28" s="248">
        <v>99.999999999999986</v>
      </c>
      <c r="E28" s="248">
        <v>7</v>
      </c>
      <c r="F28" s="249">
        <v>100</v>
      </c>
      <c r="G28" s="248">
        <v>1</v>
      </c>
      <c r="H28" s="253">
        <v>33.333333333333329</v>
      </c>
      <c r="I28" s="248">
        <v>4</v>
      </c>
      <c r="J28" s="252">
        <v>57.142857142857139</v>
      </c>
      <c r="K28" s="248">
        <v>1</v>
      </c>
      <c r="L28" s="253">
        <v>33.333333333333329</v>
      </c>
      <c r="M28" s="248">
        <v>2</v>
      </c>
      <c r="N28" s="252">
        <v>28.571428571428569</v>
      </c>
      <c r="O28" s="248">
        <v>1</v>
      </c>
      <c r="P28" s="253">
        <v>33.333333333333329</v>
      </c>
      <c r="Q28" s="248">
        <v>1</v>
      </c>
      <c r="R28" s="252">
        <v>14.285714285714285</v>
      </c>
      <c r="S28" s="248">
        <v>0</v>
      </c>
      <c r="T28" s="253">
        <v>0</v>
      </c>
      <c r="U28" s="248">
        <v>0</v>
      </c>
      <c r="V28" s="252">
        <v>0</v>
      </c>
    </row>
    <row r="29" spans="1:22" ht="15.75" customHeight="1">
      <c r="A29" s="261" t="s">
        <v>765</v>
      </c>
      <c r="B29" s="211" t="s">
        <v>586</v>
      </c>
      <c r="C29" s="247">
        <v>74</v>
      </c>
      <c r="D29" s="248">
        <v>100</v>
      </c>
      <c r="E29" s="248">
        <v>85</v>
      </c>
      <c r="F29" s="249">
        <v>100</v>
      </c>
      <c r="G29" s="248">
        <v>30</v>
      </c>
      <c r="H29" s="253">
        <v>40.54054054054054</v>
      </c>
      <c r="I29" s="248">
        <v>35</v>
      </c>
      <c r="J29" s="252">
        <v>41.17647058823529</v>
      </c>
      <c r="K29" s="248">
        <v>30</v>
      </c>
      <c r="L29" s="253">
        <v>40.54054054054054</v>
      </c>
      <c r="M29" s="248">
        <v>30</v>
      </c>
      <c r="N29" s="252">
        <v>35.294117647058826</v>
      </c>
      <c r="O29" s="248">
        <v>13</v>
      </c>
      <c r="P29" s="253">
        <v>17.567567567567568</v>
      </c>
      <c r="Q29" s="248">
        <v>19</v>
      </c>
      <c r="R29" s="252">
        <v>22.352941176470591</v>
      </c>
      <c r="S29" s="248">
        <v>1</v>
      </c>
      <c r="T29" s="253">
        <v>1.3513513513513513</v>
      </c>
      <c r="U29" s="248">
        <v>1</v>
      </c>
      <c r="V29" s="252">
        <v>1.1764705882352942</v>
      </c>
    </row>
    <row r="30" spans="1:22" ht="15.75" customHeight="1">
      <c r="A30" s="261"/>
      <c r="B30" s="243" t="s">
        <v>750</v>
      </c>
      <c r="C30" s="247">
        <v>9</v>
      </c>
      <c r="D30" s="248">
        <v>100</v>
      </c>
      <c r="E30" s="248">
        <v>6</v>
      </c>
      <c r="F30" s="249">
        <v>99.999999999999972</v>
      </c>
      <c r="G30" s="248">
        <v>3</v>
      </c>
      <c r="H30" s="253">
        <v>33.333333333333329</v>
      </c>
      <c r="I30" s="248">
        <v>4</v>
      </c>
      <c r="J30" s="252">
        <v>66.666666666666657</v>
      </c>
      <c r="K30" s="248">
        <v>2</v>
      </c>
      <c r="L30" s="253">
        <v>22.222222222222221</v>
      </c>
      <c r="M30" s="248">
        <v>1</v>
      </c>
      <c r="N30" s="252">
        <v>16.666666666666664</v>
      </c>
      <c r="O30" s="248">
        <v>4</v>
      </c>
      <c r="P30" s="253">
        <v>44.444444444444443</v>
      </c>
      <c r="Q30" s="248">
        <v>1</v>
      </c>
      <c r="R30" s="252">
        <v>16.666666666666664</v>
      </c>
      <c r="S30" s="248"/>
      <c r="T30" s="253">
        <v>0</v>
      </c>
      <c r="U30" s="248">
        <v>0</v>
      </c>
      <c r="V30" s="252">
        <v>0</v>
      </c>
    </row>
    <row r="31" spans="1:22" ht="15.75" customHeight="1">
      <c r="A31" s="261" t="s">
        <v>579</v>
      </c>
      <c r="B31" s="243" t="s">
        <v>751</v>
      </c>
      <c r="C31" s="247">
        <v>31</v>
      </c>
      <c r="D31" s="248">
        <v>100</v>
      </c>
      <c r="E31" s="248">
        <v>44</v>
      </c>
      <c r="F31" s="249">
        <v>100</v>
      </c>
      <c r="G31" s="248">
        <v>13</v>
      </c>
      <c r="H31" s="253">
        <v>41.935483870967744</v>
      </c>
      <c r="I31" s="248">
        <v>25</v>
      </c>
      <c r="J31" s="252">
        <v>56.81818181818182</v>
      </c>
      <c r="K31" s="248">
        <v>7</v>
      </c>
      <c r="L31" s="253">
        <v>22.58064516129032</v>
      </c>
      <c r="M31" s="248">
        <v>8</v>
      </c>
      <c r="N31" s="252">
        <v>18.181818181818183</v>
      </c>
      <c r="O31" s="248">
        <v>11</v>
      </c>
      <c r="P31" s="253">
        <v>35.483870967741936</v>
      </c>
      <c r="Q31" s="248">
        <v>11</v>
      </c>
      <c r="R31" s="252">
        <v>25</v>
      </c>
      <c r="S31" s="248"/>
      <c r="T31" s="253">
        <v>0</v>
      </c>
      <c r="U31" s="248">
        <v>0</v>
      </c>
      <c r="V31" s="252">
        <v>0</v>
      </c>
    </row>
    <row r="32" spans="1:22" ht="15.75" customHeight="1">
      <c r="A32" s="261" t="s">
        <v>766</v>
      </c>
      <c r="B32" s="243" t="s">
        <v>752</v>
      </c>
      <c r="C32" s="247">
        <v>70</v>
      </c>
      <c r="D32" s="248">
        <v>100</v>
      </c>
      <c r="E32" s="248">
        <v>57</v>
      </c>
      <c r="F32" s="249">
        <v>99.999999999999986</v>
      </c>
      <c r="G32" s="248">
        <v>37</v>
      </c>
      <c r="H32" s="253">
        <v>52.857142857142861</v>
      </c>
      <c r="I32" s="248">
        <v>28</v>
      </c>
      <c r="J32" s="252">
        <v>49.122807017543856</v>
      </c>
      <c r="K32" s="248">
        <v>21</v>
      </c>
      <c r="L32" s="253">
        <v>30</v>
      </c>
      <c r="M32" s="248">
        <v>12</v>
      </c>
      <c r="N32" s="252">
        <v>21.052631578947366</v>
      </c>
      <c r="O32" s="248">
        <v>12</v>
      </c>
      <c r="P32" s="253">
        <v>17.142857142857142</v>
      </c>
      <c r="Q32" s="248">
        <v>17</v>
      </c>
      <c r="R32" s="252">
        <v>29.82456140350877</v>
      </c>
      <c r="S32" s="248">
        <v>0</v>
      </c>
      <c r="T32" s="253">
        <v>0</v>
      </c>
      <c r="U32" s="248">
        <v>0</v>
      </c>
      <c r="V32" s="252">
        <v>0</v>
      </c>
    </row>
    <row r="33" spans="1:22" ht="15.75" customHeight="1">
      <c r="A33" s="261" t="s">
        <v>581</v>
      </c>
      <c r="B33" s="243" t="s">
        <v>753</v>
      </c>
      <c r="C33" s="247">
        <v>65</v>
      </c>
      <c r="D33" s="248">
        <v>100</v>
      </c>
      <c r="E33" s="248">
        <v>50</v>
      </c>
      <c r="F33" s="249">
        <v>100</v>
      </c>
      <c r="G33" s="248">
        <v>23</v>
      </c>
      <c r="H33" s="253">
        <v>35.384615384615387</v>
      </c>
      <c r="I33" s="248">
        <v>24</v>
      </c>
      <c r="J33" s="252">
        <v>48</v>
      </c>
      <c r="K33" s="248">
        <v>22</v>
      </c>
      <c r="L33" s="253">
        <v>33.846153846153847</v>
      </c>
      <c r="M33" s="248">
        <v>9</v>
      </c>
      <c r="N33" s="252">
        <v>18</v>
      </c>
      <c r="O33" s="248">
        <v>18</v>
      </c>
      <c r="P33" s="253">
        <v>27.692307692307693</v>
      </c>
      <c r="Q33" s="248">
        <v>17</v>
      </c>
      <c r="R33" s="252">
        <v>34</v>
      </c>
      <c r="S33" s="248">
        <v>2</v>
      </c>
      <c r="T33" s="253">
        <v>3.0769230769230771</v>
      </c>
      <c r="U33" s="248">
        <v>0</v>
      </c>
      <c r="V33" s="252">
        <v>0</v>
      </c>
    </row>
    <row r="34" spans="1:22" ht="15.75" customHeight="1">
      <c r="A34" s="261"/>
      <c r="B34" s="211" t="s">
        <v>1045</v>
      </c>
      <c r="C34" s="247">
        <v>7</v>
      </c>
      <c r="D34" s="248">
        <v>99.999999999999986</v>
      </c>
      <c r="E34" s="248">
        <v>14</v>
      </c>
      <c r="F34" s="249">
        <v>100</v>
      </c>
      <c r="G34" s="248">
        <v>3</v>
      </c>
      <c r="H34" s="253">
        <v>42.857142857142854</v>
      </c>
      <c r="I34" s="248">
        <v>4</v>
      </c>
      <c r="J34" s="252">
        <v>28.571428571428569</v>
      </c>
      <c r="K34" s="248">
        <v>2</v>
      </c>
      <c r="L34" s="253">
        <v>28.571428571428569</v>
      </c>
      <c r="M34" s="248">
        <v>8</v>
      </c>
      <c r="N34" s="252">
        <v>57.142857142857139</v>
      </c>
      <c r="O34" s="248">
        <v>2</v>
      </c>
      <c r="P34" s="253">
        <v>28.571428571428569</v>
      </c>
      <c r="Q34" s="248">
        <v>2</v>
      </c>
      <c r="R34" s="252">
        <v>14.285714285714285</v>
      </c>
      <c r="S34" s="248"/>
      <c r="T34" s="253">
        <v>0</v>
      </c>
      <c r="U34" s="248">
        <v>0</v>
      </c>
      <c r="V34" s="252">
        <v>0</v>
      </c>
    </row>
    <row r="35" spans="1:22" ht="15.75" customHeight="1">
      <c r="A35" s="261" t="s">
        <v>744</v>
      </c>
      <c r="B35" s="246" t="s">
        <v>744</v>
      </c>
      <c r="C35" s="247">
        <v>755</v>
      </c>
      <c r="D35" s="248">
        <v>100</v>
      </c>
      <c r="E35" s="255">
        <v>687</v>
      </c>
      <c r="F35" s="249">
        <v>100.00000000000001</v>
      </c>
      <c r="G35" s="255">
        <v>272</v>
      </c>
      <c r="H35" s="253">
        <v>36.026490066225165</v>
      </c>
      <c r="I35" s="255">
        <v>322</v>
      </c>
      <c r="J35" s="252">
        <v>46.870451237263467</v>
      </c>
      <c r="K35" s="255">
        <v>248</v>
      </c>
      <c r="L35" s="253">
        <v>32.847682119205295</v>
      </c>
      <c r="M35" s="255">
        <v>196</v>
      </c>
      <c r="N35" s="252">
        <v>28.529839883551674</v>
      </c>
      <c r="O35" s="255">
        <v>221</v>
      </c>
      <c r="P35" s="253">
        <v>29.271523178807946</v>
      </c>
      <c r="Q35" s="255">
        <v>160</v>
      </c>
      <c r="R35" s="252">
        <v>23.289665211062591</v>
      </c>
      <c r="S35" s="255">
        <v>14</v>
      </c>
      <c r="T35" s="253">
        <v>1.8543046357615895</v>
      </c>
      <c r="U35" s="255">
        <v>9</v>
      </c>
      <c r="V35" s="252">
        <v>1.3100436681222707</v>
      </c>
    </row>
    <row r="36" spans="1:22" ht="15.75" customHeight="1">
      <c r="A36" s="262" t="s">
        <v>767</v>
      </c>
      <c r="B36" s="364" t="s">
        <v>474</v>
      </c>
      <c r="C36" s="258">
        <v>1261</v>
      </c>
      <c r="D36" s="250">
        <v>99.999999999999986</v>
      </c>
      <c r="E36" s="259">
        <v>1162</v>
      </c>
      <c r="F36" s="251">
        <v>100</v>
      </c>
      <c r="G36" s="250">
        <v>481</v>
      </c>
      <c r="H36" s="257">
        <v>38.144329896907216</v>
      </c>
      <c r="I36" s="250">
        <v>516</v>
      </c>
      <c r="J36" s="256">
        <v>44.406196213425098</v>
      </c>
      <c r="K36" s="250">
        <v>410</v>
      </c>
      <c r="L36" s="257">
        <v>32.513877874702615</v>
      </c>
      <c r="M36" s="250">
        <v>369</v>
      </c>
      <c r="N36" s="256">
        <v>31.755593803786574</v>
      </c>
      <c r="O36" s="250">
        <v>352</v>
      </c>
      <c r="P36" s="257">
        <v>27.914353687549564</v>
      </c>
      <c r="Q36" s="250">
        <v>264</v>
      </c>
      <c r="R36" s="256">
        <v>22.719449225473323</v>
      </c>
      <c r="S36" s="250">
        <v>18</v>
      </c>
      <c r="T36" s="257">
        <v>1.4274385408406027</v>
      </c>
      <c r="U36" s="250">
        <v>13</v>
      </c>
      <c r="V36" s="256">
        <v>1.1187607573149743</v>
      </c>
    </row>
  </sheetData>
  <mergeCells count="17">
    <mergeCell ref="M10:N10"/>
    <mergeCell ref="O10:P10"/>
    <mergeCell ref="Q10:R10"/>
    <mergeCell ref="S10:T10"/>
    <mergeCell ref="U10:V10"/>
    <mergeCell ref="C10:D10"/>
    <mergeCell ref="E10:F10"/>
    <mergeCell ref="G10:H10"/>
    <mergeCell ref="I10:J10"/>
    <mergeCell ref="K10:L10"/>
    <mergeCell ref="A1:V1"/>
    <mergeCell ref="A3:V3"/>
    <mergeCell ref="C9:F9"/>
    <mergeCell ref="G9:J9"/>
    <mergeCell ref="K9:N9"/>
    <mergeCell ref="O9:R9"/>
    <mergeCell ref="S9:V9"/>
  </mergeCells>
  <phoneticPr fontId="18" type="noConversion"/>
  <pageMargins left="0.59055118110236227" right="0.39370078740157483" top="0.98425196850393704" bottom="0.98425196850393704" header="0" footer="0"/>
  <pageSetup paperSize="5" scale="90" orientation="landscape"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149"/>
  <sheetViews>
    <sheetView workbookViewId="0">
      <selection activeCell="M40" sqref="M40"/>
    </sheetView>
  </sheetViews>
  <sheetFormatPr baseColWidth="10" defaultRowHeight="12.75"/>
  <cols>
    <col min="1" max="1" width="10.7109375" customWidth="1"/>
    <col min="2" max="2" width="9" customWidth="1"/>
    <col min="3" max="11" width="7.7109375" customWidth="1"/>
    <col min="12" max="12" width="6.7109375" customWidth="1"/>
    <col min="15" max="26" width="0" hidden="1" customWidth="1"/>
  </cols>
  <sheetData>
    <row r="1" spans="1:14" s="1069" customFormat="1">
      <c r="A1" s="1517" t="s">
        <v>768</v>
      </c>
      <c r="B1" s="1517"/>
      <c r="C1" s="1517"/>
      <c r="D1" s="1517"/>
      <c r="E1" s="1517"/>
      <c r="F1" s="1517"/>
      <c r="G1" s="1517"/>
      <c r="H1" s="1517"/>
      <c r="I1" s="1517"/>
      <c r="J1" s="1517"/>
      <c r="K1" s="1517"/>
      <c r="L1" s="1517"/>
    </row>
    <row r="2" spans="1:14" s="1069" customFormat="1">
      <c r="A2" s="1517" t="s">
        <v>769</v>
      </c>
      <c r="B2" s="1517"/>
      <c r="C2" s="1517"/>
      <c r="D2" s="1517"/>
      <c r="E2" s="1517"/>
      <c r="F2" s="1517"/>
      <c r="G2" s="1517"/>
      <c r="H2" s="1517"/>
      <c r="I2" s="1517"/>
      <c r="J2" s="1517"/>
      <c r="K2" s="1517"/>
      <c r="L2" s="1517"/>
    </row>
    <row r="3" spans="1:14" s="1069" customFormat="1">
      <c r="A3" s="1517" t="s">
        <v>1560</v>
      </c>
      <c r="B3" s="1517"/>
      <c r="C3" s="1517"/>
      <c r="D3" s="1517"/>
      <c r="E3" s="1517"/>
      <c r="F3" s="1517"/>
      <c r="G3" s="1517"/>
      <c r="H3" s="1517"/>
      <c r="I3" s="1517"/>
      <c r="J3" s="1517"/>
      <c r="K3" s="1517"/>
      <c r="L3" s="1517"/>
    </row>
    <row r="4" spans="1:14">
      <c r="A4" s="218"/>
      <c r="B4" s="218"/>
      <c r="C4" s="218"/>
      <c r="D4" s="218"/>
      <c r="E4" s="218"/>
      <c r="F4" s="218"/>
      <c r="G4" s="218"/>
      <c r="H4" s="218"/>
      <c r="I4" s="218"/>
      <c r="J4" s="218"/>
      <c r="K4" s="218"/>
      <c r="L4" s="218"/>
    </row>
    <row r="5" spans="1:14">
      <c r="A5" s="218"/>
      <c r="B5" s="218"/>
      <c r="C5" s="218"/>
      <c r="D5" s="218"/>
      <c r="E5" s="218"/>
      <c r="F5" s="218"/>
      <c r="G5" s="218"/>
      <c r="H5" s="218"/>
      <c r="I5" s="218"/>
      <c r="J5" s="218"/>
      <c r="K5" s="218"/>
      <c r="L5" s="218"/>
    </row>
    <row r="8" spans="1:14">
      <c r="A8" s="973"/>
      <c r="B8" s="1100"/>
      <c r="C8" s="1567" t="s">
        <v>770</v>
      </c>
      <c r="D8" s="1568"/>
      <c r="E8" s="1568"/>
      <c r="F8" s="1568"/>
      <c r="G8" s="1568"/>
      <c r="H8" s="1568"/>
      <c r="I8" s="1568"/>
      <c r="J8" s="1568"/>
      <c r="K8" s="1568"/>
      <c r="L8" s="1140"/>
    </row>
    <row r="9" spans="1:14">
      <c r="A9" s="1569" t="s">
        <v>771</v>
      </c>
      <c r="B9" s="1570"/>
      <c r="C9" s="1573" t="s">
        <v>772</v>
      </c>
      <c r="D9" s="1574"/>
      <c r="E9" s="1573" t="s">
        <v>773</v>
      </c>
      <c r="F9" s="1574"/>
      <c r="G9" s="1573" t="s">
        <v>774</v>
      </c>
      <c r="H9" s="1574"/>
      <c r="I9" s="1573" t="s">
        <v>775</v>
      </c>
      <c r="J9" s="1574"/>
      <c r="K9" s="1573" t="s">
        <v>474</v>
      </c>
      <c r="L9" s="1574"/>
    </row>
    <row r="10" spans="1:14">
      <c r="A10" s="1571" t="s">
        <v>776</v>
      </c>
      <c r="B10" s="1572"/>
      <c r="C10" s="1141" t="s">
        <v>777</v>
      </c>
      <c r="D10" s="1143" t="s">
        <v>778</v>
      </c>
      <c r="E10" s="1141" t="s">
        <v>777</v>
      </c>
      <c r="F10" s="1142" t="s">
        <v>778</v>
      </c>
      <c r="G10" s="1143" t="s">
        <v>777</v>
      </c>
      <c r="H10" s="1143" t="s">
        <v>778</v>
      </c>
      <c r="I10" s="1141" t="s">
        <v>777</v>
      </c>
      <c r="J10" s="1143" t="s">
        <v>778</v>
      </c>
      <c r="K10" s="1141" t="s">
        <v>777</v>
      </c>
      <c r="L10" s="1142" t="s">
        <v>778</v>
      </c>
    </row>
    <row r="11" spans="1:14">
      <c r="A11" s="268" t="s">
        <v>779</v>
      </c>
      <c r="B11" s="269"/>
      <c r="C11" s="270">
        <f>+[3]Consolidado!$D$121</f>
        <v>10</v>
      </c>
      <c r="D11" s="271">
        <f>+[3]Consolidado!$E$121</f>
        <v>7</v>
      </c>
      <c r="E11" s="270">
        <f>+[3]Consolidado!$D$216</f>
        <v>0</v>
      </c>
      <c r="F11" s="271">
        <f>+[3]Consolidado!$E$216</f>
        <v>1</v>
      </c>
      <c r="G11" s="270">
        <f>+[3]Consolidado!$D$311</f>
        <v>0</v>
      </c>
      <c r="H11" s="271">
        <f>+[3]Consolidado!$E$311</f>
        <v>0</v>
      </c>
      <c r="I11" s="270">
        <f>+[3]Consolidado!$D$406</f>
        <v>0</v>
      </c>
      <c r="J11" s="271">
        <f>+[3]Consolidado!$E$406</f>
        <v>0</v>
      </c>
      <c r="K11" s="270">
        <f>+C11+E11+G11+I11</f>
        <v>10</v>
      </c>
      <c r="L11" s="266">
        <f>+D11+F11+H11+J11</f>
        <v>8</v>
      </c>
      <c r="M11" s="88"/>
      <c r="N11" s="1491"/>
    </row>
    <row r="12" spans="1:14">
      <c r="A12" s="268" t="s">
        <v>780</v>
      </c>
      <c r="B12" s="269"/>
      <c r="C12" s="270">
        <f>+[3]Consolidado!$F$121</f>
        <v>9</v>
      </c>
      <c r="D12" s="271">
        <f>+[3]Consolidado!$G$121</f>
        <v>0</v>
      </c>
      <c r="E12" s="270">
        <f>+[3]Consolidado!$F$216</f>
        <v>1</v>
      </c>
      <c r="F12" s="271">
        <f>+[3]Consolidado!$G$216</f>
        <v>1</v>
      </c>
      <c r="G12" s="270">
        <f>+[3]Consolidado!$F$311</f>
        <v>0</v>
      </c>
      <c r="H12" s="271">
        <f>+[3]Consolidado!$G$311</f>
        <v>0</v>
      </c>
      <c r="I12" s="270">
        <f>+[3]Consolidado!$F$406</f>
        <v>0</v>
      </c>
      <c r="J12" s="271">
        <f>+[3]Consolidado!$G$406</f>
        <v>0</v>
      </c>
      <c r="K12" s="270">
        <f t="shared" ref="K12:L19" si="0">+C12+E12+G12+I12</f>
        <v>10</v>
      </c>
      <c r="L12" s="266">
        <f t="shared" si="0"/>
        <v>1</v>
      </c>
    </row>
    <row r="13" spans="1:14">
      <c r="A13" s="268" t="s">
        <v>781</v>
      </c>
      <c r="B13" s="269"/>
      <c r="C13" s="270">
        <f>+[3]Consolidado!$H$121</f>
        <v>36</v>
      </c>
      <c r="D13" s="271">
        <f>+[3]Consolidado!$I$121</f>
        <v>0</v>
      </c>
      <c r="E13" s="270">
        <f>+[3]Consolidado!$H$216</f>
        <v>2</v>
      </c>
      <c r="F13" s="271">
        <f>+[3]Consolidado!$I$216</f>
        <v>0</v>
      </c>
      <c r="G13" s="270">
        <f>+[3]Consolidado!$H$311</f>
        <v>0</v>
      </c>
      <c r="H13" s="271">
        <f>+[3]Consolidado!$I$311</f>
        <v>0</v>
      </c>
      <c r="I13" s="270">
        <f>+[3]Consolidado!$H$406</f>
        <v>0</v>
      </c>
      <c r="J13" s="271">
        <f>+[3]Consolidado!$I$406</f>
        <v>0</v>
      </c>
      <c r="K13" s="270">
        <f t="shared" si="0"/>
        <v>38</v>
      </c>
      <c r="L13" s="266">
        <f t="shared" si="0"/>
        <v>0</v>
      </c>
    </row>
    <row r="14" spans="1:14">
      <c r="A14" s="268" t="s">
        <v>782</v>
      </c>
      <c r="B14" s="269"/>
      <c r="C14" s="270">
        <f>+[3]Consolidado!$J$121</f>
        <v>107</v>
      </c>
      <c r="D14" s="271">
        <f>+[3]Consolidado!$K$121</f>
        <v>2</v>
      </c>
      <c r="E14" s="270">
        <f>+[3]Consolidado!$J$216</f>
        <v>15</v>
      </c>
      <c r="F14" s="271">
        <f>+[3]Consolidado!$K$216</f>
        <v>0</v>
      </c>
      <c r="G14" s="270">
        <f>+[3]Consolidado!$J$311</f>
        <v>0</v>
      </c>
      <c r="H14" s="271">
        <f>+[3]Consolidado!$K$311</f>
        <v>0</v>
      </c>
      <c r="I14" s="270">
        <f>+[3]Consolidado!$J$406</f>
        <v>0</v>
      </c>
      <c r="J14" s="271">
        <f>+[3]Consolidado!$K$406</f>
        <v>0</v>
      </c>
      <c r="K14" s="270">
        <f t="shared" si="0"/>
        <v>122</v>
      </c>
      <c r="L14" s="266">
        <f t="shared" si="0"/>
        <v>2</v>
      </c>
    </row>
    <row r="15" spans="1:14">
      <c r="A15" s="268" t="s">
        <v>783</v>
      </c>
      <c r="B15" s="269"/>
      <c r="C15" s="270">
        <f>+[3]Consolidado!$L$121</f>
        <v>333</v>
      </c>
      <c r="D15" s="271">
        <f>+[3]Consolidado!$M$121</f>
        <v>1</v>
      </c>
      <c r="E15" s="270">
        <f>+[3]Consolidado!$L$216</f>
        <v>172</v>
      </c>
      <c r="F15" s="271">
        <f>+[3]Consolidado!$M$216</f>
        <v>1</v>
      </c>
      <c r="G15" s="270">
        <f>+[3]Consolidado!$L$311</f>
        <v>1</v>
      </c>
      <c r="H15" s="271">
        <f>+[3]Consolidado!$M$311</f>
        <v>0</v>
      </c>
      <c r="I15" s="270">
        <f>+[3]Consolidado!$L$406</f>
        <v>0</v>
      </c>
      <c r="J15" s="271">
        <f>+[3]Consolidado!$M$406</f>
        <v>0</v>
      </c>
      <c r="K15" s="270">
        <f t="shared" si="0"/>
        <v>506</v>
      </c>
      <c r="L15" s="266">
        <f t="shared" si="0"/>
        <v>2</v>
      </c>
    </row>
    <row r="16" spans="1:14">
      <c r="A16" s="268" t="s">
        <v>784</v>
      </c>
      <c r="B16" s="269"/>
      <c r="C16" s="270">
        <f>+[3]Consolidado!$N$121</f>
        <v>643</v>
      </c>
      <c r="D16" s="271">
        <f>+[3]Consolidado!$O$121</f>
        <v>0</v>
      </c>
      <c r="E16" s="270">
        <f>+[3]Consolidado!$N$216</f>
        <v>335</v>
      </c>
      <c r="F16" s="271">
        <f>+[3]Consolidado!$O$216</f>
        <v>1</v>
      </c>
      <c r="G16" s="270">
        <f>+[3]Consolidado!$N$311</f>
        <v>2</v>
      </c>
      <c r="H16" s="271">
        <f>+[3]Consolidado!$O$311</f>
        <v>0</v>
      </c>
      <c r="I16" s="270">
        <f>+[3]Consolidado!$N$406</f>
        <v>0</v>
      </c>
      <c r="J16" s="271">
        <f>+[3]Consolidado!$O$406</f>
        <v>0</v>
      </c>
      <c r="K16" s="270">
        <f t="shared" si="0"/>
        <v>980</v>
      </c>
      <c r="L16" s="266">
        <f t="shared" si="0"/>
        <v>1</v>
      </c>
    </row>
    <row r="17" spans="1:26">
      <c r="A17" s="268" t="s">
        <v>785</v>
      </c>
      <c r="B17" s="269"/>
      <c r="C17" s="270">
        <f>+[3]Consolidado!$P$121</f>
        <v>342</v>
      </c>
      <c r="D17" s="271">
        <f>+[3]Consolidado!$Q$121</f>
        <v>1</v>
      </c>
      <c r="E17" s="270">
        <f>+[3]Consolidado!$P$216</f>
        <v>194</v>
      </c>
      <c r="F17" s="271">
        <f>+[3]Consolidado!$Q$216</f>
        <v>0</v>
      </c>
      <c r="G17" s="270">
        <f>+[3]Consolidado!$P$311</f>
        <v>0</v>
      </c>
      <c r="H17" s="271">
        <f>+[3]Consolidado!$Q$311</f>
        <v>0</v>
      </c>
      <c r="I17" s="270">
        <f>+[3]Consolidado!$P$406</f>
        <v>0</v>
      </c>
      <c r="J17" s="271">
        <f>+[3]Consolidado!$Q$406</f>
        <v>0</v>
      </c>
      <c r="K17" s="270">
        <f t="shared" si="0"/>
        <v>536</v>
      </c>
      <c r="L17" s="266">
        <f t="shared" si="0"/>
        <v>1</v>
      </c>
    </row>
    <row r="18" spans="1:26">
      <c r="A18" s="268" t="s">
        <v>786</v>
      </c>
      <c r="B18" s="269"/>
      <c r="C18" s="270">
        <f>+[3]Consolidado!$R$121</f>
        <v>54</v>
      </c>
      <c r="D18" s="271">
        <f>+[3]Consolidado!$S$121</f>
        <v>1</v>
      </c>
      <c r="E18" s="270">
        <f>+[3]Consolidado!$R$216</f>
        <v>45</v>
      </c>
      <c r="F18" s="271">
        <f>+[3]Consolidado!$S$216</f>
        <v>0</v>
      </c>
      <c r="G18" s="270">
        <f>+[3]Consolidado!$R$311</f>
        <v>0</v>
      </c>
      <c r="H18" s="271">
        <f>+[3]Consolidado!$S$311</f>
        <v>0</v>
      </c>
      <c r="I18" s="270">
        <f>+[3]Consolidado!$R$406</f>
        <v>0</v>
      </c>
      <c r="J18" s="271">
        <f>+[3]Consolidado!$S$406</f>
        <v>0</v>
      </c>
      <c r="K18" s="270">
        <f t="shared" si="0"/>
        <v>99</v>
      </c>
      <c r="L18" s="266">
        <f t="shared" si="0"/>
        <v>1</v>
      </c>
    </row>
    <row r="19" spans="1:26">
      <c r="A19" s="268" t="s">
        <v>787</v>
      </c>
      <c r="B19" s="269"/>
      <c r="C19" s="270">
        <f>+[3]Consolidado!$T$121</f>
        <v>5</v>
      </c>
      <c r="D19" s="271">
        <f>+[3]Consolidado!$U$121</f>
        <v>0</v>
      </c>
      <c r="E19" s="270">
        <f>+[3]Consolidado!$T$216</f>
        <v>5</v>
      </c>
      <c r="F19" s="271">
        <f>+[3]Consolidado!$U$216</f>
        <v>0</v>
      </c>
      <c r="G19" s="270">
        <f>+[3]Consolidado!$T$311</f>
        <v>0</v>
      </c>
      <c r="H19" s="271">
        <f>+[3]Consolidado!$U$311</f>
        <v>0</v>
      </c>
      <c r="I19" s="270">
        <f>+[3]Consolidado!$T$406</f>
        <v>0</v>
      </c>
      <c r="J19" s="271">
        <f>+[3]Consolidado!$U$406</f>
        <v>0</v>
      </c>
      <c r="K19" s="270">
        <f t="shared" si="0"/>
        <v>10</v>
      </c>
      <c r="L19" s="266">
        <f t="shared" si="0"/>
        <v>0</v>
      </c>
    </row>
    <row r="20" spans="1:26">
      <c r="A20" s="272" t="s">
        <v>767</v>
      </c>
      <c r="B20" s="273"/>
      <c r="C20" s="274">
        <f>SUM(C11:C19)</f>
        <v>1539</v>
      </c>
      <c r="D20" s="275">
        <f>SUM(D11:D19)</f>
        <v>12</v>
      </c>
      <c r="E20" s="274">
        <f t="shared" ref="E20:L20" si="1">SUM(E11:E19)</f>
        <v>769</v>
      </c>
      <c r="F20" s="276">
        <f t="shared" si="1"/>
        <v>4</v>
      </c>
      <c r="G20" s="275">
        <f t="shared" si="1"/>
        <v>3</v>
      </c>
      <c r="H20" s="275">
        <f t="shared" si="1"/>
        <v>0</v>
      </c>
      <c r="I20" s="274">
        <f t="shared" si="1"/>
        <v>0</v>
      </c>
      <c r="J20" s="275">
        <f t="shared" si="1"/>
        <v>0</v>
      </c>
      <c r="K20" s="274">
        <f t="shared" si="1"/>
        <v>2311</v>
      </c>
      <c r="L20" s="267">
        <f t="shared" si="1"/>
        <v>16</v>
      </c>
    </row>
    <row r="21" spans="1:26">
      <c r="A21" s="277"/>
      <c r="B21" s="277"/>
      <c r="C21" s="277"/>
      <c r="D21" s="277"/>
      <c r="E21" s="277"/>
      <c r="F21" s="277"/>
      <c r="G21" s="277"/>
      <c r="H21" s="277"/>
      <c r="I21" s="277"/>
      <c r="J21" s="277"/>
      <c r="K21" s="277"/>
      <c r="L21" s="277"/>
    </row>
    <row r="22" spans="1:26">
      <c r="A22" s="277"/>
      <c r="B22" s="277"/>
      <c r="C22" s="277"/>
      <c r="D22" s="277"/>
      <c r="E22" s="277"/>
      <c r="F22" s="277"/>
      <c r="G22" s="277"/>
      <c r="H22" s="277"/>
      <c r="I22" s="277"/>
      <c r="J22" s="277"/>
      <c r="K22" s="277"/>
      <c r="L22" s="277"/>
    </row>
    <row r="23" spans="1:26" ht="60" customHeight="1">
      <c r="A23" s="1565" t="s">
        <v>788</v>
      </c>
      <c r="B23" s="1565"/>
      <c r="C23" s="1565"/>
      <c r="D23" s="1565"/>
      <c r="E23" s="1565"/>
      <c r="F23" s="1565"/>
      <c r="G23" s="1565"/>
      <c r="H23" s="1565"/>
      <c r="I23" s="1565"/>
      <c r="J23" s="1565"/>
      <c r="K23" s="1565"/>
      <c r="L23" s="1565"/>
    </row>
    <row r="24" spans="1:26">
      <c r="A24" s="277"/>
      <c r="B24" s="277"/>
      <c r="C24" s="277"/>
      <c r="D24" s="277"/>
      <c r="E24" s="277"/>
      <c r="F24" s="277"/>
      <c r="G24" s="277"/>
      <c r="H24" s="277"/>
      <c r="I24" s="277"/>
      <c r="J24" s="277"/>
      <c r="K24" s="277"/>
      <c r="L24" s="277"/>
      <c r="O24">
        <v>2022</v>
      </c>
    </row>
    <row r="25" spans="1:26">
      <c r="A25" s="279" t="s">
        <v>789</v>
      </c>
      <c r="B25" s="280"/>
      <c r="C25" s="281">
        <f>SUM(C26:C29)</f>
        <v>1525</v>
      </c>
      <c r="D25" s="282"/>
      <c r="E25" s="281">
        <f>SUM(E26:E29)</f>
        <v>770</v>
      </c>
      <c r="F25" s="282"/>
      <c r="G25" s="283">
        <f>SUM(G26:G29)</f>
        <v>3</v>
      </c>
      <c r="H25" s="283"/>
      <c r="I25" s="281">
        <f>SUM(I26:I29)</f>
        <v>0</v>
      </c>
      <c r="J25" s="282"/>
      <c r="K25" s="283">
        <f>SUM(K26:K29)</f>
        <v>2298</v>
      </c>
      <c r="L25" s="284"/>
      <c r="N25" s="88"/>
      <c r="O25" s="279" t="s">
        <v>789</v>
      </c>
      <c r="P25" s="280"/>
      <c r="Q25" s="281">
        <f>SUM(Q26:Q29)</f>
        <v>1580</v>
      </c>
      <c r="R25" s="282"/>
      <c r="S25" s="281">
        <f>SUM(S26:S29)</f>
        <v>826</v>
      </c>
      <c r="T25" s="282"/>
      <c r="U25" s="283">
        <f>SUM(U26:U29)</f>
        <v>1</v>
      </c>
      <c r="V25" s="283"/>
      <c r="W25" s="281">
        <f>SUM(W26:W29)</f>
        <v>0</v>
      </c>
      <c r="X25" s="282"/>
      <c r="Y25" s="283">
        <f>SUM(Y26:Y29)</f>
        <v>2407</v>
      </c>
      <c r="Z25" s="284"/>
    </row>
    <row r="26" spans="1:26">
      <c r="A26" s="268" t="s">
        <v>125</v>
      </c>
      <c r="B26" s="277" t="s">
        <v>126</v>
      </c>
      <c r="C26" s="750">
        <f>+[3]Consolidado!$B$128-+[3]Consolidado!$L$128</f>
        <v>581</v>
      </c>
      <c r="D26" s="285"/>
      <c r="E26" s="749">
        <f>+[3]Consolidado!$B$223-+[3]Consolidado!$L$223</f>
        <v>267</v>
      </c>
      <c r="F26" s="285"/>
      <c r="G26" s="749">
        <f>+[3]Consolidado!$B$318-+[3]Consolidado!$L$318</f>
        <v>3</v>
      </c>
      <c r="H26" s="286"/>
      <c r="I26" s="749">
        <f>+[3]Consolidado!$B$413-+[3]Consolidado!$L$413</f>
        <v>0</v>
      </c>
      <c r="J26" s="285"/>
      <c r="K26" s="286">
        <f>SUM(C26:I26)</f>
        <v>851</v>
      </c>
      <c r="L26" s="269"/>
      <c r="O26" s="268" t="s">
        <v>125</v>
      </c>
      <c r="P26" s="277" t="s">
        <v>126</v>
      </c>
      <c r="Q26" s="750">
        <f>+[4]Consolidado!$B$128-+[4]Consolidado!$L$128</f>
        <v>626</v>
      </c>
      <c r="R26" s="285"/>
      <c r="S26" s="749">
        <f>+[4]Consolidado!$B$223-+[4]Consolidado!$L$223</f>
        <v>304</v>
      </c>
      <c r="T26" s="285"/>
      <c r="U26" s="749">
        <f>+[4]Consolidado!$B$318-+[4]Consolidado!$L$318</f>
        <v>1</v>
      </c>
      <c r="V26" s="286"/>
      <c r="W26" s="749">
        <f>+[4]Consolidado!$B$413-+[4]Consolidado!$L$413</f>
        <v>0</v>
      </c>
      <c r="X26" s="285"/>
      <c r="Y26" s="286">
        <f>SUM(Q26:W26)</f>
        <v>931</v>
      </c>
      <c r="Z26" s="269"/>
    </row>
    <row r="27" spans="1:26">
      <c r="A27" s="287" t="s">
        <v>790</v>
      </c>
      <c r="B27" s="288" t="s">
        <v>791</v>
      </c>
      <c r="C27" s="750">
        <f>+[3]Consolidado!$B$130+[3]Consolidado!$B$129-[3]Consolidado!$L$129-[3]Consolidado!$L$130</f>
        <v>918</v>
      </c>
      <c r="D27" s="285"/>
      <c r="E27" s="749">
        <f>+[3]Consolidado!$B$224+[3]Consolidado!$B$225-[3]Consolidado!$L$224-[3]Consolidado!$L$225</f>
        <v>500</v>
      </c>
      <c r="F27" s="285"/>
      <c r="G27" s="749">
        <f>+[3]Consolidado!$B$319+[3]Consolidado!$B$320-[3]Consolidado!$L$319-[3]Consolidado!$L$320</f>
        <v>0</v>
      </c>
      <c r="H27" s="286"/>
      <c r="I27" s="749">
        <f>+[3]Consolidado!$B$414+[3]Consolidado!$B$415-[3]Consolidado!$L$414-[3]Consolidado!$L$415</f>
        <v>0</v>
      </c>
      <c r="J27" s="285"/>
      <c r="K27" s="286">
        <f>SUM(C27:I27)</f>
        <v>1418</v>
      </c>
      <c r="L27" s="269"/>
      <c r="O27" s="287" t="s">
        <v>790</v>
      </c>
      <c r="P27" s="288" t="s">
        <v>791</v>
      </c>
      <c r="Q27" s="750">
        <f>+[4]Consolidado!$B$130+[4]Consolidado!$B$129-[4]Consolidado!$L$129-[4]Consolidado!$L$130</f>
        <v>926</v>
      </c>
      <c r="R27" s="285"/>
      <c r="S27" s="749">
        <f>+[4]Consolidado!$B$224+[4]Consolidado!$B$225-[4]Consolidado!$L$224-[4]Consolidado!$L$225</f>
        <v>518</v>
      </c>
      <c r="T27" s="285"/>
      <c r="U27" s="749">
        <f>+[4]Consolidado!$B$319+[4]Consolidado!$B$320-[4]Consolidado!$L$319-[4]Consolidado!$L$320</f>
        <v>0</v>
      </c>
      <c r="V27" s="286"/>
      <c r="W27" s="749">
        <f>+[4]Consolidado!$B$414+[4]Consolidado!$B$415-[4]Consolidado!$L$414-[4]Consolidado!$L$415</f>
        <v>0</v>
      </c>
      <c r="X27" s="285"/>
      <c r="Y27" s="286">
        <f>SUM(Q27:W27)</f>
        <v>1444</v>
      </c>
      <c r="Z27" s="269"/>
    </row>
    <row r="28" spans="1:26">
      <c r="A28" s="268" t="s">
        <v>792</v>
      </c>
      <c r="B28" s="165" t="s">
        <v>793</v>
      </c>
      <c r="C28" s="750">
        <f>+[3]Consolidado!$L$128</f>
        <v>0</v>
      </c>
      <c r="D28" s="285"/>
      <c r="E28" s="749">
        <f>+[3]Consolidado!$L$223</f>
        <v>0</v>
      </c>
      <c r="F28" s="285"/>
      <c r="G28" s="749">
        <f>+[3]Consolidado!$L$318</f>
        <v>0</v>
      </c>
      <c r="H28" s="286"/>
      <c r="I28" s="749">
        <f>+[3]Consolidado!$L$413</f>
        <v>0</v>
      </c>
      <c r="J28" s="285"/>
      <c r="K28" s="286">
        <f>SUM(C28:I28)</f>
        <v>0</v>
      </c>
      <c r="L28" s="269"/>
      <c r="O28" s="268" t="s">
        <v>792</v>
      </c>
      <c r="P28" s="165" t="s">
        <v>793</v>
      </c>
      <c r="Q28" s="750">
        <f>+[4]Consolidado!$L$128</f>
        <v>1</v>
      </c>
      <c r="R28" s="285"/>
      <c r="S28" s="749">
        <f>+[4]Consolidado!$L$223</f>
        <v>0</v>
      </c>
      <c r="T28" s="285"/>
      <c r="U28" s="749">
        <f>+[4]Consolidado!$L$318</f>
        <v>0</v>
      </c>
      <c r="V28" s="286"/>
      <c r="W28" s="749">
        <f>+[4]Consolidado!$L$413</f>
        <v>0</v>
      </c>
      <c r="X28" s="285"/>
      <c r="Y28" s="286">
        <f>SUM(Q28:W28)</f>
        <v>1</v>
      </c>
      <c r="Z28" s="269"/>
    </row>
    <row r="29" spans="1:26">
      <c r="A29" s="287" t="s">
        <v>794</v>
      </c>
      <c r="B29" s="288" t="s">
        <v>791</v>
      </c>
      <c r="C29" s="750">
        <f>+[3]Consolidado!$L$129+[3]Consolidado!$L$130</f>
        <v>26</v>
      </c>
      <c r="D29" s="289"/>
      <c r="E29" s="750">
        <f>+[3]Consolidado!$L$224+[3]Consolidado!$L$225</f>
        <v>3</v>
      </c>
      <c r="F29" s="289"/>
      <c r="G29" s="750">
        <f>+[3]Consolidado!$L$319+[3]Consolidado!$L$320</f>
        <v>0</v>
      </c>
      <c r="H29" s="290"/>
      <c r="I29" s="750">
        <f>+[3]Consolidado!$L$414+[3]Consolidado!$L$415</f>
        <v>0</v>
      </c>
      <c r="J29" s="289"/>
      <c r="K29" s="290">
        <f>SUM(C29:I29)</f>
        <v>29</v>
      </c>
      <c r="L29" s="273"/>
      <c r="O29" s="287" t="s">
        <v>794</v>
      </c>
      <c r="P29" s="288" t="s">
        <v>791</v>
      </c>
      <c r="Q29" s="750">
        <f>+[4]Consolidado!$L$129+[4]Consolidado!$L$130</f>
        <v>27</v>
      </c>
      <c r="R29" s="289"/>
      <c r="S29" s="750">
        <f>+[4]Consolidado!$L$224+[4]Consolidado!$L$225</f>
        <v>4</v>
      </c>
      <c r="T29" s="289"/>
      <c r="U29" s="750">
        <f>+[4]Consolidado!$L$319+[4]Consolidado!$L$320</f>
        <v>0</v>
      </c>
      <c r="V29" s="290"/>
      <c r="W29" s="750">
        <f>+[4]Consolidado!$L$414+[4]Consolidado!$L$415</f>
        <v>0</v>
      </c>
      <c r="X29" s="289"/>
      <c r="Y29" s="290">
        <f>SUM(Q29:W29)</f>
        <v>31</v>
      </c>
      <c r="Z29" s="273"/>
    </row>
    <row r="30" spans="1:26">
      <c r="A30" s="279" t="s">
        <v>795</v>
      </c>
      <c r="B30" s="284"/>
      <c r="C30" s="751">
        <f>SUM(C31:C32)</f>
        <v>1525</v>
      </c>
      <c r="D30" s="282"/>
      <c r="E30" s="283">
        <f>SUM(E31:E32)</f>
        <v>770</v>
      </c>
      <c r="F30" s="282"/>
      <c r="G30" s="281">
        <f>SUM(G31:G32)</f>
        <v>3</v>
      </c>
      <c r="H30" s="282"/>
      <c r="I30" s="283">
        <f>SUM(I31:I32)</f>
        <v>0</v>
      </c>
      <c r="J30" s="282"/>
      <c r="K30" s="283">
        <f>SUM(K31:K32)</f>
        <v>2298</v>
      </c>
      <c r="L30" s="284"/>
      <c r="O30" s="279" t="s">
        <v>795</v>
      </c>
      <c r="P30" s="284"/>
      <c r="Q30" s="751">
        <f>SUM(Q31:Q32)</f>
        <v>1580</v>
      </c>
      <c r="R30" s="282"/>
      <c r="S30" s="283">
        <f>SUM(S31:S32)</f>
        <v>826</v>
      </c>
      <c r="T30" s="282"/>
      <c r="U30" s="281">
        <f>SUM(U31:U32)</f>
        <v>1</v>
      </c>
      <c r="V30" s="282"/>
      <c r="W30" s="283">
        <f>SUM(W31:W32)</f>
        <v>0</v>
      </c>
      <c r="X30" s="282"/>
      <c r="Y30" s="283">
        <f>SUM(Y31:Y32)</f>
        <v>2407</v>
      </c>
      <c r="Z30" s="284"/>
    </row>
    <row r="31" spans="1:26">
      <c r="A31" s="268" t="s">
        <v>796</v>
      </c>
      <c r="B31" s="269"/>
      <c r="C31" s="749">
        <f>+[3]Consolidado!$F$127</f>
        <v>1337</v>
      </c>
      <c r="D31" s="285"/>
      <c r="E31" s="749">
        <f>+[3]Consolidado!$F$222</f>
        <v>713</v>
      </c>
      <c r="F31" s="285"/>
      <c r="G31" s="749">
        <f>+[3]Consolidado!$F$317</f>
        <v>3</v>
      </c>
      <c r="H31" s="285"/>
      <c r="I31" s="749">
        <f>+[3]Consolidado!$F$412</f>
        <v>0</v>
      </c>
      <c r="J31" s="285"/>
      <c r="K31" s="286">
        <f>SUM(C31:I31)</f>
        <v>2053</v>
      </c>
      <c r="L31" s="269"/>
      <c r="O31" s="268" t="s">
        <v>796</v>
      </c>
      <c r="P31" s="269"/>
      <c r="Q31" s="749">
        <f>+[4]Consolidado!$F$127</f>
        <v>1395</v>
      </c>
      <c r="R31" s="285"/>
      <c r="S31" s="749">
        <f>+[4]Consolidado!$F$222</f>
        <v>789</v>
      </c>
      <c r="T31" s="285"/>
      <c r="U31" s="749">
        <f>+[4]Consolidado!$F$317</f>
        <v>1</v>
      </c>
      <c r="V31" s="285"/>
      <c r="W31" s="749">
        <f>+[4]Consolidado!$F$412</f>
        <v>0</v>
      </c>
      <c r="X31" s="285"/>
      <c r="Y31" s="286">
        <f>SUM(Q31:W31)</f>
        <v>2185</v>
      </c>
      <c r="Z31" s="269"/>
    </row>
    <row r="32" spans="1:26">
      <c r="A32" s="272" t="s">
        <v>797</v>
      </c>
      <c r="B32" s="273"/>
      <c r="C32" s="749">
        <f>+[3]Consolidado!$D$127</f>
        <v>188</v>
      </c>
      <c r="D32" s="289"/>
      <c r="E32" s="749">
        <f>+[3]Consolidado!$D$222</f>
        <v>57</v>
      </c>
      <c r="F32" s="289"/>
      <c r="G32" s="749">
        <f>+[3]Consolidado!$D$317</f>
        <v>0</v>
      </c>
      <c r="H32" s="289"/>
      <c r="I32" s="749">
        <f>+[3]Consolidado!$D$412</f>
        <v>0</v>
      </c>
      <c r="J32" s="289"/>
      <c r="K32" s="290">
        <f>SUM(C32:I32)</f>
        <v>245</v>
      </c>
      <c r="L32" s="273"/>
      <c r="O32" s="272" t="s">
        <v>797</v>
      </c>
      <c r="P32" s="273"/>
      <c r="Q32" s="749">
        <f>+[4]Consolidado!$D$127</f>
        <v>185</v>
      </c>
      <c r="R32" s="289"/>
      <c r="S32" s="749">
        <f>+[4]Consolidado!$D$222</f>
        <v>37</v>
      </c>
      <c r="T32" s="289"/>
      <c r="U32" s="749">
        <f>+[4]Consolidado!$D$317</f>
        <v>0</v>
      </c>
      <c r="V32" s="289"/>
      <c r="W32" s="749">
        <f>+[4]Consolidado!$D$412</f>
        <v>0</v>
      </c>
      <c r="X32" s="289"/>
      <c r="Y32" s="290">
        <f>SUM(Q32:W32)</f>
        <v>222</v>
      </c>
      <c r="Z32" s="273"/>
    </row>
    <row r="33" spans="1:26">
      <c r="A33" s="279" t="s">
        <v>798</v>
      </c>
      <c r="B33" s="284"/>
      <c r="C33" s="752">
        <f>SUM(C34:C36)</f>
        <v>1525</v>
      </c>
      <c r="D33" s="283"/>
      <c r="E33" s="281">
        <f>SUM(E34:E36)</f>
        <v>770</v>
      </c>
      <c r="F33" s="282"/>
      <c r="G33" s="283">
        <f>SUM(G34:G36)</f>
        <v>3</v>
      </c>
      <c r="H33" s="283"/>
      <c r="I33" s="281">
        <f>SUM(I34:I36)</f>
        <v>0</v>
      </c>
      <c r="J33" s="282"/>
      <c r="K33" s="283">
        <f>SUM(K34:K36)</f>
        <v>2298</v>
      </c>
      <c r="L33" s="284"/>
      <c r="O33" s="279" t="s">
        <v>798</v>
      </c>
      <c r="P33" s="284"/>
      <c r="Q33" s="752">
        <f>SUM(Q34:Q36)</f>
        <v>1580</v>
      </c>
      <c r="R33" s="283"/>
      <c r="S33" s="281">
        <f>SUM(S34:S36)</f>
        <v>826</v>
      </c>
      <c r="T33" s="282"/>
      <c r="U33" s="283">
        <f>SUM(U34:U36)</f>
        <v>1</v>
      </c>
      <c r="V33" s="283"/>
      <c r="W33" s="281">
        <f>SUM(W34:W36)</f>
        <v>0</v>
      </c>
      <c r="X33" s="282"/>
      <c r="Y33" s="283">
        <f>SUM(Y34:Y36)</f>
        <v>2407</v>
      </c>
      <c r="Z33" s="284"/>
    </row>
    <row r="34" spans="1:26">
      <c r="A34" s="268" t="s">
        <v>799</v>
      </c>
      <c r="B34" s="269"/>
      <c r="C34" s="749">
        <f>+[3]Consolidado!$F$137</f>
        <v>1034</v>
      </c>
      <c r="D34" s="286"/>
      <c r="E34" s="749">
        <f>+[3]Consolidado!$F$232</f>
        <v>544</v>
      </c>
      <c r="F34" s="285"/>
      <c r="G34" s="749">
        <f>+[3]Consolidado!$F$327</f>
        <v>0</v>
      </c>
      <c r="H34" s="286"/>
      <c r="I34" s="749">
        <f>+[3]Consolidado!$F$422</f>
        <v>0</v>
      </c>
      <c r="J34" s="285"/>
      <c r="K34" s="286">
        <f>SUM(C34:I34)</f>
        <v>1578</v>
      </c>
      <c r="L34" s="269"/>
      <c r="O34" s="268" t="s">
        <v>799</v>
      </c>
      <c r="P34" s="269"/>
      <c r="Q34" s="749">
        <f>+[4]Consolidado!$F$137</f>
        <v>1065</v>
      </c>
      <c r="R34" s="286"/>
      <c r="S34" s="749">
        <f>+[4]Consolidado!$F$232</f>
        <v>581</v>
      </c>
      <c r="T34" s="285"/>
      <c r="U34" s="749">
        <f>+[4]Consolidado!$F$327</f>
        <v>0</v>
      </c>
      <c r="V34" s="286"/>
      <c r="W34" s="749">
        <f>+[4]Consolidado!$F$422</f>
        <v>0</v>
      </c>
      <c r="X34" s="285"/>
      <c r="Y34" s="286">
        <f>SUM(Q34:W34)</f>
        <v>1646</v>
      </c>
      <c r="Z34" s="269"/>
    </row>
    <row r="35" spans="1:26">
      <c r="A35" s="268" t="s">
        <v>800</v>
      </c>
      <c r="B35" s="269"/>
      <c r="C35" s="749">
        <f>+[3]Consolidado!$G$137</f>
        <v>491</v>
      </c>
      <c r="D35" s="286"/>
      <c r="E35" s="749">
        <f>+[3]Consolidado!$G$232</f>
        <v>205</v>
      </c>
      <c r="F35" s="285"/>
      <c r="G35" s="749">
        <f>+[3]Consolidado!$G$327</f>
        <v>3</v>
      </c>
      <c r="H35" s="286"/>
      <c r="I35" s="749">
        <f>+[3]Consolidado!$G$422</f>
        <v>0</v>
      </c>
      <c r="J35" s="285"/>
      <c r="K35" s="286">
        <f>SUM(C35:I35)</f>
        <v>699</v>
      </c>
      <c r="L35" s="269"/>
      <c r="O35" s="268" t="s">
        <v>800</v>
      </c>
      <c r="P35" s="269"/>
      <c r="Q35" s="749">
        <f>+[4]Consolidado!$G$137</f>
        <v>515</v>
      </c>
      <c r="R35" s="286"/>
      <c r="S35" s="749">
        <f>+[4]Consolidado!$G$232</f>
        <v>245</v>
      </c>
      <c r="T35" s="285"/>
      <c r="U35" s="749">
        <f>+[4]Consolidado!$G$327</f>
        <v>1</v>
      </c>
      <c r="V35" s="286"/>
      <c r="W35" s="749">
        <f>+[4]Consolidado!$G$422</f>
        <v>0</v>
      </c>
      <c r="X35" s="285"/>
      <c r="Y35" s="286">
        <f>SUM(Q35:W35)</f>
        <v>761</v>
      </c>
      <c r="Z35" s="269"/>
    </row>
    <row r="36" spans="1:26">
      <c r="A36" s="291" t="s">
        <v>127</v>
      </c>
      <c r="B36" s="273"/>
      <c r="C36" s="753">
        <f>+[3]Consolidado!$H$137</f>
        <v>0</v>
      </c>
      <c r="D36" s="290"/>
      <c r="E36" s="753">
        <f>+[3]Consolidado!$H$232</f>
        <v>21</v>
      </c>
      <c r="F36" s="289"/>
      <c r="G36" s="753">
        <f>+[3]Consolidado!$H$327</f>
        <v>0</v>
      </c>
      <c r="H36" s="290"/>
      <c r="I36" s="753">
        <f>+[3]Consolidado!$H$422</f>
        <v>0</v>
      </c>
      <c r="J36" s="289"/>
      <c r="K36" s="290">
        <f>SUM(C36:I36)</f>
        <v>21</v>
      </c>
      <c r="L36" s="273"/>
      <c r="O36" s="291" t="s">
        <v>127</v>
      </c>
      <c r="P36" s="273"/>
      <c r="Q36" s="753">
        <f>+[4]Consolidado!$H$137</f>
        <v>0</v>
      </c>
      <c r="R36" s="290"/>
      <c r="S36" s="753">
        <f>+[4]Consolidado!$H$232</f>
        <v>0</v>
      </c>
      <c r="T36" s="289"/>
      <c r="U36" s="753">
        <f>+[4]Consolidado!$H$327</f>
        <v>0</v>
      </c>
      <c r="V36" s="290"/>
      <c r="W36" s="753">
        <f>+[4]Consolidado!$H$422</f>
        <v>0</v>
      </c>
      <c r="X36" s="289"/>
      <c r="Y36" s="290">
        <f>SUM(Q36:W36)</f>
        <v>0</v>
      </c>
      <c r="Z36" s="273"/>
    </row>
    <row r="37" spans="1:26">
      <c r="A37" s="268" t="s">
        <v>801</v>
      </c>
      <c r="B37" s="269"/>
      <c r="C37" s="749">
        <f>SUM(C38:C40)</f>
        <v>1525</v>
      </c>
      <c r="D37" s="283"/>
      <c r="E37" s="281">
        <f>SUM(E38:E40)</f>
        <v>770</v>
      </c>
      <c r="F37" s="282"/>
      <c r="G37" s="283">
        <f>SUM(G38:G40)</f>
        <v>3</v>
      </c>
      <c r="H37" s="283"/>
      <c r="I37" s="281">
        <f>SUM(I38:I40)</f>
        <v>0</v>
      </c>
      <c r="J37" s="282"/>
      <c r="K37" s="286">
        <f>SUM(K38:K40)</f>
        <v>2298</v>
      </c>
      <c r="L37" s="269"/>
      <c r="O37" s="268" t="s">
        <v>801</v>
      </c>
      <c r="P37" s="269"/>
      <c r="Q37" s="749">
        <f>SUM(Q38:Q40)</f>
        <v>1580</v>
      </c>
      <c r="R37" s="283"/>
      <c r="S37" s="281">
        <f>SUM(S38:S40)</f>
        <v>826</v>
      </c>
      <c r="T37" s="282"/>
      <c r="U37" s="283">
        <f>SUM(U38:U40)</f>
        <v>1</v>
      </c>
      <c r="V37" s="283"/>
      <c r="W37" s="281">
        <f>SUM(W38:W40)</f>
        <v>0</v>
      </c>
      <c r="X37" s="282"/>
      <c r="Y37" s="286">
        <f>SUM(Y38:Y40)</f>
        <v>2407</v>
      </c>
      <c r="Z37" s="269"/>
    </row>
    <row r="38" spans="1:26">
      <c r="A38" s="268" t="s">
        <v>802</v>
      </c>
      <c r="B38" s="269"/>
      <c r="C38" s="749">
        <f>+[3]Consolidado!$B$128</f>
        <v>581</v>
      </c>
      <c r="D38" s="286"/>
      <c r="E38" s="749">
        <f>+[3]Consolidado!$B$223</f>
        <v>267</v>
      </c>
      <c r="F38" s="285"/>
      <c r="G38" s="749">
        <f>+[3]Consolidado!$B$318</f>
        <v>3</v>
      </c>
      <c r="H38" s="286"/>
      <c r="I38" s="749">
        <f>+[3]Consolidado!$B$413</f>
        <v>0</v>
      </c>
      <c r="J38" s="285"/>
      <c r="K38" s="286">
        <f>SUM(C38:I38)</f>
        <v>851</v>
      </c>
      <c r="L38" s="269"/>
      <c r="O38" s="268" t="s">
        <v>802</v>
      </c>
      <c r="P38" s="269"/>
      <c r="Q38" s="749">
        <f>+[4]Consolidado!$B$128</f>
        <v>627</v>
      </c>
      <c r="R38" s="286"/>
      <c r="S38" s="749">
        <f>+[4]Consolidado!$B$223</f>
        <v>304</v>
      </c>
      <c r="T38" s="285"/>
      <c r="U38" s="749">
        <f>+[4]Consolidado!$B$318</f>
        <v>1</v>
      </c>
      <c r="V38" s="286"/>
      <c r="W38" s="749">
        <f>+[4]Consolidado!$B$413</f>
        <v>0</v>
      </c>
      <c r="X38" s="285"/>
      <c r="Y38" s="286">
        <f>SUM(Q38:W38)</f>
        <v>932</v>
      </c>
      <c r="Z38" s="269"/>
    </row>
    <row r="39" spans="1:26">
      <c r="A39" s="268" t="s">
        <v>803</v>
      </c>
      <c r="B39" s="269"/>
      <c r="C39" s="749">
        <f>+[3]Consolidado!$B$129</f>
        <v>4</v>
      </c>
      <c r="D39" s="286"/>
      <c r="E39" s="749">
        <f>+[3]Consolidado!$B$224</f>
        <v>13</v>
      </c>
      <c r="F39" s="285"/>
      <c r="G39" s="749">
        <f>+[3]Consolidado!$B$319</f>
        <v>0</v>
      </c>
      <c r="H39" s="286"/>
      <c r="I39" s="749">
        <f>+[3]Consolidado!$B$414</f>
        <v>0</v>
      </c>
      <c r="J39" s="285"/>
      <c r="K39" s="286">
        <f>SUM(C39:I39)</f>
        <v>17</v>
      </c>
      <c r="L39" s="269"/>
      <c r="O39" s="268" t="s">
        <v>803</v>
      </c>
      <c r="P39" s="269"/>
      <c r="Q39" s="749">
        <f>+[4]Consolidado!$B$129</f>
        <v>7</v>
      </c>
      <c r="R39" s="286"/>
      <c r="S39" s="749">
        <f>+[4]Consolidado!$B$224</f>
        <v>10</v>
      </c>
      <c r="T39" s="285"/>
      <c r="U39" s="749">
        <f>+[4]Consolidado!$B$319</f>
        <v>0</v>
      </c>
      <c r="V39" s="286"/>
      <c r="W39" s="749">
        <f>+[4]Consolidado!$B$414</f>
        <v>0</v>
      </c>
      <c r="X39" s="285"/>
      <c r="Y39" s="286">
        <f>SUM(Q39:W39)</f>
        <v>17</v>
      </c>
      <c r="Z39" s="269"/>
    </row>
    <row r="40" spans="1:26">
      <c r="A40" s="272" t="s">
        <v>804</v>
      </c>
      <c r="B40" s="273"/>
      <c r="C40" s="753">
        <f>+[3]Consolidado!$B$130</f>
        <v>940</v>
      </c>
      <c r="D40" s="290"/>
      <c r="E40" s="753">
        <f>+[3]Consolidado!$B$225</f>
        <v>490</v>
      </c>
      <c r="F40" s="289"/>
      <c r="G40" s="753">
        <f>+[3]Consolidado!$B$320</f>
        <v>0</v>
      </c>
      <c r="H40" s="290"/>
      <c r="I40" s="753">
        <f>+[3]Consolidado!$B$415</f>
        <v>0</v>
      </c>
      <c r="J40" s="289"/>
      <c r="K40" s="290">
        <f>SUM(C40:I40)</f>
        <v>1430</v>
      </c>
      <c r="L40" s="273"/>
      <c r="O40" s="272" t="s">
        <v>804</v>
      </c>
      <c r="P40" s="273"/>
      <c r="Q40" s="753">
        <f>+[4]Consolidado!$B$130</f>
        <v>946</v>
      </c>
      <c r="R40" s="290"/>
      <c r="S40" s="753">
        <f>+[4]Consolidado!$B$225</f>
        <v>512</v>
      </c>
      <c r="T40" s="289"/>
      <c r="U40" s="753">
        <f>+[4]Consolidado!$B$320</f>
        <v>0</v>
      </c>
      <c r="V40" s="290"/>
      <c r="W40" s="753">
        <f>+[4]Consolidado!$B$415</f>
        <v>0</v>
      </c>
      <c r="X40" s="289"/>
      <c r="Y40" s="290">
        <f>SUM(Q40:W40)</f>
        <v>1458</v>
      </c>
      <c r="Z40" s="273"/>
    </row>
    <row r="41" spans="1:26">
      <c r="A41" s="277"/>
      <c r="B41" s="277"/>
      <c r="C41" s="277"/>
      <c r="D41" s="277"/>
      <c r="E41" s="277"/>
      <c r="F41" s="277"/>
      <c r="G41" s="277"/>
      <c r="H41" s="277"/>
      <c r="I41" s="277"/>
      <c r="J41" s="277"/>
      <c r="K41" s="277"/>
      <c r="L41" s="277"/>
    </row>
    <row r="42" spans="1:26">
      <c r="A42" s="277"/>
      <c r="B42" s="277"/>
      <c r="C42" s="277"/>
      <c r="D42" s="277"/>
      <c r="E42" s="277"/>
      <c r="F42" s="277"/>
      <c r="G42" s="277"/>
      <c r="H42" s="277"/>
      <c r="I42" s="277"/>
      <c r="J42" s="277"/>
      <c r="K42" s="277"/>
      <c r="L42" s="277"/>
    </row>
    <row r="43" spans="1:26">
      <c r="A43" s="1566" t="s">
        <v>805</v>
      </c>
      <c r="B43" s="1566"/>
      <c r="C43" s="1566"/>
      <c r="D43" s="1566"/>
      <c r="E43" s="1566"/>
      <c r="F43" s="1566"/>
      <c r="G43" s="1566"/>
      <c r="H43" s="1566"/>
      <c r="I43" s="1566"/>
      <c r="J43" s="1566"/>
      <c r="K43" s="1566"/>
      <c r="L43" s="277"/>
    </row>
    <row r="44" spans="1:26">
      <c r="A44" s="277"/>
      <c r="B44" s="277"/>
      <c r="C44" s="277"/>
      <c r="D44" s="277"/>
      <c r="E44" s="277"/>
      <c r="F44" s="277"/>
      <c r="G44" s="277"/>
      <c r="H44" s="277"/>
      <c r="I44" s="277"/>
      <c r="J44" s="277"/>
      <c r="K44" s="277"/>
      <c r="L44" s="277"/>
    </row>
    <row r="45" spans="1:26">
      <c r="A45" s="963" t="s">
        <v>770</v>
      </c>
      <c r="B45" s="963"/>
      <c r="C45" s="1498">
        <v>-15</v>
      </c>
      <c r="D45" s="1498" t="s">
        <v>683</v>
      </c>
      <c r="E45" s="1498" t="s">
        <v>684</v>
      </c>
      <c r="F45" s="1498" t="s">
        <v>685</v>
      </c>
      <c r="G45" s="1498" t="s">
        <v>686</v>
      </c>
      <c r="H45" s="1498" t="s">
        <v>687</v>
      </c>
      <c r="I45" s="1498" t="s">
        <v>688</v>
      </c>
      <c r="J45" s="1498" t="s">
        <v>806</v>
      </c>
      <c r="K45" s="1498" t="s">
        <v>474</v>
      </c>
      <c r="L45" s="277"/>
    </row>
    <row r="46" spans="1:26">
      <c r="A46" s="963" t="s">
        <v>807</v>
      </c>
      <c r="B46" s="963"/>
      <c r="C46" s="293">
        <f>+[3]Consolidado!C$102</f>
        <v>2</v>
      </c>
      <c r="D46" s="293">
        <f>+[3]Consolidado!D$102</f>
        <v>67</v>
      </c>
      <c r="E46" s="293">
        <f>+[3]Consolidado!E$102</f>
        <v>313</v>
      </c>
      <c r="F46" s="293">
        <f>+[3]Consolidado!F$102</f>
        <v>440</v>
      </c>
      <c r="G46" s="293">
        <f>+[3]Consolidado!G$102</f>
        <v>399</v>
      </c>
      <c r="H46" s="293">
        <f>+[3]Consolidado!H$102</f>
        <v>243</v>
      </c>
      <c r="I46" s="293">
        <f>+[3]Consolidado!I$102</f>
        <v>56</v>
      </c>
      <c r="J46" s="293">
        <f>+[3]Consolidado!J$102</f>
        <v>5</v>
      </c>
      <c r="K46" s="293">
        <f>SUM(C46:J46)</f>
        <v>1525</v>
      </c>
      <c r="L46" s="277"/>
    </row>
    <row r="47" spans="1:26">
      <c r="A47" s="963" t="s">
        <v>808</v>
      </c>
      <c r="B47" s="963"/>
      <c r="C47" s="293">
        <f>+[3]Consolidado!C$197</f>
        <v>1</v>
      </c>
      <c r="D47" s="293">
        <f>+[3]Consolidado!D$197</f>
        <v>37</v>
      </c>
      <c r="E47" s="293">
        <f>+[3]Consolidado!E$197</f>
        <v>173</v>
      </c>
      <c r="F47" s="293">
        <f>+[3]Consolidado!F$197</f>
        <v>237</v>
      </c>
      <c r="G47" s="293">
        <f>+[3]Consolidado!G$197</f>
        <v>188</v>
      </c>
      <c r="H47" s="293">
        <f>+[3]Consolidado!H$197</f>
        <v>99</v>
      </c>
      <c r="I47" s="293">
        <f>+[3]Consolidado!I$197</f>
        <v>33</v>
      </c>
      <c r="J47" s="293">
        <f>+[3]Consolidado!J$197</f>
        <v>2</v>
      </c>
      <c r="K47" s="293">
        <f>SUM(C47:J47)</f>
        <v>770</v>
      </c>
      <c r="L47" s="277"/>
    </row>
    <row r="48" spans="1:26">
      <c r="A48" s="963" t="s">
        <v>809</v>
      </c>
      <c r="B48" s="963"/>
      <c r="C48" s="293">
        <f>+[3]Consolidado!C$292</f>
        <v>0</v>
      </c>
      <c r="D48" s="293">
        <f>+[3]Consolidado!D$292</f>
        <v>0</v>
      </c>
      <c r="E48" s="293">
        <f>+[3]Consolidado!E$292</f>
        <v>0</v>
      </c>
      <c r="F48" s="293">
        <f>+[3]Consolidado!F$292</f>
        <v>2</v>
      </c>
      <c r="G48" s="293">
        <f>+[3]Consolidado!G$292</f>
        <v>1</v>
      </c>
      <c r="H48" s="293">
        <f>+[3]Consolidado!H$292</f>
        <v>0</v>
      </c>
      <c r="I48" s="293">
        <f>+[3]Consolidado!I$292</f>
        <v>0</v>
      </c>
      <c r="J48" s="293">
        <f>+[3]Consolidado!J$292</f>
        <v>0</v>
      </c>
      <c r="K48" s="293">
        <f>SUM(C48:J48)</f>
        <v>3</v>
      </c>
      <c r="L48" s="277"/>
    </row>
    <row r="49" spans="1:13">
      <c r="A49" s="963" t="s">
        <v>810</v>
      </c>
      <c r="B49" s="963"/>
      <c r="C49" s="293">
        <f>+[3]Consolidado!C$387</f>
        <v>0</v>
      </c>
      <c r="D49" s="293">
        <f>+[3]Consolidado!D$387</f>
        <v>0</v>
      </c>
      <c r="E49" s="293">
        <f>+[3]Consolidado!E$387</f>
        <v>0</v>
      </c>
      <c r="F49" s="293">
        <f>+[3]Consolidado!F$387</f>
        <v>0</v>
      </c>
      <c r="G49" s="293">
        <f>+[3]Consolidado!G$387</f>
        <v>0</v>
      </c>
      <c r="H49" s="293">
        <f>+[3]Consolidado!H$387</f>
        <v>0</v>
      </c>
      <c r="I49" s="293">
        <f>+[3]Consolidado!I$387</f>
        <v>0</v>
      </c>
      <c r="J49" s="293">
        <f>+[3]Consolidado!J$387</f>
        <v>0</v>
      </c>
      <c r="K49" s="293">
        <f>SUM(C49:J49)</f>
        <v>0</v>
      </c>
      <c r="L49" s="277"/>
    </row>
    <row r="50" spans="1:13">
      <c r="A50" s="963" t="s">
        <v>474</v>
      </c>
      <c r="B50" s="963"/>
      <c r="C50" s="292">
        <f>SUM(C46:C49)</f>
        <v>3</v>
      </c>
      <c r="D50" s="292">
        <f t="shared" ref="D50:K50" si="2">SUM(D46:D49)</f>
        <v>104</v>
      </c>
      <c r="E50" s="292">
        <f t="shared" si="2"/>
        <v>486</v>
      </c>
      <c r="F50" s="292">
        <f t="shared" si="2"/>
        <v>679</v>
      </c>
      <c r="G50" s="292">
        <f t="shared" si="2"/>
        <v>588</v>
      </c>
      <c r="H50" s="292">
        <f t="shared" si="2"/>
        <v>342</v>
      </c>
      <c r="I50" s="292">
        <f t="shared" si="2"/>
        <v>89</v>
      </c>
      <c r="J50" s="292">
        <f t="shared" si="2"/>
        <v>7</v>
      </c>
      <c r="K50" s="293">
        <f t="shared" si="2"/>
        <v>2298</v>
      </c>
      <c r="L50" s="277"/>
      <c r="M50" s="1500"/>
    </row>
    <row r="51" spans="1:13">
      <c r="A51" s="277"/>
      <c r="B51" s="277"/>
      <c r="C51" s="277"/>
      <c r="D51" s="277"/>
      <c r="E51" s="277"/>
      <c r="F51" s="277"/>
      <c r="G51" s="277"/>
      <c r="H51" s="277"/>
      <c r="I51" s="277"/>
      <c r="J51" s="277"/>
      <c r="K51" s="277"/>
      <c r="L51" s="277"/>
    </row>
    <row r="52" spans="1:13">
      <c r="A52" s="277"/>
      <c r="B52" s="277"/>
      <c r="C52" s="277"/>
      <c r="D52" s="277"/>
      <c r="E52" s="277"/>
      <c r="F52" s="277"/>
      <c r="G52" s="277"/>
      <c r="H52" s="277"/>
      <c r="I52" s="277"/>
      <c r="J52" s="277"/>
      <c r="K52" s="277"/>
      <c r="L52" s="277"/>
    </row>
    <row r="53" spans="1:13">
      <c r="A53" s="1566" t="s">
        <v>811</v>
      </c>
      <c r="B53" s="1566"/>
      <c r="C53" s="1566"/>
      <c r="D53" s="1566"/>
      <c r="E53" s="1566"/>
      <c r="F53" s="1566"/>
      <c r="G53" s="1566"/>
      <c r="H53" s="1566"/>
      <c r="I53" s="1566"/>
      <c r="J53" s="1566"/>
      <c r="K53" s="1566"/>
      <c r="L53" s="277"/>
    </row>
    <row r="54" spans="1:13">
      <c r="A54" s="277"/>
      <c r="B54" s="277"/>
      <c r="C54" s="277"/>
      <c r="D54" s="277"/>
      <c r="E54" s="277"/>
      <c r="F54" s="277"/>
      <c r="G54" s="277"/>
      <c r="H54" s="277"/>
      <c r="I54" s="277"/>
      <c r="J54" s="277"/>
      <c r="K54" s="277"/>
      <c r="L54" s="277"/>
    </row>
    <row r="55" spans="1:13">
      <c r="A55" s="963" t="s">
        <v>770</v>
      </c>
      <c r="B55" s="963"/>
      <c r="C55" s="1498">
        <v>-15</v>
      </c>
      <c r="D55" s="1498" t="s">
        <v>683</v>
      </c>
      <c r="E55" s="1498" t="s">
        <v>684</v>
      </c>
      <c r="F55" s="1498" t="s">
        <v>685</v>
      </c>
      <c r="G55" s="1498" t="s">
        <v>686</v>
      </c>
      <c r="H55" s="1498" t="s">
        <v>687</v>
      </c>
      <c r="I55" s="1498" t="s">
        <v>688</v>
      </c>
      <c r="J55" s="1498" t="s">
        <v>806</v>
      </c>
      <c r="K55" s="1498" t="s">
        <v>474</v>
      </c>
      <c r="L55" s="277"/>
    </row>
    <row r="56" spans="1:13">
      <c r="A56" s="963" t="s">
        <v>812</v>
      </c>
      <c r="B56" s="963"/>
      <c r="C56" s="293">
        <f>+[3]Consolidado!C$103</f>
        <v>0</v>
      </c>
      <c r="D56" s="293">
        <f>+[3]Consolidado!D$103</f>
        <v>0</v>
      </c>
      <c r="E56" s="293">
        <f>+[3]Consolidado!E$103</f>
        <v>4</v>
      </c>
      <c r="F56" s="293">
        <f>+[3]Consolidado!F$103</f>
        <v>4</v>
      </c>
      <c r="G56" s="293">
        <f>+[3]Consolidado!G$103</f>
        <v>5</v>
      </c>
      <c r="H56" s="293">
        <f>+[3]Consolidado!H$103</f>
        <v>4</v>
      </c>
      <c r="I56" s="293">
        <f>+[3]Consolidado!I$103</f>
        <v>2</v>
      </c>
      <c r="J56" s="293">
        <f>+[3]Consolidado!J$103</f>
        <v>0</v>
      </c>
      <c r="K56" s="292">
        <f>SUM(C56:J56)</f>
        <v>19</v>
      </c>
      <c r="L56" s="277"/>
    </row>
    <row r="57" spans="1:13">
      <c r="A57" s="963" t="s">
        <v>808</v>
      </c>
      <c r="B57" s="963"/>
      <c r="C57" s="293">
        <f>+[3]Consolidado!C$198</f>
        <v>0</v>
      </c>
      <c r="D57" s="293">
        <f>+[3]Consolidado!D$198</f>
        <v>3</v>
      </c>
      <c r="E57" s="293">
        <f>+[3]Consolidado!E$198</f>
        <v>16</v>
      </c>
      <c r="F57" s="293">
        <f>+[3]Consolidado!F$198</f>
        <v>27</v>
      </c>
      <c r="G57" s="293">
        <f>+[3]Consolidado!G$198</f>
        <v>30</v>
      </c>
      <c r="H57" s="293">
        <f>+[3]Consolidado!H$198</f>
        <v>17</v>
      </c>
      <c r="I57" s="293">
        <f>+[3]Consolidado!I$198</f>
        <v>11</v>
      </c>
      <c r="J57" s="293">
        <f>+[3]Consolidado!J$198</f>
        <v>0</v>
      </c>
      <c r="K57" s="292">
        <f>SUM(C57:J57)</f>
        <v>104</v>
      </c>
      <c r="L57" s="277"/>
    </row>
    <row r="58" spans="1:13">
      <c r="A58" s="963" t="s">
        <v>809</v>
      </c>
      <c r="B58" s="963"/>
      <c r="C58" s="293">
        <f>+[3]Consolidado!C$293</f>
        <v>0</v>
      </c>
      <c r="D58" s="293">
        <f>+[3]Consolidado!D$293</f>
        <v>0</v>
      </c>
      <c r="E58" s="293">
        <f>+[3]Consolidado!E$293</f>
        <v>0</v>
      </c>
      <c r="F58" s="293">
        <f>+[3]Consolidado!F$293</f>
        <v>0</v>
      </c>
      <c r="G58" s="293">
        <f>+[3]Consolidado!G$293</f>
        <v>0</v>
      </c>
      <c r="H58" s="293">
        <f>+[3]Consolidado!H$293</f>
        <v>0</v>
      </c>
      <c r="I58" s="293">
        <f>+[3]Consolidado!I$293</f>
        <v>0</v>
      </c>
      <c r="J58" s="293">
        <f>+[3]Consolidado!J$293</f>
        <v>0</v>
      </c>
      <c r="K58" s="292">
        <f>SUM(C58:J58)</f>
        <v>0</v>
      </c>
      <c r="L58" s="277"/>
    </row>
    <row r="59" spans="1:13">
      <c r="A59" s="1501" t="s">
        <v>810</v>
      </c>
      <c r="B59" s="1501"/>
      <c r="C59" s="293">
        <f>+[3]Consolidado!C$388</f>
        <v>0</v>
      </c>
      <c r="D59" s="293">
        <f>+[3]Consolidado!D$388</f>
        <v>0</v>
      </c>
      <c r="E59" s="293">
        <f>+[3]Consolidado!E$388</f>
        <v>0</v>
      </c>
      <c r="F59" s="293">
        <f>+[3]Consolidado!F$388</f>
        <v>0</v>
      </c>
      <c r="G59" s="293">
        <f>+[3]Consolidado!G$388</f>
        <v>0</v>
      </c>
      <c r="H59" s="293">
        <f>+[3]Consolidado!H$388</f>
        <v>0</v>
      </c>
      <c r="I59" s="293">
        <f>+[3]Consolidado!I$388</f>
        <v>0</v>
      </c>
      <c r="J59" s="293">
        <f>+[3]Consolidado!J$388</f>
        <v>0</v>
      </c>
      <c r="K59" s="292">
        <f>SUM(C59:J59)</f>
        <v>0</v>
      </c>
      <c r="L59" s="277"/>
    </row>
    <row r="60" spans="1:13">
      <c r="A60" s="1502" t="s">
        <v>474</v>
      </c>
      <c r="B60" s="1503"/>
      <c r="C60" s="292">
        <f>SUM(C56:C59)</f>
        <v>0</v>
      </c>
      <c r="D60" s="292">
        <f t="shared" ref="D60:K60" si="3">SUM(D56:D59)</f>
        <v>3</v>
      </c>
      <c r="E60" s="292">
        <f t="shared" si="3"/>
        <v>20</v>
      </c>
      <c r="F60" s="292">
        <f t="shared" si="3"/>
        <v>31</v>
      </c>
      <c r="G60" s="292">
        <f t="shared" si="3"/>
        <v>35</v>
      </c>
      <c r="H60" s="292">
        <f t="shared" si="3"/>
        <v>21</v>
      </c>
      <c r="I60" s="292">
        <f t="shared" si="3"/>
        <v>13</v>
      </c>
      <c r="J60" s="292">
        <f t="shared" si="3"/>
        <v>0</v>
      </c>
      <c r="K60" s="292">
        <f t="shared" si="3"/>
        <v>123</v>
      </c>
      <c r="L60" s="277"/>
    </row>
    <row r="61" spans="1:13">
      <c r="A61" s="277"/>
      <c r="B61" s="277"/>
      <c r="C61" s="277"/>
      <c r="D61" s="277"/>
      <c r="E61" s="277"/>
      <c r="F61" s="277"/>
      <c r="G61" s="277"/>
      <c r="H61" s="277"/>
      <c r="I61" s="277"/>
      <c r="J61" s="277"/>
      <c r="K61" s="277"/>
      <c r="L61" s="277"/>
    </row>
    <row r="62" spans="1:13">
      <c r="A62" s="277"/>
      <c r="B62" s="277"/>
      <c r="C62" s="277"/>
      <c r="D62" s="277"/>
      <c r="E62" s="277"/>
      <c r="F62" s="277"/>
      <c r="G62" s="277"/>
      <c r="H62" s="277"/>
      <c r="I62" s="277"/>
      <c r="J62" s="277"/>
      <c r="K62" s="277"/>
      <c r="L62" s="277"/>
    </row>
    <row r="63" spans="1:13">
      <c r="A63" s="277"/>
      <c r="B63" s="277"/>
      <c r="C63" s="277"/>
      <c r="D63" s="277"/>
      <c r="E63" s="277"/>
      <c r="F63" s="277"/>
      <c r="G63" s="277"/>
      <c r="H63" s="277"/>
      <c r="I63" s="277"/>
      <c r="J63" s="277"/>
      <c r="K63" s="277"/>
      <c r="L63" s="277"/>
    </row>
    <row r="64" spans="1:13">
      <c r="A64" s="277"/>
      <c r="B64" s="277"/>
      <c r="C64" s="277"/>
      <c r="D64" s="277"/>
      <c r="E64" s="277"/>
      <c r="F64" s="277"/>
      <c r="G64" s="277"/>
      <c r="H64" s="277"/>
      <c r="I64" s="277"/>
      <c r="J64" s="277"/>
      <c r="K64" s="277"/>
      <c r="L64" s="277"/>
    </row>
    <row r="65" spans="1:12">
      <c r="A65" s="277"/>
      <c r="B65" s="277"/>
      <c r="C65" s="277"/>
      <c r="D65" s="277"/>
      <c r="E65" s="277"/>
      <c r="F65" s="277"/>
      <c r="G65" s="277"/>
      <c r="H65" s="277"/>
      <c r="I65" s="277"/>
      <c r="J65" s="277"/>
      <c r="K65" s="277"/>
      <c r="L65" s="277"/>
    </row>
    <row r="66" spans="1:12">
      <c r="A66" s="277"/>
      <c r="B66" s="277"/>
      <c r="C66" s="277"/>
      <c r="D66" s="277"/>
      <c r="E66" s="277"/>
      <c r="F66" s="277"/>
      <c r="G66" s="277"/>
      <c r="H66" s="277"/>
      <c r="I66" s="277"/>
      <c r="J66" s="277"/>
      <c r="K66" s="277"/>
      <c r="L66" s="277"/>
    </row>
    <row r="67" spans="1:12">
      <c r="A67" s="277"/>
      <c r="B67" s="277"/>
      <c r="C67" s="277"/>
      <c r="D67" s="277"/>
      <c r="E67" s="277"/>
      <c r="F67" s="277"/>
      <c r="G67" s="277"/>
      <c r="H67" s="277"/>
      <c r="I67" s="277"/>
      <c r="J67" s="277"/>
      <c r="K67" s="277"/>
      <c r="L67" s="277"/>
    </row>
    <row r="68" spans="1:12">
      <c r="A68" s="277"/>
      <c r="B68" s="277"/>
      <c r="C68" s="277"/>
      <c r="D68" s="277"/>
      <c r="E68" s="277"/>
      <c r="F68" s="277"/>
      <c r="G68" s="277"/>
      <c r="H68" s="277"/>
      <c r="I68" s="277"/>
      <c r="J68" s="277"/>
      <c r="K68" s="277"/>
      <c r="L68" s="277"/>
    </row>
    <row r="69" spans="1:12">
      <c r="A69" s="277"/>
      <c r="B69" s="277"/>
      <c r="C69" s="277"/>
      <c r="D69" s="277"/>
      <c r="E69" s="277"/>
      <c r="F69" s="277"/>
      <c r="G69" s="277"/>
      <c r="H69" s="277"/>
      <c r="I69" s="277"/>
      <c r="J69" s="277"/>
      <c r="K69" s="277"/>
      <c r="L69" s="277"/>
    </row>
    <row r="70" spans="1:12">
      <c r="A70" s="277"/>
      <c r="B70" s="277"/>
      <c r="C70" s="277"/>
      <c r="D70" s="277"/>
      <c r="E70" s="277"/>
      <c r="F70" s="277"/>
      <c r="G70" s="277"/>
      <c r="H70" s="277"/>
      <c r="I70" s="277"/>
      <c r="J70" s="277"/>
      <c r="K70" s="277"/>
      <c r="L70" s="277"/>
    </row>
    <row r="71" spans="1:12">
      <c r="A71" s="277"/>
      <c r="B71" s="277"/>
      <c r="C71" s="277"/>
      <c r="D71" s="277"/>
      <c r="E71" s="277"/>
      <c r="F71" s="277"/>
      <c r="G71" s="277"/>
      <c r="H71" s="277"/>
      <c r="I71" s="277"/>
      <c r="J71" s="277"/>
      <c r="K71" s="277"/>
      <c r="L71" s="277"/>
    </row>
    <row r="72" spans="1:12">
      <c r="A72" s="277"/>
      <c r="B72" s="277"/>
      <c r="C72" s="277"/>
      <c r="D72" s="277"/>
      <c r="E72" s="277"/>
      <c r="F72" s="277"/>
      <c r="G72" s="277"/>
      <c r="H72" s="277"/>
      <c r="I72" s="277"/>
      <c r="J72" s="277"/>
      <c r="K72" s="277"/>
      <c r="L72" s="277"/>
    </row>
    <row r="73" spans="1:12" s="1069" customFormat="1">
      <c r="A73" s="1147"/>
      <c r="B73" s="1566" t="s">
        <v>813</v>
      </c>
      <c r="C73" s="1566"/>
      <c r="D73" s="1566"/>
      <c r="E73" s="1566"/>
      <c r="F73" s="1566"/>
      <c r="G73" s="1566"/>
      <c r="H73" s="1566"/>
      <c r="I73" s="1566"/>
      <c r="J73" s="1566"/>
      <c r="K73" s="1566"/>
      <c r="L73" s="1147"/>
    </row>
    <row r="74" spans="1:12" s="1069" customFormat="1">
      <c r="A74" s="1147"/>
      <c r="B74" s="1566" t="s">
        <v>814</v>
      </c>
      <c r="C74" s="1566"/>
      <c r="D74" s="1566"/>
      <c r="E74" s="1566"/>
      <c r="F74" s="1566"/>
      <c r="G74" s="1566"/>
      <c r="H74" s="1566"/>
      <c r="I74" s="1566"/>
      <c r="J74" s="1566"/>
      <c r="K74" s="1566"/>
      <c r="L74" s="1147"/>
    </row>
    <row r="75" spans="1:12" s="1069" customFormat="1">
      <c r="A75" s="1147"/>
      <c r="B75" s="1566" t="s">
        <v>1577</v>
      </c>
      <c r="C75" s="1566"/>
      <c r="D75" s="1566"/>
      <c r="E75" s="1566"/>
      <c r="F75" s="1566"/>
      <c r="G75" s="1566"/>
      <c r="H75" s="1566"/>
      <c r="I75" s="1566"/>
      <c r="J75" s="1566"/>
      <c r="K75" s="1566"/>
      <c r="L75" s="1147"/>
    </row>
    <row r="76" spans="1:12">
      <c r="A76" s="277"/>
      <c r="B76" s="294"/>
      <c r="C76" s="294"/>
      <c r="D76" s="294"/>
      <c r="E76" s="294"/>
      <c r="F76" s="294"/>
      <c r="G76" s="294"/>
      <c r="H76" s="294"/>
      <c r="I76" s="294"/>
      <c r="J76" s="294"/>
      <c r="K76" s="294"/>
      <c r="L76" s="277"/>
    </row>
    <row r="77" spans="1:12">
      <c r="A77" s="277"/>
      <c r="B77" s="277"/>
      <c r="C77" s="277"/>
      <c r="D77" s="277"/>
      <c r="E77" s="277"/>
      <c r="F77" s="277"/>
      <c r="G77" s="277"/>
      <c r="H77" s="277"/>
      <c r="I77" s="277"/>
      <c r="J77" s="277"/>
      <c r="K77" s="277"/>
      <c r="L77" s="277"/>
    </row>
    <row r="78" spans="1:12">
      <c r="A78" s="277"/>
      <c r="B78" s="277"/>
      <c r="C78" s="277"/>
      <c r="D78" s="277"/>
      <c r="E78" s="277"/>
      <c r="F78" s="277"/>
      <c r="G78" s="277"/>
      <c r="H78" s="277"/>
      <c r="I78" s="277"/>
      <c r="J78" s="277"/>
      <c r="K78" s="277"/>
      <c r="L78" s="277"/>
    </row>
    <row r="79" spans="1:12">
      <c r="A79" s="277"/>
      <c r="B79" s="277"/>
      <c r="C79" s="277"/>
      <c r="D79" s="277"/>
      <c r="E79" s="277"/>
      <c r="F79" s="277"/>
      <c r="G79" s="277"/>
      <c r="H79" s="277"/>
      <c r="I79" s="277"/>
      <c r="J79" s="277"/>
      <c r="K79" s="277"/>
      <c r="L79" s="277"/>
    </row>
    <row r="80" spans="1:12">
      <c r="A80" s="277"/>
      <c r="B80" s="1566" t="s">
        <v>815</v>
      </c>
      <c r="C80" s="1566"/>
      <c r="D80" s="1566"/>
      <c r="E80" s="1566"/>
      <c r="F80" s="1566"/>
      <c r="G80" s="1566"/>
      <c r="H80" s="1566"/>
      <c r="I80" s="1566"/>
      <c r="J80" s="1566"/>
      <c r="K80" s="1566"/>
      <c r="L80" s="277"/>
    </row>
    <row r="81" spans="1:14">
      <c r="A81" s="277"/>
      <c r="B81" s="277"/>
      <c r="C81" s="277"/>
      <c r="D81" s="277"/>
      <c r="E81" s="277"/>
      <c r="F81" s="277"/>
      <c r="G81" s="277"/>
      <c r="H81" s="277"/>
      <c r="I81" s="277"/>
      <c r="J81" s="277"/>
      <c r="K81" s="277"/>
      <c r="L81" s="277"/>
    </row>
    <row r="82" spans="1:14">
      <c r="A82" s="277"/>
      <c r="B82" s="1498" t="s">
        <v>597</v>
      </c>
      <c r="C82" s="1499">
        <v>-15</v>
      </c>
      <c r="D82" s="1498" t="s">
        <v>683</v>
      </c>
      <c r="E82" s="1498" t="s">
        <v>684</v>
      </c>
      <c r="F82" s="1498" t="s">
        <v>685</v>
      </c>
      <c r="G82" s="1498" t="s">
        <v>686</v>
      </c>
      <c r="H82" s="1498" t="s">
        <v>687</v>
      </c>
      <c r="I82" s="1498" t="s">
        <v>688</v>
      </c>
      <c r="J82" s="1498" t="s">
        <v>806</v>
      </c>
      <c r="K82" s="1498" t="s">
        <v>474</v>
      </c>
      <c r="L82" s="277"/>
    </row>
    <row r="83" spans="1:14">
      <c r="A83" s="277"/>
      <c r="B83" s="295">
        <v>2017</v>
      </c>
      <c r="C83" s="296">
        <v>0.26962252846015577</v>
      </c>
      <c r="D83" s="296">
        <v>11.503894547633314</v>
      </c>
      <c r="E83" s="296">
        <v>23.397243858597964</v>
      </c>
      <c r="F83" s="296">
        <v>27.801078490113838</v>
      </c>
      <c r="G83" s="296">
        <v>22.228879568603954</v>
      </c>
      <c r="H83" s="296">
        <v>11.054523666866386</v>
      </c>
      <c r="I83" s="296">
        <v>3.6249251048532058</v>
      </c>
      <c r="J83" s="296">
        <v>0.11983223487118035</v>
      </c>
      <c r="K83" s="266">
        <v>100.00000000000001</v>
      </c>
      <c r="L83" s="277"/>
    </row>
    <row r="84" spans="1:14">
      <c r="A84" s="277"/>
      <c r="B84" s="295">
        <v>2018</v>
      </c>
      <c r="C84" s="296">
        <v>0.15878056525881232</v>
      </c>
      <c r="D84" s="296">
        <v>7.780247697681804</v>
      </c>
      <c r="E84" s="296">
        <v>22.610352492854872</v>
      </c>
      <c r="F84" s="296">
        <v>29.977770720863766</v>
      </c>
      <c r="G84" s="296">
        <v>23.658304223563036</v>
      </c>
      <c r="H84" s="296">
        <v>12.099079072721498</v>
      </c>
      <c r="I84" s="296">
        <v>3.3979040965385834</v>
      </c>
      <c r="J84" s="296">
        <v>0.31756113051762463</v>
      </c>
      <c r="K84" s="297">
        <v>99.999999999999986</v>
      </c>
      <c r="L84" s="277"/>
    </row>
    <row r="85" spans="1:14">
      <c r="A85" s="277"/>
      <c r="B85" s="295">
        <v>2019</v>
      </c>
      <c r="C85" s="296">
        <v>0.23964395754878468</v>
      </c>
      <c r="D85" s="296">
        <v>7.2920232796987339</v>
      </c>
      <c r="E85" s="296">
        <v>20.061622731941117</v>
      </c>
      <c r="F85" s="296">
        <v>31.598767545361177</v>
      </c>
      <c r="G85" s="296">
        <v>23.416638137624101</v>
      </c>
      <c r="H85" s="296">
        <v>13.762410133515921</v>
      </c>
      <c r="I85" s="296">
        <v>3.4234851078397806</v>
      </c>
      <c r="J85" s="296">
        <v>0.20540910647038688</v>
      </c>
      <c r="K85" s="297">
        <v>100.00000000000001</v>
      </c>
      <c r="L85" s="277"/>
    </row>
    <row r="86" spans="1:14">
      <c r="A86" s="277"/>
      <c r="B86" s="295">
        <v>2020</v>
      </c>
      <c r="C86" s="919">
        <v>7.564296520423601E-2</v>
      </c>
      <c r="D86" s="919">
        <v>5.7110438729198183</v>
      </c>
      <c r="E86" s="919">
        <v>18.154311649016641</v>
      </c>
      <c r="F86" s="919">
        <v>27.344931921331316</v>
      </c>
      <c r="G86" s="919">
        <v>26.059001512859304</v>
      </c>
      <c r="H86" s="919">
        <v>15.809379727685325</v>
      </c>
      <c r="I86" s="919">
        <v>5.9001512859304084</v>
      </c>
      <c r="J86" s="919">
        <v>0.9455370650529501</v>
      </c>
      <c r="K86" s="920">
        <v>100</v>
      </c>
      <c r="L86" s="277"/>
    </row>
    <row r="87" spans="1:14">
      <c r="A87" s="277"/>
      <c r="B87" s="295">
        <v>2021</v>
      </c>
      <c r="C87" s="296">
        <v>4.506534474988734E-2</v>
      </c>
      <c r="D87" s="296">
        <v>4.9121225777377191</v>
      </c>
      <c r="E87" s="296">
        <v>19.873817034700316</v>
      </c>
      <c r="F87" s="296">
        <v>29.202343397926995</v>
      </c>
      <c r="G87" s="296">
        <v>26.453357368183866</v>
      </c>
      <c r="H87" s="296">
        <v>15.006759801712482</v>
      </c>
      <c r="I87" s="296">
        <v>4.3713384407390716</v>
      </c>
      <c r="J87" s="296">
        <v>0.13519603424966201</v>
      </c>
      <c r="K87" s="297">
        <v>99.999999999999986</v>
      </c>
      <c r="L87" s="277"/>
    </row>
    <row r="88" spans="1:14">
      <c r="A88" s="277"/>
      <c r="B88" s="295">
        <v>2022</v>
      </c>
      <c r="C88" s="296">
        <v>8.3090984628167844E-2</v>
      </c>
      <c r="D88" s="296">
        <v>4.943913585375987</v>
      </c>
      <c r="E88" s="296">
        <v>20.024927295388451</v>
      </c>
      <c r="F88" s="296">
        <v>27.752388865808058</v>
      </c>
      <c r="G88" s="296">
        <v>28.209389281262983</v>
      </c>
      <c r="H88" s="296">
        <v>15.081013710012463</v>
      </c>
      <c r="I88" s="296">
        <v>3.6560033236393856</v>
      </c>
      <c r="J88" s="296">
        <v>0.24927295388450355</v>
      </c>
      <c r="K88" s="297">
        <v>100</v>
      </c>
      <c r="L88" s="277"/>
    </row>
    <row r="89" spans="1:14">
      <c r="A89" s="277"/>
      <c r="B89" s="298">
        <v>2023</v>
      </c>
      <c r="C89" s="299">
        <f t="shared" ref="C89:J89" si="4">+C50/$K50*100</f>
        <v>0.13054830287206268</v>
      </c>
      <c r="D89" s="299">
        <f t="shared" si="4"/>
        <v>4.5256744995648388</v>
      </c>
      <c r="E89" s="299">
        <f t="shared" si="4"/>
        <v>21.148825065274153</v>
      </c>
      <c r="F89" s="299">
        <f t="shared" si="4"/>
        <v>29.547432550043517</v>
      </c>
      <c r="G89" s="299">
        <f t="shared" si="4"/>
        <v>25.587467362924283</v>
      </c>
      <c r="H89" s="299">
        <f t="shared" si="4"/>
        <v>14.882506527415144</v>
      </c>
      <c r="I89" s="299">
        <f t="shared" si="4"/>
        <v>3.8729329852045256</v>
      </c>
      <c r="J89" s="299">
        <f t="shared" si="4"/>
        <v>0.30461270670147955</v>
      </c>
      <c r="K89" s="267">
        <f>SUM(C89:J89)</f>
        <v>100</v>
      </c>
      <c r="L89" s="277"/>
      <c r="N89" s="588"/>
    </row>
    <row r="90" spans="1:14">
      <c r="A90" s="277"/>
      <c r="B90" s="277"/>
      <c r="C90" s="277"/>
      <c r="D90" s="277"/>
      <c r="E90" s="277"/>
      <c r="F90" s="277"/>
      <c r="G90" s="277"/>
      <c r="H90" s="277"/>
      <c r="I90" s="277"/>
      <c r="J90" s="277"/>
      <c r="K90" s="277"/>
      <c r="L90" s="277"/>
    </row>
    <row r="91" spans="1:14">
      <c r="A91" s="277"/>
      <c r="B91" s="277"/>
      <c r="C91" s="277"/>
      <c r="D91" s="277"/>
      <c r="E91" s="277"/>
      <c r="F91" s="277"/>
      <c r="G91" s="277"/>
      <c r="H91" s="277"/>
      <c r="I91" s="277"/>
      <c r="J91" s="277"/>
      <c r="K91" s="277"/>
      <c r="L91" s="277"/>
    </row>
    <row r="92" spans="1:14">
      <c r="A92" s="277"/>
      <c r="B92" s="1566" t="s">
        <v>816</v>
      </c>
      <c r="C92" s="1566"/>
      <c r="D92" s="1566"/>
      <c r="E92" s="1566"/>
      <c r="F92" s="1566"/>
      <c r="G92" s="1566"/>
      <c r="H92" s="1566"/>
      <c r="I92" s="1566"/>
      <c r="J92" s="1566"/>
      <c r="K92" s="1566"/>
      <c r="L92" s="277"/>
    </row>
    <row r="93" spans="1:14">
      <c r="A93" s="277"/>
      <c r="B93" s="277"/>
      <c r="C93" s="277"/>
      <c r="D93" s="277"/>
      <c r="E93" s="277"/>
      <c r="F93" s="277"/>
      <c r="G93" s="277"/>
      <c r="H93" s="277"/>
      <c r="I93" s="277"/>
      <c r="J93" s="277"/>
      <c r="K93" s="277"/>
      <c r="L93" s="277"/>
    </row>
    <row r="94" spans="1:14">
      <c r="A94" s="277"/>
      <c r="B94" s="1498" t="s">
        <v>597</v>
      </c>
      <c r="C94" s="1498">
        <v>-15</v>
      </c>
      <c r="D94" s="1498" t="s">
        <v>683</v>
      </c>
      <c r="E94" s="1498" t="s">
        <v>684</v>
      </c>
      <c r="F94" s="1498" t="s">
        <v>685</v>
      </c>
      <c r="G94" s="1498" t="s">
        <v>686</v>
      </c>
      <c r="H94" s="1498" t="s">
        <v>687</v>
      </c>
      <c r="I94" s="1498" t="s">
        <v>688</v>
      </c>
      <c r="J94" s="1498" t="s">
        <v>806</v>
      </c>
      <c r="K94" s="1498" t="s">
        <v>474</v>
      </c>
      <c r="L94" s="277"/>
    </row>
    <row r="95" spans="1:14">
      <c r="A95" s="277"/>
      <c r="B95" s="295">
        <f>+B83</f>
        <v>2017</v>
      </c>
      <c r="C95" s="296">
        <v>0.5988023952095809</v>
      </c>
      <c r="D95" s="296">
        <v>6.88622754491018</v>
      </c>
      <c r="E95" s="296">
        <v>20.958083832335326</v>
      </c>
      <c r="F95" s="296">
        <v>24.850299401197603</v>
      </c>
      <c r="G95" s="296">
        <v>20.059880239520957</v>
      </c>
      <c r="H95" s="296">
        <v>15.269461077844312</v>
      </c>
      <c r="I95" s="296">
        <v>10.179640718562874</v>
      </c>
      <c r="J95" s="296">
        <v>1.1976047904191618</v>
      </c>
      <c r="K95" s="266">
        <v>100</v>
      </c>
      <c r="L95" s="277"/>
    </row>
    <row r="96" spans="1:14">
      <c r="A96" s="277"/>
      <c r="B96" s="295">
        <f>+B84</f>
        <v>2018</v>
      </c>
      <c r="C96" s="296">
        <v>0</v>
      </c>
      <c r="D96" s="296">
        <v>7.2289156626506017</v>
      </c>
      <c r="E96" s="296">
        <v>20.080321285140563</v>
      </c>
      <c r="F96" s="296">
        <v>28.112449799196789</v>
      </c>
      <c r="G96" s="296">
        <v>19.678714859437751</v>
      </c>
      <c r="H96" s="296">
        <v>17.269076305220885</v>
      </c>
      <c r="I96" s="296">
        <v>7.2289156626506017</v>
      </c>
      <c r="J96" s="296">
        <v>0.40160642570281119</v>
      </c>
      <c r="K96" s="297">
        <v>100</v>
      </c>
      <c r="L96" s="277"/>
    </row>
    <row r="97" spans="1:12">
      <c r="A97" s="277"/>
      <c r="B97" s="295">
        <f>+B85</f>
        <v>2019</v>
      </c>
      <c r="C97" s="296">
        <v>1.6260162601626018</v>
      </c>
      <c r="D97" s="296">
        <v>5.6910569105691051</v>
      </c>
      <c r="E97" s="296">
        <v>16.260162601626014</v>
      </c>
      <c r="F97" s="296">
        <v>26.016260162601629</v>
      </c>
      <c r="G97" s="296">
        <v>25.203252032520325</v>
      </c>
      <c r="H97" s="296">
        <v>15.447154471544716</v>
      </c>
      <c r="I97" s="296">
        <v>8.9430894308943092</v>
      </c>
      <c r="J97" s="296">
        <v>0.81300813008130091</v>
      </c>
      <c r="K97" s="297">
        <v>100</v>
      </c>
      <c r="L97" s="277"/>
    </row>
    <row r="98" spans="1:12">
      <c r="A98" s="277"/>
      <c r="B98" s="295">
        <f>+B86</f>
        <v>2020</v>
      </c>
      <c r="C98" s="296">
        <v>0.69444444444444442</v>
      </c>
      <c r="D98" s="296">
        <v>5.5555555555555554</v>
      </c>
      <c r="E98" s="296">
        <v>17.361111111111111</v>
      </c>
      <c r="F98" s="296">
        <v>18.75</v>
      </c>
      <c r="G98" s="296">
        <v>25.694444444444443</v>
      </c>
      <c r="H98" s="296">
        <v>22.222222222222221</v>
      </c>
      <c r="I98" s="296">
        <v>6.9444444444444446</v>
      </c>
      <c r="J98" s="296">
        <v>2.7777777777777777</v>
      </c>
      <c r="K98" s="297">
        <v>99.999999999999986</v>
      </c>
      <c r="L98" s="277"/>
    </row>
    <row r="99" spans="1:12">
      <c r="A99" s="277"/>
      <c r="B99" s="295">
        <f>+B87</f>
        <v>2021</v>
      </c>
      <c r="C99" s="296">
        <v>0</v>
      </c>
      <c r="D99" s="296">
        <v>5.095541401273886</v>
      </c>
      <c r="E99" s="296">
        <v>19.108280254777071</v>
      </c>
      <c r="F99" s="296">
        <v>29.29936305732484</v>
      </c>
      <c r="G99" s="296">
        <v>19.745222929936308</v>
      </c>
      <c r="H99" s="296">
        <v>14.64968152866242</v>
      </c>
      <c r="I99" s="296">
        <v>10.828025477707007</v>
      </c>
      <c r="J99" s="296">
        <v>1.2738853503184715</v>
      </c>
      <c r="K99" s="297">
        <v>100</v>
      </c>
      <c r="L99" s="277"/>
    </row>
    <row r="100" spans="1:12">
      <c r="A100" s="277"/>
      <c r="B100" s="295">
        <v>2022</v>
      </c>
      <c r="C100" s="296">
        <v>0</v>
      </c>
      <c r="D100" s="296">
        <v>3.4246575342465753</v>
      </c>
      <c r="E100" s="296">
        <v>10.95890410958904</v>
      </c>
      <c r="F100" s="296">
        <v>26.027397260273972</v>
      </c>
      <c r="G100" s="296">
        <v>30.136986301369863</v>
      </c>
      <c r="H100" s="296">
        <v>20.547945205479451</v>
      </c>
      <c r="I100" s="296">
        <v>7.5342465753424657</v>
      </c>
      <c r="J100" s="296">
        <v>1.3698630136986301</v>
      </c>
      <c r="K100" s="297">
        <v>100</v>
      </c>
      <c r="L100" s="277"/>
    </row>
    <row r="101" spans="1:12">
      <c r="A101" s="277"/>
      <c r="B101" s="298">
        <f t="shared" ref="B101" si="5">+B89</f>
        <v>2023</v>
      </c>
      <c r="C101" s="299">
        <f t="shared" ref="C101:J101" si="6">+C60/$K60*100</f>
        <v>0</v>
      </c>
      <c r="D101" s="299">
        <f t="shared" si="6"/>
        <v>2.4390243902439024</v>
      </c>
      <c r="E101" s="299">
        <f t="shared" si="6"/>
        <v>16.260162601626014</v>
      </c>
      <c r="F101" s="299">
        <f t="shared" si="6"/>
        <v>25.203252032520325</v>
      </c>
      <c r="G101" s="299">
        <f t="shared" si="6"/>
        <v>28.455284552845526</v>
      </c>
      <c r="H101" s="299">
        <f t="shared" si="6"/>
        <v>17.073170731707318</v>
      </c>
      <c r="I101" s="299">
        <f t="shared" si="6"/>
        <v>10.569105691056912</v>
      </c>
      <c r="J101" s="299">
        <f t="shared" si="6"/>
        <v>0</v>
      </c>
      <c r="K101" s="267">
        <f>SUM(C101:J101)</f>
        <v>100</v>
      </c>
      <c r="L101" s="277"/>
    </row>
    <row r="102" spans="1:12">
      <c r="A102" s="277"/>
      <c r="B102" s="300"/>
      <c r="C102" s="296"/>
      <c r="D102" s="296"/>
      <c r="E102" s="296"/>
      <c r="F102" s="296"/>
      <c r="G102" s="296"/>
      <c r="H102" s="296"/>
      <c r="I102" s="296"/>
      <c r="J102" s="296"/>
      <c r="K102" s="300"/>
      <c r="L102" s="277"/>
    </row>
    <row r="103" spans="1:12">
      <c r="A103" s="277"/>
      <c r="B103" s="277"/>
      <c r="C103" s="277"/>
      <c r="D103" s="277"/>
      <c r="E103" s="277"/>
      <c r="F103" s="277"/>
      <c r="G103" s="277"/>
      <c r="H103" s="277"/>
      <c r="I103" s="277"/>
      <c r="J103" s="277"/>
      <c r="K103" s="277"/>
      <c r="L103" s="277"/>
    </row>
    <row r="104" spans="1:12">
      <c r="A104" s="277"/>
      <c r="B104" s="277"/>
      <c r="C104" s="277"/>
      <c r="D104" s="277"/>
      <c r="E104" s="277"/>
      <c r="F104" s="277"/>
      <c r="G104" s="277"/>
      <c r="H104" s="277"/>
      <c r="I104" s="277"/>
      <c r="J104" s="277"/>
      <c r="K104" s="277"/>
      <c r="L104" s="277"/>
    </row>
    <row r="105" spans="1:12">
      <c r="A105" s="277"/>
      <c r="B105" s="277"/>
      <c r="C105" s="277"/>
      <c r="D105" s="277"/>
      <c r="E105" s="277"/>
      <c r="F105" s="277"/>
      <c r="G105" s="277"/>
      <c r="H105" s="277"/>
      <c r="I105" s="277"/>
      <c r="J105" s="277"/>
      <c r="K105" s="277"/>
      <c r="L105" s="277"/>
    </row>
    <row r="106" spans="1:12">
      <c r="A106" s="277"/>
      <c r="B106" s="277"/>
      <c r="C106" s="277"/>
      <c r="D106" s="277"/>
      <c r="E106" s="277"/>
      <c r="F106" s="277"/>
      <c r="G106" s="277"/>
      <c r="H106" s="277"/>
      <c r="I106" s="277"/>
      <c r="J106" s="277"/>
      <c r="K106" s="277"/>
      <c r="L106" s="277"/>
    </row>
    <row r="107" spans="1:12">
      <c r="A107" s="277"/>
      <c r="B107" s="277"/>
      <c r="C107" s="277"/>
      <c r="D107" s="277"/>
      <c r="E107" s="277"/>
      <c r="F107" s="277"/>
      <c r="G107" s="277"/>
      <c r="H107" s="277"/>
      <c r="I107" s="277"/>
      <c r="J107" s="277"/>
      <c r="K107" s="277"/>
      <c r="L107" s="277"/>
    </row>
    <row r="108" spans="1:12">
      <c r="A108" s="277"/>
      <c r="B108" s="277"/>
      <c r="C108" s="277"/>
      <c r="D108" s="277"/>
      <c r="E108" s="277"/>
      <c r="F108" s="277"/>
      <c r="G108" s="277"/>
      <c r="H108" s="277"/>
      <c r="I108" s="277"/>
      <c r="J108" s="277"/>
      <c r="K108" s="277"/>
      <c r="L108" s="277"/>
    </row>
    <row r="109" spans="1:12">
      <c r="A109" s="277"/>
      <c r="B109" s="277"/>
      <c r="C109" s="277"/>
      <c r="D109" s="277"/>
      <c r="E109" s="277"/>
      <c r="F109" s="277"/>
      <c r="G109" s="277"/>
      <c r="H109" s="277"/>
      <c r="I109" s="277"/>
      <c r="J109" s="277"/>
      <c r="K109" s="277"/>
      <c r="L109" s="277"/>
    </row>
    <row r="110" spans="1:12">
      <c r="A110" s="277"/>
      <c r="B110" s="277"/>
      <c r="C110" s="277"/>
      <c r="D110" s="277"/>
      <c r="E110" s="277"/>
      <c r="F110" s="277"/>
      <c r="G110" s="277"/>
      <c r="H110" s="277"/>
      <c r="I110" s="277"/>
      <c r="J110" s="277"/>
      <c r="K110" s="277"/>
      <c r="L110" s="277"/>
    </row>
    <row r="111" spans="1:12">
      <c r="A111" s="277"/>
      <c r="B111" s="277"/>
      <c r="C111" s="277"/>
      <c r="D111" s="277"/>
      <c r="E111" s="277"/>
      <c r="F111" s="277"/>
      <c r="G111" s="277"/>
      <c r="H111" s="277"/>
      <c r="I111" s="277"/>
      <c r="J111" s="277"/>
      <c r="K111" s="277"/>
      <c r="L111" s="277"/>
    </row>
    <row r="112" spans="1:12">
      <c r="A112" s="277"/>
      <c r="B112" s="277"/>
      <c r="C112" s="277"/>
      <c r="D112" s="277"/>
      <c r="E112" s="277"/>
      <c r="F112" s="277"/>
      <c r="G112" s="277"/>
      <c r="H112" s="277"/>
      <c r="I112" s="277"/>
      <c r="J112" s="277"/>
      <c r="K112" s="277"/>
      <c r="L112" s="277"/>
    </row>
    <row r="113" spans="1:12">
      <c r="A113" s="277"/>
      <c r="B113" s="277"/>
      <c r="C113" s="277"/>
      <c r="D113" s="277"/>
      <c r="E113" s="277"/>
      <c r="F113" s="277"/>
      <c r="G113" s="277"/>
      <c r="H113" s="277"/>
      <c r="I113" s="277"/>
      <c r="J113" s="277"/>
      <c r="K113" s="277"/>
      <c r="L113" s="277"/>
    </row>
    <row r="114" spans="1:12">
      <c r="A114" s="277"/>
      <c r="B114" s="277"/>
      <c r="C114" s="277"/>
      <c r="D114" s="277"/>
      <c r="E114" s="277"/>
      <c r="F114" s="277"/>
      <c r="G114" s="277"/>
      <c r="H114" s="277"/>
      <c r="I114" s="277"/>
      <c r="J114" s="277"/>
      <c r="K114" s="277"/>
      <c r="L114" s="277"/>
    </row>
    <row r="115" spans="1:12">
      <c r="A115" s="277"/>
      <c r="B115" s="277"/>
      <c r="C115" s="277"/>
      <c r="D115" s="277"/>
      <c r="E115" s="277"/>
      <c r="F115" s="277"/>
      <c r="G115" s="277"/>
      <c r="H115" s="277"/>
      <c r="I115" s="277"/>
      <c r="J115" s="277"/>
      <c r="K115" s="277"/>
      <c r="L115" s="277"/>
    </row>
    <row r="116" spans="1:12">
      <c r="A116" s="277"/>
      <c r="B116" s="277"/>
      <c r="C116" s="277"/>
      <c r="D116" s="277"/>
      <c r="E116" s="277"/>
      <c r="F116" s="277"/>
      <c r="G116" s="277"/>
      <c r="H116" s="277"/>
      <c r="I116" s="277"/>
      <c r="J116" s="277"/>
      <c r="K116" s="277"/>
      <c r="L116" s="277"/>
    </row>
    <row r="117" spans="1:12">
      <c r="A117" s="277"/>
      <c r="B117" s="277"/>
      <c r="C117" s="277"/>
      <c r="D117" s="277"/>
      <c r="E117" s="277"/>
      <c r="F117" s="277"/>
      <c r="G117" s="277"/>
      <c r="H117" s="277"/>
      <c r="I117" s="277"/>
      <c r="J117" s="277"/>
      <c r="K117" s="277"/>
      <c r="L117" s="277"/>
    </row>
    <row r="118" spans="1:12">
      <c r="A118" s="277"/>
      <c r="B118" s="277"/>
      <c r="C118" s="277"/>
      <c r="D118" s="277"/>
      <c r="E118" s="277"/>
      <c r="F118" s="277"/>
      <c r="G118" s="277"/>
      <c r="H118" s="277"/>
      <c r="I118" s="277"/>
      <c r="J118" s="277"/>
      <c r="K118" s="277"/>
      <c r="L118" s="277"/>
    </row>
    <row r="119" spans="1:12">
      <c r="A119" s="277"/>
      <c r="B119" s="277"/>
      <c r="C119" s="277"/>
      <c r="D119" s="277"/>
      <c r="E119" s="277"/>
      <c r="F119" s="277"/>
      <c r="G119" s="277"/>
      <c r="H119" s="277"/>
      <c r="I119" s="277"/>
      <c r="J119" s="277"/>
      <c r="K119" s="277"/>
      <c r="L119" s="277"/>
    </row>
    <row r="120" spans="1:12">
      <c r="A120" s="277"/>
      <c r="B120" s="277"/>
      <c r="C120" s="277"/>
      <c r="D120" s="277"/>
      <c r="E120" s="277"/>
      <c r="F120" s="277"/>
      <c r="G120" s="277"/>
      <c r="H120" s="277"/>
      <c r="I120" s="277"/>
      <c r="J120" s="277"/>
      <c r="K120" s="277"/>
      <c r="L120" s="277"/>
    </row>
    <row r="121" spans="1:12">
      <c r="A121" s="277"/>
      <c r="B121" s="277"/>
      <c r="C121" s="277"/>
      <c r="D121" s="277"/>
      <c r="E121" s="277"/>
      <c r="F121" s="277"/>
      <c r="G121" s="277"/>
      <c r="H121" s="277"/>
      <c r="I121" s="277"/>
      <c r="J121" s="277"/>
      <c r="K121" s="277"/>
      <c r="L121" s="277"/>
    </row>
    <row r="122" spans="1:12">
      <c r="A122" s="277"/>
      <c r="B122" s="277"/>
      <c r="C122" s="277"/>
      <c r="D122" s="277"/>
      <c r="E122" s="277"/>
      <c r="F122" s="277"/>
      <c r="G122" s="277"/>
      <c r="H122" s="277"/>
      <c r="I122" s="277"/>
      <c r="J122" s="277"/>
      <c r="K122" s="277"/>
      <c r="L122" s="277"/>
    </row>
    <row r="123" spans="1:12">
      <c r="A123" s="277"/>
      <c r="B123" s="277"/>
      <c r="C123" s="277"/>
      <c r="D123" s="277"/>
      <c r="E123" s="277"/>
      <c r="F123" s="277"/>
      <c r="G123" s="277"/>
      <c r="H123" s="277"/>
      <c r="I123" s="277"/>
      <c r="J123" s="277"/>
      <c r="K123" s="277"/>
      <c r="L123" s="277"/>
    </row>
    <row r="124" spans="1:12">
      <c r="A124" s="277"/>
      <c r="B124" s="277"/>
      <c r="C124" s="277"/>
      <c r="D124" s="277"/>
      <c r="E124" s="277"/>
      <c r="F124" s="277"/>
      <c r="G124" s="277"/>
      <c r="H124" s="277"/>
      <c r="I124" s="277"/>
      <c r="J124" s="277"/>
      <c r="K124" s="277"/>
      <c r="L124" s="277"/>
    </row>
    <row r="125" spans="1:12">
      <c r="A125" s="277"/>
      <c r="B125" s="277"/>
      <c r="C125" s="277"/>
      <c r="D125" s="277"/>
      <c r="E125" s="277"/>
      <c r="F125" s="277"/>
      <c r="G125" s="277"/>
      <c r="H125" s="277"/>
      <c r="I125" s="277"/>
      <c r="J125" s="277"/>
      <c r="K125" s="277"/>
      <c r="L125" s="277"/>
    </row>
    <row r="126" spans="1:12">
      <c r="A126" s="277"/>
      <c r="B126" s="277"/>
      <c r="C126" s="277"/>
      <c r="D126" s="277"/>
      <c r="E126" s="277"/>
      <c r="F126" s="277"/>
      <c r="G126" s="277"/>
      <c r="H126" s="277"/>
      <c r="I126" s="277"/>
      <c r="J126" s="277"/>
      <c r="K126" s="277"/>
      <c r="L126" s="277"/>
    </row>
    <row r="127" spans="1:12">
      <c r="A127" s="277"/>
      <c r="B127" s="277"/>
      <c r="C127" s="277"/>
      <c r="D127" s="277"/>
      <c r="E127" s="277"/>
      <c r="F127" s="277"/>
      <c r="G127" s="277"/>
      <c r="H127" s="277"/>
      <c r="I127" s="277"/>
      <c r="J127" s="277"/>
      <c r="K127" s="277"/>
      <c r="L127" s="277"/>
    </row>
    <row r="128" spans="1:12">
      <c r="A128" s="277"/>
      <c r="B128" s="277"/>
      <c r="C128" s="277"/>
      <c r="D128" s="277"/>
      <c r="E128" s="277"/>
      <c r="F128" s="277"/>
      <c r="G128" s="277"/>
      <c r="H128" s="277"/>
      <c r="I128" s="277"/>
      <c r="J128" s="277"/>
      <c r="K128" s="277"/>
      <c r="L128" s="277"/>
    </row>
    <row r="129" spans="1:12">
      <c r="A129" s="277"/>
      <c r="B129" s="277"/>
      <c r="C129" s="277"/>
      <c r="D129" s="277"/>
      <c r="E129" s="277"/>
      <c r="F129" s="277"/>
      <c r="G129" s="277"/>
      <c r="H129" s="277"/>
      <c r="I129" s="277"/>
      <c r="J129" s="277"/>
      <c r="K129" s="277"/>
      <c r="L129" s="277"/>
    </row>
    <row r="130" spans="1:12">
      <c r="A130" s="277"/>
      <c r="B130" s="277"/>
      <c r="C130" s="277"/>
      <c r="D130" s="277"/>
      <c r="E130" s="277"/>
      <c r="F130" s="277"/>
      <c r="G130" s="277"/>
      <c r="H130" s="277"/>
      <c r="I130" s="277"/>
      <c r="J130" s="277"/>
      <c r="K130" s="277"/>
      <c r="L130" s="277"/>
    </row>
    <row r="131" spans="1:12">
      <c r="A131" s="277"/>
      <c r="B131" s="277"/>
      <c r="C131" s="277"/>
      <c r="D131" s="277"/>
      <c r="E131" s="277"/>
      <c r="F131" s="277"/>
      <c r="G131" s="277"/>
      <c r="H131" s="277"/>
      <c r="I131" s="277"/>
      <c r="J131" s="277"/>
      <c r="K131" s="277"/>
      <c r="L131" s="277"/>
    </row>
    <row r="132" spans="1:12">
      <c r="A132" s="277"/>
      <c r="B132" s="277"/>
      <c r="C132" s="277"/>
      <c r="D132" s="277"/>
      <c r="E132" s="277"/>
      <c r="F132" s="277"/>
      <c r="G132" s="277"/>
      <c r="H132" s="277"/>
      <c r="I132" s="277"/>
      <c r="J132" s="277"/>
      <c r="K132" s="277"/>
      <c r="L132" s="277"/>
    </row>
    <row r="133" spans="1:12">
      <c r="A133" s="277"/>
      <c r="B133" s="277"/>
      <c r="C133" s="277"/>
      <c r="D133" s="277"/>
      <c r="E133" s="277"/>
      <c r="F133" s="277"/>
      <c r="G133" s="277"/>
      <c r="H133" s="277"/>
      <c r="I133" s="277"/>
      <c r="J133" s="277"/>
      <c r="K133" s="277"/>
      <c r="L133" s="277"/>
    </row>
    <row r="134" spans="1:12">
      <c r="A134" s="277"/>
      <c r="B134" s="277"/>
      <c r="C134" s="277"/>
      <c r="D134" s="277"/>
      <c r="E134" s="277"/>
      <c r="F134" s="277"/>
      <c r="G134" s="277"/>
      <c r="H134" s="277"/>
      <c r="I134" s="277"/>
      <c r="J134" s="277"/>
      <c r="K134" s="277"/>
      <c r="L134" s="277"/>
    </row>
    <row r="135" spans="1:12">
      <c r="A135" s="277"/>
      <c r="B135" s="277"/>
      <c r="C135" s="277"/>
      <c r="D135" s="277"/>
      <c r="E135" s="277"/>
      <c r="F135" s="277"/>
      <c r="G135" s="277"/>
      <c r="H135" s="277"/>
      <c r="I135" s="277"/>
      <c r="J135" s="277"/>
      <c r="K135" s="277"/>
      <c r="L135" s="277"/>
    </row>
    <row r="136" spans="1:12">
      <c r="A136" s="277"/>
      <c r="B136" s="277"/>
      <c r="C136" s="277"/>
      <c r="D136" s="277"/>
      <c r="E136" s="277"/>
      <c r="F136" s="277"/>
      <c r="G136" s="277"/>
      <c r="H136" s="277"/>
      <c r="I136" s="277"/>
      <c r="J136" s="277"/>
      <c r="K136" s="277"/>
      <c r="L136" s="277"/>
    </row>
    <row r="137" spans="1:12">
      <c r="A137" s="277"/>
      <c r="B137" s="277"/>
      <c r="C137" s="277"/>
      <c r="D137" s="277"/>
      <c r="E137" s="277"/>
      <c r="F137" s="277"/>
      <c r="G137" s="277"/>
      <c r="H137" s="277"/>
      <c r="I137" s="277"/>
      <c r="J137" s="277"/>
      <c r="K137" s="277"/>
      <c r="L137" s="277"/>
    </row>
    <row r="138" spans="1:12">
      <c r="A138" s="277"/>
      <c r="B138" s="277"/>
      <c r="C138" s="277"/>
      <c r="D138" s="277"/>
      <c r="E138" s="277"/>
      <c r="F138" s="277"/>
      <c r="G138" s="277"/>
      <c r="H138" s="277"/>
      <c r="I138" s="277"/>
      <c r="J138" s="277"/>
      <c r="K138" s="277"/>
      <c r="L138" s="277"/>
    </row>
    <row r="139" spans="1:12">
      <c r="A139" s="277"/>
      <c r="B139" s="277"/>
      <c r="C139" s="277"/>
      <c r="D139" s="277"/>
      <c r="E139" s="277"/>
      <c r="F139" s="277"/>
      <c r="G139" s="277"/>
      <c r="H139" s="277"/>
      <c r="I139" s="277"/>
      <c r="J139" s="277"/>
      <c r="K139" s="277"/>
      <c r="L139" s="277"/>
    </row>
    <row r="140" spans="1:12">
      <c r="A140" s="277"/>
      <c r="B140" s="277"/>
      <c r="C140" s="277"/>
      <c r="D140" s="277"/>
      <c r="E140" s="277"/>
      <c r="F140" s="277"/>
      <c r="G140" s="277"/>
      <c r="H140" s="277"/>
      <c r="I140" s="277"/>
      <c r="J140" s="277"/>
      <c r="K140" s="277"/>
      <c r="L140" s="277"/>
    </row>
    <row r="141" spans="1:12">
      <c r="A141" s="277"/>
      <c r="B141" s="277"/>
      <c r="C141" s="277"/>
      <c r="D141" s="277"/>
      <c r="E141" s="277"/>
      <c r="F141" s="277"/>
      <c r="G141" s="277"/>
      <c r="H141" s="277"/>
      <c r="I141" s="277"/>
      <c r="J141" s="277"/>
      <c r="K141" s="277"/>
      <c r="L141" s="277"/>
    </row>
    <row r="142" spans="1:12">
      <c r="A142" s="277"/>
      <c r="B142" s="277"/>
      <c r="C142" s="277"/>
      <c r="D142" s="277"/>
      <c r="E142" s="277"/>
      <c r="F142" s="277"/>
      <c r="G142" s="277"/>
      <c r="H142" s="277"/>
      <c r="I142" s="277"/>
      <c r="J142" s="277"/>
      <c r="K142" s="277"/>
      <c r="L142" s="277"/>
    </row>
    <row r="143" spans="1:12">
      <c r="A143" s="277"/>
      <c r="B143" s="277"/>
      <c r="C143" s="277"/>
      <c r="D143" s="277"/>
      <c r="E143" s="277"/>
      <c r="F143" s="277"/>
      <c r="G143" s="277"/>
      <c r="H143" s="277"/>
      <c r="I143" s="277"/>
      <c r="J143" s="277"/>
      <c r="K143" s="277"/>
      <c r="L143" s="277"/>
    </row>
    <row r="144" spans="1:12">
      <c r="A144" s="277"/>
      <c r="B144" s="277"/>
      <c r="C144" s="277"/>
      <c r="D144" s="277"/>
      <c r="E144" s="277"/>
      <c r="F144" s="277"/>
      <c r="G144" s="277"/>
      <c r="H144" s="277"/>
      <c r="I144" s="277"/>
      <c r="J144" s="277"/>
      <c r="K144" s="277"/>
      <c r="L144" s="277"/>
    </row>
    <row r="145" spans="1:12">
      <c r="A145" s="277"/>
      <c r="B145" s="277"/>
      <c r="C145" s="277"/>
      <c r="D145" s="277"/>
      <c r="E145" s="277"/>
      <c r="F145" s="277"/>
      <c r="G145" s="277"/>
      <c r="H145" s="277"/>
      <c r="I145" s="277"/>
      <c r="J145" s="277"/>
      <c r="K145" s="277"/>
      <c r="L145" s="277"/>
    </row>
    <row r="146" spans="1:12">
      <c r="A146" s="277"/>
      <c r="B146" s="277"/>
      <c r="C146" s="277"/>
      <c r="D146" s="277"/>
      <c r="E146" s="277"/>
      <c r="F146" s="277"/>
      <c r="G146" s="277"/>
      <c r="H146" s="277"/>
      <c r="I146" s="277"/>
      <c r="J146" s="277"/>
      <c r="K146" s="277"/>
      <c r="L146" s="277"/>
    </row>
    <row r="147" spans="1:12">
      <c r="A147" s="277"/>
      <c r="B147" s="277"/>
      <c r="C147" s="277"/>
      <c r="D147" s="277"/>
      <c r="E147" s="277"/>
      <c r="F147" s="277"/>
      <c r="G147" s="277"/>
      <c r="H147" s="277"/>
      <c r="I147" s="277"/>
      <c r="J147" s="277"/>
      <c r="K147" s="277"/>
      <c r="L147" s="277"/>
    </row>
    <row r="148" spans="1:12">
      <c r="A148" s="277"/>
      <c r="B148" s="277"/>
      <c r="C148" s="277"/>
      <c r="D148" s="277"/>
      <c r="E148" s="277"/>
      <c r="F148" s="277"/>
      <c r="G148" s="277"/>
      <c r="H148" s="277"/>
      <c r="I148" s="277"/>
      <c r="J148" s="277"/>
      <c r="K148" s="277"/>
      <c r="L148" s="277"/>
    </row>
    <row r="149" spans="1:12">
      <c r="A149" s="277"/>
      <c r="B149" s="277"/>
      <c r="C149" s="277"/>
      <c r="D149" s="277"/>
      <c r="E149" s="277"/>
      <c r="F149" s="277"/>
      <c r="G149" s="277"/>
      <c r="H149" s="277"/>
      <c r="I149" s="277"/>
      <c r="J149" s="277"/>
      <c r="K149" s="277"/>
      <c r="L149" s="277"/>
    </row>
  </sheetData>
  <mergeCells count="19">
    <mergeCell ref="A1:L1"/>
    <mergeCell ref="A2:L2"/>
    <mergeCell ref="A3:L3"/>
    <mergeCell ref="C8:K8"/>
    <mergeCell ref="B75:K75"/>
    <mergeCell ref="A9:B9"/>
    <mergeCell ref="A10:B10"/>
    <mergeCell ref="B73:K73"/>
    <mergeCell ref="B74:K74"/>
    <mergeCell ref="K9:L9"/>
    <mergeCell ref="I9:J9"/>
    <mergeCell ref="G9:H9"/>
    <mergeCell ref="E9:F9"/>
    <mergeCell ref="C9:D9"/>
    <mergeCell ref="A23:L23"/>
    <mergeCell ref="A43:K43"/>
    <mergeCell ref="A53:K53"/>
    <mergeCell ref="B80:K80"/>
    <mergeCell ref="B92:K92"/>
  </mergeCells>
  <phoneticPr fontId="18" type="noConversion"/>
  <pageMargins left="0.59055118110236227" right="0.59055118110236227" top="1.1811023622047245" bottom="0.98425196850393704" header="0.51181102362204722" footer="0"/>
  <pageSetup paperSize="5" scale="95" orientation="portrait" horizontalDpi="300" verticalDpi="300" r:id="rId1"/>
  <headerFooter alignWithMargins="0">
    <oddHeader xml:space="preserve">&amp;R
</oddHeader>
  </headerFooter>
  <ignoredErrors>
    <ignoredError sqref="K30:K38"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S38"/>
  <sheetViews>
    <sheetView zoomScaleNormal="100" workbookViewId="0">
      <selection activeCell="B10" sqref="B10"/>
    </sheetView>
  </sheetViews>
  <sheetFormatPr baseColWidth="10" defaultRowHeight="12.75"/>
  <cols>
    <col min="1" max="1" width="19.7109375" customWidth="1"/>
    <col min="2" max="7" width="6.5703125" style="176" customWidth="1"/>
    <col min="8" max="8" width="7" style="176" bestFit="1" customWidth="1"/>
    <col min="9" max="9" width="6.5703125" style="176" customWidth="1"/>
    <col min="10" max="10" width="8.42578125" style="176" customWidth="1"/>
    <col min="11" max="11" width="6.5703125" style="176" customWidth="1"/>
    <col min="12" max="12" width="3.5703125" customWidth="1"/>
    <col min="13" max="13" width="17.7109375" hidden="1" customWidth="1"/>
    <col min="14" max="18" width="7.7109375" hidden="1" customWidth="1"/>
    <col min="19" max="19" width="0" hidden="1" customWidth="1"/>
  </cols>
  <sheetData>
    <row r="1" spans="1:19" ht="24" customHeight="1">
      <c r="A1" s="1575" t="s">
        <v>817</v>
      </c>
      <c r="B1" s="1559"/>
      <c r="C1" s="1559"/>
      <c r="D1" s="1559"/>
      <c r="E1" s="1559"/>
      <c r="F1" s="1559"/>
      <c r="G1" s="1559"/>
      <c r="H1" s="1559"/>
      <c r="I1" s="1559"/>
      <c r="J1" s="1559"/>
      <c r="K1" s="1559"/>
    </row>
    <row r="2" spans="1:19">
      <c r="A2" s="1559" t="s">
        <v>814</v>
      </c>
      <c r="B2" s="1559"/>
      <c r="C2" s="1559"/>
      <c r="D2" s="1559"/>
      <c r="E2" s="1559"/>
      <c r="F2" s="1559"/>
      <c r="G2" s="1559"/>
      <c r="H2" s="1559"/>
      <c r="I2" s="1559"/>
      <c r="J2" s="1559"/>
      <c r="K2" s="1559"/>
      <c r="M2" s="288" t="s">
        <v>818</v>
      </c>
    </row>
    <row r="3" spans="1:19">
      <c r="M3" s="710" t="s">
        <v>770</v>
      </c>
      <c r="N3" s="711">
        <v>2018</v>
      </c>
      <c r="O3" s="711">
        <v>2019</v>
      </c>
      <c r="P3" s="711">
        <v>2020</v>
      </c>
      <c r="Q3" s="711">
        <v>2021</v>
      </c>
      <c r="R3" s="711">
        <v>2022</v>
      </c>
      <c r="S3" s="711">
        <v>2023</v>
      </c>
    </row>
    <row r="4" spans="1:19">
      <c r="M4" s="288" t="s">
        <v>819</v>
      </c>
      <c r="N4">
        <v>1334</v>
      </c>
      <c r="O4">
        <v>1216</v>
      </c>
      <c r="P4">
        <v>1049</v>
      </c>
      <c r="Q4">
        <v>835</v>
      </c>
      <c r="R4">
        <f>+[4]Consolidado!$E$135</f>
        <v>1020</v>
      </c>
      <c r="S4">
        <f>+[3]Consolidado!$E$135</f>
        <v>1001</v>
      </c>
    </row>
    <row r="5" spans="1:19">
      <c r="M5" s="288" t="s">
        <v>820</v>
      </c>
      <c r="N5">
        <v>649</v>
      </c>
      <c r="O5">
        <v>637</v>
      </c>
      <c r="P5">
        <v>629</v>
      </c>
      <c r="Q5">
        <v>460</v>
      </c>
      <c r="R5">
        <f>+[4]Consolidado!$E$230</f>
        <v>548</v>
      </c>
      <c r="S5">
        <f>+[3]Consolidado!$E$230</f>
        <v>537</v>
      </c>
    </row>
    <row r="6" spans="1:19">
      <c r="M6" s="288" t="s">
        <v>821</v>
      </c>
      <c r="N6">
        <v>2</v>
      </c>
      <c r="O6">
        <v>1</v>
      </c>
      <c r="P6">
        <v>3</v>
      </c>
      <c r="Q6">
        <v>2</v>
      </c>
      <c r="R6">
        <f>+[4]Consolidado!$E$327</f>
        <v>1</v>
      </c>
      <c r="S6">
        <f>+[3]Consolidado!$E$327</f>
        <v>3</v>
      </c>
    </row>
    <row r="7" spans="1:19">
      <c r="M7" s="288" t="s">
        <v>474</v>
      </c>
      <c r="N7">
        <v>1985</v>
      </c>
      <c r="O7">
        <v>1854</v>
      </c>
      <c r="P7">
        <v>1681</v>
      </c>
      <c r="Q7">
        <v>1297</v>
      </c>
      <c r="R7">
        <f>SUM(R4:R6)</f>
        <v>1569</v>
      </c>
      <c r="S7">
        <f>SUM(S4:S6)</f>
        <v>1541</v>
      </c>
    </row>
    <row r="8" spans="1:19" ht="25.5" customHeight="1">
      <c r="A8" s="1144" t="s">
        <v>770</v>
      </c>
      <c r="B8" s="1145">
        <v>2019</v>
      </c>
      <c r="C8" s="1146"/>
      <c r="D8" s="1145">
        <v>2020</v>
      </c>
      <c r="E8" s="1146"/>
      <c r="F8" s="1562">
        <v>2021</v>
      </c>
      <c r="G8" s="1564"/>
      <c r="H8" s="1562">
        <v>2022</v>
      </c>
      <c r="I8" s="1564"/>
      <c r="J8" s="1562">
        <v>2023</v>
      </c>
      <c r="K8" s="1564"/>
      <c r="M8" s="288"/>
    </row>
    <row r="9" spans="1:19" ht="21" customHeight="1">
      <c r="A9" s="1139"/>
      <c r="B9" s="1109" t="s">
        <v>448</v>
      </c>
      <c r="C9" s="1111" t="s">
        <v>822</v>
      </c>
      <c r="D9" s="1109" t="s">
        <v>448</v>
      </c>
      <c r="E9" s="1111" t="s">
        <v>822</v>
      </c>
      <c r="F9" s="1109" t="s">
        <v>448</v>
      </c>
      <c r="G9" s="1111" t="s">
        <v>822</v>
      </c>
      <c r="H9" s="1109" t="s">
        <v>448</v>
      </c>
      <c r="I9" s="1111" t="s">
        <v>822</v>
      </c>
      <c r="J9" s="1109" t="s">
        <v>448</v>
      </c>
      <c r="K9" s="1111" t="s">
        <v>822</v>
      </c>
      <c r="M9" s="288" t="s">
        <v>823</v>
      </c>
    </row>
    <row r="10" spans="1:19" ht="21" customHeight="1">
      <c r="A10" s="261" t="s">
        <v>824</v>
      </c>
      <c r="B10" s="301">
        <v>53.714591127739176</v>
      </c>
      <c r="C10" s="252">
        <v>37.828947368421048</v>
      </c>
      <c r="D10" s="301">
        <v>60.762331838565018</v>
      </c>
      <c r="E10" s="252">
        <v>47.664442326024783</v>
      </c>
      <c r="F10" s="301">
        <v>64.129668780831565</v>
      </c>
      <c r="G10" s="252">
        <v>52.335329341317362</v>
      </c>
      <c r="H10" s="301">
        <f>'37'!Q40/'37'!Q37*100</f>
        <v>59.873417721518983</v>
      </c>
      <c r="I10" s="252">
        <f>R21</f>
        <v>48.921568627450981</v>
      </c>
      <c r="J10" s="301">
        <f>+'37'!C40/'37'!C37*100</f>
        <v>61.639344262295083</v>
      </c>
      <c r="K10" s="252">
        <f>+S21</f>
        <v>50.749250749250749</v>
      </c>
      <c r="M10" s="710" t="s">
        <v>770</v>
      </c>
      <c r="N10" s="711">
        <v>2018</v>
      </c>
      <c r="O10" s="711">
        <v>2019</v>
      </c>
      <c r="P10" s="711">
        <v>2020</v>
      </c>
      <c r="Q10" s="711">
        <v>2021</v>
      </c>
      <c r="R10" s="711">
        <v>2022</v>
      </c>
      <c r="S10" s="711">
        <f>+S3</f>
        <v>2023</v>
      </c>
    </row>
    <row r="11" spans="1:19" ht="21" customHeight="1">
      <c r="A11" s="261" t="s">
        <v>820</v>
      </c>
      <c r="B11" s="301">
        <v>55.576739752144903</v>
      </c>
      <c r="C11" s="252">
        <v>39.246467817896388</v>
      </c>
      <c r="D11" s="301">
        <v>54.3757292882147</v>
      </c>
      <c r="E11" s="252">
        <v>43.72019077901431</v>
      </c>
      <c r="F11" s="301">
        <v>63.408521303258148</v>
      </c>
      <c r="G11" s="252">
        <v>52.608695652173907</v>
      </c>
      <c r="H11" s="301">
        <f>'37'!S40/'37'!S37*100</f>
        <v>61.985472154963681</v>
      </c>
      <c r="I11" s="252">
        <f>R22</f>
        <v>55.291970802919707</v>
      </c>
      <c r="J11" s="301">
        <f>+'37'!E40/'37'!E37*100</f>
        <v>63.636363636363633</v>
      </c>
      <c r="K11" s="252">
        <f>+S22</f>
        <v>55.865921787709496</v>
      </c>
      <c r="M11" s="288" t="s">
        <v>819</v>
      </c>
      <c r="N11">
        <v>493</v>
      </c>
      <c r="O11">
        <v>460</v>
      </c>
      <c r="P11">
        <v>500</v>
      </c>
      <c r="Q11">
        <v>437</v>
      </c>
      <c r="R11">
        <f>+[4]Consolidado!$D$135</f>
        <v>499</v>
      </c>
      <c r="S11">
        <f>+[3]Consolidado!$D$135</f>
        <v>508</v>
      </c>
    </row>
    <row r="12" spans="1:19" ht="21" customHeight="1">
      <c r="A12" s="261" t="s">
        <v>821</v>
      </c>
      <c r="B12" s="301">
        <v>0</v>
      </c>
      <c r="C12" s="252">
        <v>0</v>
      </c>
      <c r="D12" s="301">
        <v>0</v>
      </c>
      <c r="E12" s="252">
        <v>0</v>
      </c>
      <c r="F12" s="301">
        <v>0</v>
      </c>
      <c r="G12" s="252">
        <v>0</v>
      </c>
      <c r="H12" s="301">
        <f>'37'!U40/'37'!U37</f>
        <v>0</v>
      </c>
      <c r="I12" s="252">
        <f>R13</f>
        <v>0</v>
      </c>
      <c r="J12" s="301">
        <f>+'37'!G40/'37'!G37*100</f>
        <v>0</v>
      </c>
      <c r="K12" s="252">
        <f>+S13</f>
        <v>0</v>
      </c>
      <c r="M12" s="288" t="s">
        <v>820</v>
      </c>
      <c r="N12">
        <v>277</v>
      </c>
      <c r="O12">
        <v>250</v>
      </c>
      <c r="P12">
        <v>275</v>
      </c>
      <c r="Q12">
        <v>242</v>
      </c>
      <c r="R12">
        <f>+[4]Consolidado!$D$230</f>
        <v>303</v>
      </c>
      <c r="S12">
        <f>+[3]Consolidado!$D$230</f>
        <v>300</v>
      </c>
    </row>
    <row r="13" spans="1:19" ht="21" customHeight="1">
      <c r="A13" s="261" t="s">
        <v>825</v>
      </c>
      <c r="B13" s="301"/>
      <c r="C13" s="252"/>
      <c r="D13" s="301"/>
      <c r="E13" s="252"/>
      <c r="F13" s="301"/>
      <c r="G13" s="252"/>
      <c r="I13" s="252"/>
      <c r="J13" s="301"/>
      <c r="K13" s="252"/>
      <c r="M13" s="288" t="s">
        <v>821</v>
      </c>
      <c r="N13">
        <v>0</v>
      </c>
      <c r="O13">
        <v>0</v>
      </c>
      <c r="P13">
        <v>0</v>
      </c>
      <c r="Q13">
        <v>0</v>
      </c>
      <c r="R13">
        <f>+[4]Consolidado!$D$325</f>
        <v>0</v>
      </c>
      <c r="S13">
        <f>+[3]Consolidado!$D$325</f>
        <v>0</v>
      </c>
    </row>
    <row r="14" spans="1:19" ht="21" customHeight="1">
      <c r="A14" s="262" t="s">
        <v>474</v>
      </c>
      <c r="B14" s="302">
        <v>54.364943512495721</v>
      </c>
      <c r="C14" s="256">
        <v>38.295577130528585</v>
      </c>
      <c r="D14" s="302">
        <v>58.6</v>
      </c>
      <c r="E14" s="256">
        <v>46.1</v>
      </c>
      <c r="F14" s="302">
        <v>63.812528165840462</v>
      </c>
      <c r="G14" s="256">
        <v>52.351580570547419</v>
      </c>
      <c r="H14" s="302">
        <f>'37'!Y40/'37'!Y37*100</f>
        <v>60.573327793934361</v>
      </c>
      <c r="I14" s="256">
        <f>+R24</f>
        <v>51.115360101975782</v>
      </c>
      <c r="J14" s="302">
        <f>+'37'!K40/'37'!K37*100</f>
        <v>62.228024369016531</v>
      </c>
      <c r="K14" s="256">
        <f>+S24</f>
        <v>52.433484750162229</v>
      </c>
      <c r="M14" s="288" t="s">
        <v>474</v>
      </c>
      <c r="N14">
        <v>770</v>
      </c>
      <c r="O14">
        <v>710</v>
      </c>
      <c r="P14">
        <v>775</v>
      </c>
      <c r="Q14">
        <v>679</v>
      </c>
      <c r="R14">
        <f>SUM(R11:R13)</f>
        <v>802</v>
      </c>
      <c r="S14">
        <f>SUM(S11:S13)</f>
        <v>808</v>
      </c>
    </row>
    <row r="15" spans="1:19">
      <c r="M15" s="288"/>
    </row>
    <row r="16" spans="1:19">
      <c r="M16" s="288"/>
    </row>
    <row r="17" spans="13:19">
      <c r="M17" s="288"/>
    </row>
    <row r="18" spans="13:19">
      <c r="M18" s="288"/>
    </row>
    <row r="19" spans="13:19">
      <c r="M19" s="288" t="s">
        <v>826</v>
      </c>
    </row>
    <row r="20" spans="13:19">
      <c r="M20" s="288" t="s">
        <v>770</v>
      </c>
      <c r="N20">
        <f t="shared" ref="N20:S20" si="0">+N10</f>
        <v>2018</v>
      </c>
      <c r="O20">
        <f t="shared" si="0"/>
        <v>2019</v>
      </c>
      <c r="P20">
        <f t="shared" si="0"/>
        <v>2020</v>
      </c>
      <c r="Q20">
        <f t="shared" si="0"/>
        <v>2021</v>
      </c>
      <c r="R20">
        <f t="shared" si="0"/>
        <v>2022</v>
      </c>
      <c r="S20">
        <f t="shared" si="0"/>
        <v>2023</v>
      </c>
    </row>
    <row r="21" spans="13:19">
      <c r="M21" s="288" t="s">
        <v>819</v>
      </c>
      <c r="N21" s="121">
        <v>38.879310344827587</v>
      </c>
      <c r="O21" s="121">
        <v>36.95652173913043</v>
      </c>
      <c r="P21" s="121">
        <v>37.828947368421048</v>
      </c>
      <c r="Q21" s="121">
        <v>47.664442326024783</v>
      </c>
      <c r="R21" s="121">
        <f t="shared" ref="R21:S24" si="1">+R11/R4*100</f>
        <v>48.921568627450981</v>
      </c>
      <c r="S21" s="121">
        <f t="shared" si="1"/>
        <v>50.749250749250749</v>
      </c>
    </row>
    <row r="22" spans="13:19">
      <c r="M22" s="288" t="s">
        <v>820</v>
      </c>
      <c r="N22" s="121">
        <v>43.982169390787519</v>
      </c>
      <c r="O22" s="121">
        <v>42.681047765793529</v>
      </c>
      <c r="P22" s="121">
        <v>39.246467817896388</v>
      </c>
      <c r="Q22" s="121">
        <v>43.72019077901431</v>
      </c>
      <c r="R22" s="121">
        <f t="shared" si="1"/>
        <v>55.291970802919707</v>
      </c>
      <c r="S22" s="121">
        <f t="shared" si="1"/>
        <v>55.865921787709496</v>
      </c>
    </row>
    <row r="23" spans="13:19">
      <c r="M23" s="288" t="s">
        <v>821</v>
      </c>
      <c r="N23" s="121">
        <v>0</v>
      </c>
      <c r="O23" s="121">
        <v>0</v>
      </c>
      <c r="P23" s="121">
        <v>0</v>
      </c>
      <c r="Q23" s="121">
        <v>0</v>
      </c>
      <c r="R23" s="121">
        <f t="shared" si="1"/>
        <v>0</v>
      </c>
      <c r="S23" s="121">
        <f t="shared" si="1"/>
        <v>0</v>
      </c>
    </row>
    <row r="24" spans="13:19">
      <c r="M24" s="288" t="s">
        <v>474</v>
      </c>
      <c r="N24" s="121">
        <v>40.642002176278567</v>
      </c>
      <c r="O24" s="121">
        <v>38.790931989924431</v>
      </c>
      <c r="P24" s="121">
        <v>38.295577130528585</v>
      </c>
      <c r="Q24" s="121">
        <v>46.103509815585966</v>
      </c>
      <c r="R24" s="121">
        <f t="shared" si="1"/>
        <v>51.115360101975782</v>
      </c>
      <c r="S24" s="121">
        <f t="shared" si="1"/>
        <v>52.433484750162229</v>
      </c>
    </row>
    <row r="38" spans="12:12">
      <c r="L38" t="s">
        <v>827</v>
      </c>
    </row>
  </sheetData>
  <mergeCells count="5">
    <mergeCell ref="J8:K8"/>
    <mergeCell ref="A1:K1"/>
    <mergeCell ref="A2:K2"/>
    <mergeCell ref="H8:I8"/>
    <mergeCell ref="F8:G8"/>
  </mergeCells>
  <phoneticPr fontId="18" type="noConversion"/>
  <pageMargins left="0.78740157480314965" right="0.78740157480314965" top="0.98425196850393704" bottom="0.98425196850393704" header="0.51181102362204722" footer="0"/>
  <pageSetup paperSize="14" orientation="landscape" horizontalDpi="300" verticalDpi="300" r:id="rId1"/>
  <headerFooter alignWithMargins="0">
    <oddHeader xml:space="preserve">&amp;R
</oddHeader>
  </headerFooter>
  <rowBreaks count="1" manualBreakCount="1">
    <brk id="16" max="10"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CV26"/>
  <sheetViews>
    <sheetView zoomScaleNormal="100" workbookViewId="0">
      <selection activeCell="AD22" sqref="AD22"/>
    </sheetView>
  </sheetViews>
  <sheetFormatPr baseColWidth="10" defaultRowHeight="12.75"/>
  <cols>
    <col min="1" max="1" width="13.7109375" customWidth="1"/>
    <col min="2" max="2" width="6" customWidth="1"/>
    <col min="3" max="3" width="4.28515625" customWidth="1"/>
    <col min="4" max="4" width="5.7109375" customWidth="1"/>
    <col min="5" max="5" width="4.42578125" customWidth="1"/>
    <col min="6" max="6" width="5.5703125" customWidth="1"/>
    <col min="7" max="7" width="4" customWidth="1"/>
    <col min="8" max="8" width="5.7109375" customWidth="1"/>
    <col min="9" max="9" width="4.28515625" customWidth="1"/>
    <col min="10" max="10" width="6.28515625" customWidth="1"/>
    <col min="11" max="11" width="5.42578125" customWidth="1"/>
    <col min="12" max="12" width="6" customWidth="1"/>
    <col min="13" max="13" width="4.7109375" customWidth="1"/>
    <col min="14" max="14" width="6.28515625" customWidth="1"/>
    <col min="15" max="15" width="4.42578125" customWidth="1"/>
    <col min="16" max="16" width="5.7109375" customWidth="1"/>
    <col min="17" max="17" width="4.5703125" customWidth="1"/>
    <col min="18" max="18" width="5.7109375" customWidth="1"/>
    <col min="19" max="19" width="4.5703125" customWidth="1"/>
    <col min="20" max="20" width="5.7109375" customWidth="1"/>
    <col min="21" max="21" width="4.7109375" customWidth="1"/>
    <col min="22" max="22" width="5.7109375" customWidth="1"/>
    <col min="23" max="23" width="4.7109375" customWidth="1"/>
    <col min="24" max="24" width="5.5703125" customWidth="1"/>
    <col min="25" max="25" width="4.28515625" customWidth="1"/>
    <col min="26" max="26" width="5.7109375" customWidth="1"/>
    <col min="27" max="27" width="4.5703125" customWidth="1"/>
  </cols>
  <sheetData>
    <row r="1" spans="1:100" s="1069" customFormat="1">
      <c r="A1" s="949" t="s">
        <v>828</v>
      </c>
      <c r="B1" s="950"/>
      <c r="C1" s="950"/>
      <c r="D1" s="950"/>
      <c r="E1" s="950"/>
      <c r="F1" s="950"/>
      <c r="G1" s="950"/>
      <c r="H1" s="950"/>
      <c r="I1" s="950"/>
      <c r="J1" s="950"/>
      <c r="K1" s="950"/>
      <c r="L1" s="950"/>
      <c r="M1" s="950"/>
      <c r="N1" s="950"/>
      <c r="O1" s="950"/>
      <c r="P1" s="950"/>
      <c r="Q1" s="950"/>
      <c r="R1" s="950"/>
      <c r="S1" s="950"/>
      <c r="T1" s="950"/>
      <c r="U1" s="950"/>
      <c r="V1" s="950"/>
      <c r="W1" s="950"/>
      <c r="X1" s="950"/>
      <c r="Y1" s="950"/>
      <c r="Z1" s="950"/>
      <c r="AA1" s="950"/>
    </row>
    <row r="2" spans="1:100" s="1069" customFormat="1">
      <c r="A2" s="949"/>
      <c r="B2" s="950"/>
      <c r="C2" s="950"/>
      <c r="D2" s="950"/>
      <c r="E2" s="950"/>
      <c r="F2" s="950"/>
      <c r="G2" s="950"/>
      <c r="H2" s="950"/>
      <c r="I2" s="950"/>
      <c r="J2" s="950"/>
      <c r="K2" s="950"/>
      <c r="L2" s="950"/>
      <c r="M2" s="950"/>
      <c r="N2" s="950"/>
      <c r="O2" s="950"/>
      <c r="P2" s="950"/>
      <c r="Q2" s="950"/>
      <c r="R2" s="950"/>
      <c r="S2" s="950"/>
      <c r="T2" s="950"/>
      <c r="U2" s="950"/>
      <c r="V2" s="950"/>
      <c r="W2" s="950"/>
      <c r="X2" s="950"/>
      <c r="Y2" s="950"/>
      <c r="Z2" s="950"/>
      <c r="AA2" s="950"/>
    </row>
    <row r="3" spans="1:100" s="1069" customFormat="1">
      <c r="A3" s="949" t="s">
        <v>1487</v>
      </c>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row>
    <row r="4" spans="1:100">
      <c r="A4" s="63"/>
      <c r="B4" s="86"/>
      <c r="C4" s="86"/>
      <c r="D4" s="86"/>
      <c r="E4" s="86"/>
      <c r="F4" s="86"/>
      <c r="G4" s="86"/>
      <c r="H4" s="86"/>
      <c r="I4" s="86"/>
      <c r="J4" s="86"/>
      <c r="K4" s="86"/>
      <c r="L4" s="86"/>
      <c r="M4" s="86"/>
      <c r="N4" s="86"/>
      <c r="O4" s="86"/>
      <c r="P4" s="86"/>
      <c r="Q4" s="86"/>
      <c r="R4" s="86"/>
      <c r="S4" s="86"/>
      <c r="T4" s="86"/>
      <c r="U4" s="86"/>
      <c r="V4" s="86"/>
      <c r="W4" s="86"/>
      <c r="X4" s="86"/>
      <c r="Y4" s="86"/>
      <c r="Z4" s="86"/>
      <c r="AA4" s="86"/>
    </row>
    <row r="5" spans="1:100">
      <c r="A5" s="86"/>
      <c r="B5" s="86"/>
      <c r="C5" s="86"/>
      <c r="D5" s="86"/>
      <c r="E5" s="86"/>
      <c r="F5" s="86"/>
      <c r="G5" s="86"/>
      <c r="H5" s="86"/>
      <c r="I5" s="86"/>
      <c r="J5" s="86"/>
      <c r="K5" s="86"/>
      <c r="L5" s="86"/>
      <c r="M5" s="86"/>
      <c r="N5" s="86"/>
      <c r="O5" s="86"/>
      <c r="P5" s="86"/>
      <c r="Q5" s="86"/>
      <c r="R5" s="86"/>
      <c r="S5" s="86"/>
      <c r="T5" s="86"/>
      <c r="U5" s="86"/>
      <c r="V5" s="86"/>
      <c r="W5" s="86"/>
      <c r="X5" s="86"/>
      <c r="Y5" s="86"/>
      <c r="Z5" s="86"/>
      <c r="AA5" s="86"/>
    </row>
    <row r="7" spans="1:100" ht="18" customHeight="1">
      <c r="A7" s="1090"/>
      <c r="B7" s="999" t="s">
        <v>829</v>
      </c>
      <c r="C7" s="967"/>
      <c r="D7" s="967"/>
      <c r="E7" s="967"/>
      <c r="F7" s="967"/>
      <c r="G7" s="967"/>
      <c r="H7" s="967"/>
      <c r="I7" s="967"/>
      <c r="J7" s="967"/>
      <c r="K7" s="967"/>
      <c r="L7" s="967"/>
      <c r="M7" s="967"/>
      <c r="N7" s="967"/>
      <c r="O7" s="967"/>
      <c r="P7" s="967"/>
      <c r="Q7" s="967"/>
      <c r="R7" s="967"/>
      <c r="S7" s="967"/>
      <c r="T7" s="967"/>
      <c r="U7" s="967"/>
      <c r="V7" s="967"/>
      <c r="W7" s="967"/>
      <c r="X7" s="967"/>
      <c r="Y7" s="1001"/>
      <c r="Z7" s="1148"/>
      <c r="AA7" s="1073"/>
    </row>
    <row r="8" spans="1:100">
      <c r="A8" s="1149" t="s">
        <v>830</v>
      </c>
      <c r="B8" s="1063" t="s">
        <v>831</v>
      </c>
      <c r="C8" s="1064"/>
      <c r="D8" s="1063" t="s">
        <v>632</v>
      </c>
      <c r="E8" s="1064"/>
      <c r="F8" s="1063" t="s">
        <v>832</v>
      </c>
      <c r="G8" s="1064"/>
      <c r="H8" s="1063" t="s">
        <v>387</v>
      </c>
      <c r="I8" s="1064"/>
      <c r="J8" s="1150" t="s">
        <v>605</v>
      </c>
      <c r="K8" s="1151"/>
      <c r="L8" s="1063" t="s">
        <v>635</v>
      </c>
      <c r="M8" s="1064"/>
      <c r="N8" s="1063" t="s">
        <v>351</v>
      </c>
      <c r="O8" s="1064"/>
      <c r="P8" s="1063" t="s">
        <v>369</v>
      </c>
      <c r="Q8" s="1064"/>
      <c r="R8" s="1063" t="s">
        <v>374</v>
      </c>
      <c r="S8" s="1064"/>
      <c r="T8" s="1063" t="s">
        <v>833</v>
      </c>
      <c r="U8" s="1064"/>
      <c r="V8" s="1061" t="s">
        <v>376</v>
      </c>
      <c r="W8" s="1061"/>
      <c r="X8" s="1150" t="s">
        <v>605</v>
      </c>
      <c r="Y8" s="1151"/>
      <c r="Z8" s="1024" t="s">
        <v>594</v>
      </c>
      <c r="AA8" s="1025"/>
      <c r="AB8" s="165"/>
      <c r="AC8" s="165"/>
      <c r="AD8" s="165"/>
      <c r="AE8" s="165"/>
      <c r="AF8" s="165"/>
      <c r="AG8" s="165"/>
      <c r="AH8" s="165"/>
      <c r="AI8" s="165"/>
      <c r="AJ8" s="165"/>
      <c r="AK8" s="165"/>
      <c r="AL8" s="165"/>
      <c r="AM8" s="165"/>
      <c r="AN8" s="165"/>
      <c r="AO8" s="165"/>
      <c r="AP8" s="165"/>
      <c r="AQ8" s="165"/>
      <c r="AR8" s="165"/>
      <c r="AS8" s="165"/>
      <c r="AT8" s="165"/>
      <c r="AU8" s="165"/>
      <c r="AV8" s="165"/>
      <c r="AW8" s="165"/>
      <c r="AX8" s="165"/>
      <c r="AY8" s="165"/>
      <c r="AZ8" s="165"/>
      <c r="BA8" s="165"/>
      <c r="BB8" s="165"/>
      <c r="BC8" s="165"/>
      <c r="BD8" s="165"/>
      <c r="BE8" s="165"/>
      <c r="BF8" s="165"/>
      <c r="BG8" s="165"/>
      <c r="BH8" s="165"/>
      <c r="BI8" s="165"/>
      <c r="BJ8" s="165"/>
      <c r="BK8" s="165"/>
      <c r="BL8" s="165"/>
      <c r="BM8" s="165"/>
      <c r="BN8" s="165"/>
      <c r="BO8" s="165"/>
      <c r="BP8" s="165"/>
      <c r="BQ8" s="165"/>
      <c r="BR8" s="165"/>
      <c r="BS8" s="165"/>
      <c r="BT8" s="165"/>
      <c r="BU8" s="165"/>
      <c r="BV8" s="165"/>
      <c r="BW8" s="165"/>
      <c r="BX8" s="165"/>
      <c r="BY8" s="165"/>
      <c r="BZ8" s="165"/>
      <c r="CA8" s="165"/>
      <c r="CB8" s="165"/>
      <c r="CC8" s="165"/>
      <c r="CD8" s="165"/>
      <c r="CE8" s="165"/>
      <c r="CF8" s="165"/>
      <c r="CG8" s="165"/>
      <c r="CH8" s="165"/>
      <c r="CI8" s="165"/>
      <c r="CJ8" s="165"/>
      <c r="CK8" s="165"/>
      <c r="CL8" s="165"/>
      <c r="CM8" s="165"/>
      <c r="CN8" s="165"/>
      <c r="CO8" s="165"/>
      <c r="CP8" s="165"/>
      <c r="CQ8" s="165"/>
      <c r="CR8" s="165"/>
      <c r="CS8" s="165"/>
      <c r="CT8" s="165"/>
      <c r="CU8" s="165"/>
      <c r="CV8" s="165"/>
    </row>
    <row r="9" spans="1:100">
      <c r="A9" s="1152"/>
      <c r="B9" s="1047" t="s">
        <v>834</v>
      </c>
      <c r="C9" s="1048" t="s">
        <v>835</v>
      </c>
      <c r="D9" s="1047" t="s">
        <v>834</v>
      </c>
      <c r="E9" s="1048" t="s">
        <v>835</v>
      </c>
      <c r="F9" s="1047" t="s">
        <v>834</v>
      </c>
      <c r="G9" s="1048" t="s">
        <v>835</v>
      </c>
      <c r="H9" s="1047" t="s">
        <v>834</v>
      </c>
      <c r="I9" s="1048" t="s">
        <v>835</v>
      </c>
      <c r="J9" s="1029" t="s">
        <v>834</v>
      </c>
      <c r="K9" s="1031" t="s">
        <v>835</v>
      </c>
      <c r="L9" s="1047" t="s">
        <v>834</v>
      </c>
      <c r="M9" s="1048" t="s">
        <v>835</v>
      </c>
      <c r="N9" s="1047" t="s">
        <v>834</v>
      </c>
      <c r="O9" s="1048" t="s">
        <v>835</v>
      </c>
      <c r="P9" s="1047" t="s">
        <v>834</v>
      </c>
      <c r="Q9" s="1048" t="s">
        <v>835</v>
      </c>
      <c r="R9" s="1047" t="s">
        <v>834</v>
      </c>
      <c r="S9" s="1048" t="s">
        <v>835</v>
      </c>
      <c r="T9" s="1047" t="s">
        <v>834</v>
      </c>
      <c r="U9" s="1048" t="s">
        <v>835</v>
      </c>
      <c r="V9" s="1088" t="s">
        <v>834</v>
      </c>
      <c r="W9" s="1088" t="s">
        <v>835</v>
      </c>
      <c r="X9" s="1029" t="s">
        <v>834</v>
      </c>
      <c r="Y9" s="1031" t="s">
        <v>835</v>
      </c>
      <c r="Z9" s="1029" t="s">
        <v>834</v>
      </c>
      <c r="AA9" s="1031" t="s">
        <v>835</v>
      </c>
      <c r="AB9" s="165"/>
      <c r="AC9" s="165"/>
      <c r="AD9" s="165"/>
      <c r="AE9" s="165"/>
      <c r="AF9" s="165"/>
      <c r="AG9" s="165"/>
      <c r="AH9" s="165"/>
      <c r="AI9" s="165"/>
      <c r="AJ9" s="165"/>
      <c r="AK9" s="165"/>
      <c r="AL9" s="165"/>
      <c r="AM9" s="165"/>
      <c r="AN9" s="165"/>
      <c r="AO9" s="165"/>
      <c r="AP9" s="165"/>
      <c r="AQ9" s="165"/>
      <c r="AR9" s="165"/>
      <c r="AS9" s="165"/>
      <c r="AT9" s="165"/>
      <c r="AU9" s="165"/>
      <c r="AV9" s="165"/>
      <c r="AW9" s="165"/>
      <c r="AX9" s="165"/>
      <c r="AY9" s="165"/>
      <c r="AZ9" s="165"/>
      <c r="BA9" s="165"/>
      <c r="BB9" s="165"/>
      <c r="BC9" s="165"/>
      <c r="BD9" s="165"/>
      <c r="BE9" s="165"/>
      <c r="BF9" s="165"/>
      <c r="BG9" s="165"/>
      <c r="BH9" s="165"/>
      <c r="BI9" s="165"/>
      <c r="BJ9" s="165"/>
      <c r="BK9" s="165"/>
      <c r="BL9" s="165"/>
      <c r="BM9" s="165"/>
      <c r="BN9" s="165"/>
      <c r="BO9" s="165"/>
      <c r="BP9" s="165"/>
      <c r="BQ9" s="165"/>
      <c r="BR9" s="165"/>
      <c r="BS9" s="165"/>
      <c r="BT9" s="165"/>
      <c r="BU9" s="165"/>
      <c r="BV9" s="165"/>
      <c r="BW9" s="165"/>
      <c r="BX9" s="165"/>
      <c r="BY9" s="165"/>
      <c r="BZ9" s="165"/>
      <c r="CA9" s="165"/>
      <c r="CB9" s="165"/>
      <c r="CC9" s="165"/>
      <c r="CD9" s="165"/>
      <c r="CE9" s="165"/>
      <c r="CF9" s="165"/>
      <c r="CG9" s="165"/>
      <c r="CH9" s="165"/>
      <c r="CI9" s="165"/>
      <c r="CJ9" s="165"/>
      <c r="CK9" s="165"/>
      <c r="CL9" s="165"/>
      <c r="CM9" s="165"/>
      <c r="CN9" s="165"/>
      <c r="CO9" s="165"/>
      <c r="CP9" s="165"/>
      <c r="CQ9" s="165"/>
      <c r="CR9" s="165"/>
      <c r="CS9" s="165"/>
      <c r="CT9" s="165"/>
      <c r="CU9" s="165"/>
      <c r="CV9" s="165"/>
    </row>
    <row r="10" spans="1:100" ht="12" customHeight="1">
      <c r="A10" s="31"/>
      <c r="B10" s="41"/>
      <c r="C10" s="210"/>
      <c r="D10" s="754"/>
      <c r="E10" s="210"/>
      <c r="F10" s="34"/>
      <c r="G10" s="34"/>
      <c r="H10" s="41"/>
      <c r="I10" s="210"/>
      <c r="J10" s="1153"/>
      <c r="K10" s="1154"/>
      <c r="L10" s="32"/>
      <c r="M10" s="34"/>
      <c r="N10" s="41"/>
      <c r="O10" s="210"/>
      <c r="P10" s="34"/>
      <c r="Q10" s="34"/>
      <c r="R10" s="41"/>
      <c r="S10" s="210"/>
      <c r="T10" s="34"/>
      <c r="U10" s="34"/>
      <c r="V10" s="41"/>
      <c r="W10" s="210"/>
      <c r="X10" s="1164"/>
      <c r="Y10" s="1165"/>
      <c r="Z10" s="1164"/>
      <c r="AA10" s="1165"/>
    </row>
    <row r="11" spans="1:100" ht="17.25" customHeight="1">
      <c r="A11" s="303" t="s">
        <v>837</v>
      </c>
      <c r="B11" s="755">
        <f>+[3]Consolidado!$D$15</f>
        <v>3</v>
      </c>
      <c r="C11" s="756">
        <f>+[3]Consolidado!$G$15</f>
        <v>1</v>
      </c>
      <c r="D11" s="371">
        <f>+[3]Consolidado!$D$16</f>
        <v>1</v>
      </c>
      <c r="E11" s="756">
        <f>+[3]Consolidado!$G$16</f>
        <v>0</v>
      </c>
      <c r="F11" s="371">
        <f>+[3]Consolidado!$D$17</f>
        <v>0</v>
      </c>
      <c r="G11" s="756">
        <f>+[3]Consolidado!$G$17</f>
        <v>0</v>
      </c>
      <c r="H11" s="371">
        <f>+[3]Consolidado!$D$18</f>
        <v>0</v>
      </c>
      <c r="I11" s="371">
        <f>+[3]Consolidado!$G$18</f>
        <v>0</v>
      </c>
      <c r="J11" s="1155">
        <f>+B11+D11+F11+H11</f>
        <v>4</v>
      </c>
      <c r="K11" s="1156">
        <f t="shared" ref="J11:K15" si="0">+C11+E11+G11+I11</f>
        <v>1</v>
      </c>
      <c r="L11" s="755">
        <f>+[3]Consolidado!$D$20</f>
        <v>3</v>
      </c>
      <c r="M11" s="756">
        <f>+[3]Consolidado!$G$20</f>
        <v>0</v>
      </c>
      <c r="N11" s="755">
        <f>+[3]Consolidado!$D$21</f>
        <v>0</v>
      </c>
      <c r="O11" s="756">
        <f>+[3]Consolidado!$G$21</f>
        <v>0</v>
      </c>
      <c r="P11" s="755">
        <f>+[3]Consolidado!$D$22</f>
        <v>1</v>
      </c>
      <c r="Q11" s="756">
        <f>+[3]Consolidado!$G$22</f>
        <v>0</v>
      </c>
      <c r="R11" s="755">
        <f>+[3]Consolidado!$D$23</f>
        <v>0</v>
      </c>
      <c r="S11" s="756">
        <f>+[3]Consolidado!$G$23</f>
        <v>0</v>
      </c>
      <c r="T11" s="755">
        <f>+[3]Consolidado!$D$24</f>
        <v>1</v>
      </c>
      <c r="U11" s="756">
        <f>+[3]Consolidado!$G$24</f>
        <v>0</v>
      </c>
      <c r="V11" s="755">
        <f>+[3]Consolidado!$D$25</f>
        <v>0</v>
      </c>
      <c r="W11" s="756">
        <f>+[3]Consolidado!$G$25</f>
        <v>0</v>
      </c>
      <c r="X11" s="1155">
        <f t="shared" ref="X11:Y15" si="1">+L11+N11+P11+R11+T11+V11</f>
        <v>5</v>
      </c>
      <c r="Y11" s="1156">
        <f t="shared" si="1"/>
        <v>0</v>
      </c>
      <c r="Z11" s="1155">
        <f t="shared" ref="Z11:AA15" si="2">+X11+J11</f>
        <v>9</v>
      </c>
      <c r="AA11" s="1156">
        <f t="shared" si="2"/>
        <v>1</v>
      </c>
      <c r="AB11" s="6"/>
      <c r="AC11" s="6"/>
      <c r="AD11" s="6"/>
      <c r="AE11" s="6"/>
      <c r="AF11" s="6"/>
      <c r="AG11" s="6"/>
      <c r="AH11" s="6"/>
      <c r="AI11" s="6"/>
      <c r="AJ11" s="6"/>
      <c r="AK11" s="6"/>
      <c r="AL11" s="6"/>
      <c r="AM11" s="6"/>
      <c r="AN11" s="6"/>
      <c r="AO11" s="6"/>
      <c r="AP11" s="6"/>
      <c r="AQ11" s="6"/>
      <c r="AR11" s="6"/>
      <c r="AS11" s="6"/>
      <c r="AT11" s="6"/>
      <c r="AU11" s="6"/>
      <c r="AV11" s="6"/>
      <c r="AW11" s="6"/>
      <c r="AX11" s="6"/>
      <c r="AY11" s="6"/>
      <c r="AZ11" s="6"/>
    </row>
    <row r="12" spans="1:100" ht="19.5" customHeight="1">
      <c r="A12" s="181" t="s">
        <v>838</v>
      </c>
      <c r="B12" s="755">
        <f>+[3]Consolidado!$F$15</f>
        <v>1</v>
      </c>
      <c r="C12" s="756">
        <f>+[3]Consolidado!$E$15</f>
        <v>1</v>
      </c>
      <c r="D12" s="371">
        <f>+[3]Consolidado!$F$16</f>
        <v>2</v>
      </c>
      <c r="E12" s="756">
        <f>+[3]Consolidado!$E$16</f>
        <v>0</v>
      </c>
      <c r="F12" s="371">
        <f>+[3]Consolidado!$F$17</f>
        <v>2</v>
      </c>
      <c r="G12" s="756">
        <f>+[3]Consolidado!$E$17</f>
        <v>1</v>
      </c>
      <c r="H12" s="371">
        <f>+[3]Consolidado!$F$18</f>
        <v>0</v>
      </c>
      <c r="I12" s="371">
        <f>+[3]Consolidado!$E$18</f>
        <v>0</v>
      </c>
      <c r="J12" s="1155">
        <f t="shared" si="0"/>
        <v>5</v>
      </c>
      <c r="K12" s="1156">
        <f t="shared" si="0"/>
        <v>2</v>
      </c>
      <c r="L12" s="755">
        <f>+[3]Consolidado!$F$20</f>
        <v>3</v>
      </c>
      <c r="M12" s="756">
        <f>+[3]Consolidado!$E$20</f>
        <v>4</v>
      </c>
      <c r="N12" s="755">
        <f>+[3]Consolidado!$F$21</f>
        <v>0</v>
      </c>
      <c r="O12" s="756">
        <f>+[3]Consolidado!$E$21</f>
        <v>0</v>
      </c>
      <c r="P12" s="755">
        <f>+[3]Consolidado!$F$22</f>
        <v>0</v>
      </c>
      <c r="Q12" s="756">
        <f>+[3]Consolidado!$E$22</f>
        <v>0</v>
      </c>
      <c r="R12" s="755">
        <f>+[3]Consolidado!$F$23</f>
        <v>0</v>
      </c>
      <c r="S12" s="756">
        <f>+[3]Consolidado!$E$23</f>
        <v>0</v>
      </c>
      <c r="T12" s="755">
        <f>+[3]Consolidado!$F$24</f>
        <v>2</v>
      </c>
      <c r="U12" s="756">
        <f>+[3]Consolidado!$E$24</f>
        <v>1</v>
      </c>
      <c r="V12" s="755">
        <f>+[3]Consolidado!$F$25</f>
        <v>0</v>
      </c>
      <c r="W12" s="756">
        <f>+[3]Consolidado!$E$25</f>
        <v>1</v>
      </c>
      <c r="X12" s="1155">
        <f t="shared" si="1"/>
        <v>5</v>
      </c>
      <c r="Y12" s="1156">
        <f t="shared" si="1"/>
        <v>6</v>
      </c>
      <c r="Z12" s="1155">
        <f t="shared" si="2"/>
        <v>10</v>
      </c>
      <c r="AA12" s="1156">
        <f t="shared" si="2"/>
        <v>8</v>
      </c>
    </row>
    <row r="13" spans="1:100" ht="18.75" customHeight="1">
      <c r="A13" s="181" t="s">
        <v>839</v>
      </c>
      <c r="B13" s="755">
        <f>+[3]Consolidado!$H$15</f>
        <v>8</v>
      </c>
      <c r="C13" s="756">
        <f>+[3]Consolidado!$I$15</f>
        <v>0</v>
      </c>
      <c r="D13" s="371">
        <f>+[3]Consolidado!$H$16</f>
        <v>3</v>
      </c>
      <c r="E13" s="756">
        <f>+[3]Consolidado!$I$16</f>
        <v>0</v>
      </c>
      <c r="F13" s="371">
        <f>+[3]Consolidado!$H$17</f>
        <v>1</v>
      </c>
      <c r="G13" s="756">
        <f>+[3]Consolidado!$I$17</f>
        <v>0</v>
      </c>
      <c r="H13" s="371">
        <f>+[3]Consolidado!$H$18</f>
        <v>3</v>
      </c>
      <c r="I13" s="371">
        <f>+[3]Consolidado!$I$18</f>
        <v>0</v>
      </c>
      <c r="J13" s="1155">
        <f t="shared" si="0"/>
        <v>15</v>
      </c>
      <c r="K13" s="1156">
        <f t="shared" si="0"/>
        <v>0</v>
      </c>
      <c r="L13" s="755">
        <f>+[3]Consolidado!$H$20</f>
        <v>13</v>
      </c>
      <c r="M13" s="756">
        <f>+[3]Consolidado!$I$20</f>
        <v>0</v>
      </c>
      <c r="N13" s="755">
        <f>+[3]Consolidado!$H$21</f>
        <v>2</v>
      </c>
      <c r="O13" s="756">
        <f>+[3]Consolidado!$I$21</f>
        <v>0</v>
      </c>
      <c r="P13" s="755">
        <f>+[3]Consolidado!$H$22</f>
        <v>2</v>
      </c>
      <c r="Q13" s="756">
        <f>+[3]Consolidado!$I$22</f>
        <v>0</v>
      </c>
      <c r="R13" s="755">
        <f>+[3]Consolidado!$H$23</f>
        <v>0</v>
      </c>
      <c r="S13" s="756">
        <f>+[3]Consolidado!$I$23</f>
        <v>0</v>
      </c>
      <c r="T13" s="755">
        <f>+[3]Consolidado!$H$24</f>
        <v>5</v>
      </c>
      <c r="U13" s="756">
        <f>+[3]Consolidado!$I$24</f>
        <v>0</v>
      </c>
      <c r="V13" s="755">
        <f>+[3]Consolidado!$H$25</f>
        <v>1</v>
      </c>
      <c r="W13" s="756">
        <f>+[3]Consolidado!$I$25</f>
        <v>0</v>
      </c>
      <c r="X13" s="1155">
        <f t="shared" si="1"/>
        <v>23</v>
      </c>
      <c r="Y13" s="1156">
        <f t="shared" si="1"/>
        <v>0</v>
      </c>
      <c r="Z13" s="1155">
        <f t="shared" si="2"/>
        <v>38</v>
      </c>
      <c r="AA13" s="1156">
        <f t="shared" si="2"/>
        <v>0</v>
      </c>
    </row>
    <row r="14" spans="1:100" ht="18.75" customHeight="1">
      <c r="A14" s="181" t="s">
        <v>840</v>
      </c>
      <c r="B14" s="755">
        <f>+[3]Consolidado!$J$15</f>
        <v>21</v>
      </c>
      <c r="C14" s="756">
        <f>+[3]Consolidado!$K$15</f>
        <v>0</v>
      </c>
      <c r="D14" s="371">
        <f>+[3]Consolidado!$J$16</f>
        <v>6</v>
      </c>
      <c r="E14" s="756">
        <f>+[3]Consolidado!$K$16</f>
        <v>0</v>
      </c>
      <c r="F14" s="371">
        <f>+[3]Consolidado!$J$17</f>
        <v>7</v>
      </c>
      <c r="G14" s="756">
        <f>+[3]Consolidado!$K$17</f>
        <v>0</v>
      </c>
      <c r="H14" s="371">
        <f>+[3]Consolidado!$J$18</f>
        <v>7</v>
      </c>
      <c r="I14" s="371">
        <f>+[3]Consolidado!$K$18</f>
        <v>0</v>
      </c>
      <c r="J14" s="1155">
        <f t="shared" si="0"/>
        <v>41</v>
      </c>
      <c r="K14" s="1156">
        <f t="shared" si="0"/>
        <v>0</v>
      </c>
      <c r="L14" s="755">
        <f>+[3]Consolidado!$J$20</f>
        <v>28</v>
      </c>
      <c r="M14" s="756">
        <f>+[3]Consolidado!$K$20</f>
        <v>1</v>
      </c>
      <c r="N14" s="755">
        <f>+[3]Consolidado!$J$21</f>
        <v>6</v>
      </c>
      <c r="O14" s="756">
        <f>+[3]Consolidado!$K$21</f>
        <v>0</v>
      </c>
      <c r="P14" s="755">
        <f>+[3]Consolidado!$J$22</f>
        <v>12</v>
      </c>
      <c r="Q14" s="756">
        <f>+[3]Consolidado!$K$22</f>
        <v>0</v>
      </c>
      <c r="R14" s="755">
        <f>+[3]Consolidado!$J$23</f>
        <v>4</v>
      </c>
      <c r="S14" s="756">
        <f>+[3]Consolidado!$K$23</f>
        <v>0</v>
      </c>
      <c r="T14" s="755">
        <f>+[3]Consolidado!$J$24</f>
        <v>21</v>
      </c>
      <c r="U14" s="756">
        <f>+[3]Consolidado!$K$24</f>
        <v>0</v>
      </c>
      <c r="V14" s="755">
        <f>+[3]Consolidado!$J$25</f>
        <v>7</v>
      </c>
      <c r="W14" s="756">
        <f>+[3]Consolidado!$K$25</f>
        <v>1</v>
      </c>
      <c r="X14" s="1155">
        <f t="shared" si="1"/>
        <v>78</v>
      </c>
      <c r="Y14" s="1156">
        <f t="shared" si="1"/>
        <v>2</v>
      </c>
      <c r="Z14" s="1155">
        <f t="shared" si="2"/>
        <v>119</v>
      </c>
      <c r="AA14" s="1156">
        <f t="shared" si="2"/>
        <v>2</v>
      </c>
    </row>
    <row r="15" spans="1:100" ht="18.75" customHeight="1">
      <c r="A15" s="181" t="s">
        <v>841</v>
      </c>
      <c r="B15" s="755">
        <f>+[3]Consolidado!$L$15</f>
        <v>104</v>
      </c>
      <c r="C15" s="756">
        <f>+[3]Consolidado!$M$15</f>
        <v>1</v>
      </c>
      <c r="D15" s="371">
        <f>+[3]Consolidado!$L$16</f>
        <v>29</v>
      </c>
      <c r="E15" s="756">
        <f>+[3]Consolidado!$M$16</f>
        <v>0</v>
      </c>
      <c r="F15" s="371">
        <f>+[3]Consolidado!$L$17</f>
        <v>28</v>
      </c>
      <c r="G15" s="756">
        <f>+[3]Consolidado!$M$17</f>
        <v>0</v>
      </c>
      <c r="H15" s="371">
        <f>+[3]Consolidado!$L$18</f>
        <v>18</v>
      </c>
      <c r="I15" s="371">
        <f>+[3]Consolidado!$M$18</f>
        <v>0</v>
      </c>
      <c r="J15" s="1155">
        <f t="shared" si="0"/>
        <v>179</v>
      </c>
      <c r="K15" s="1156">
        <f t="shared" si="0"/>
        <v>1</v>
      </c>
      <c r="L15" s="755">
        <f>+[3]Consolidado!$L$20</f>
        <v>181</v>
      </c>
      <c r="M15" s="756">
        <f>+[3]Consolidado!$M$20</f>
        <v>0</v>
      </c>
      <c r="N15" s="755">
        <f>+[3]Consolidado!$L$21</f>
        <v>31</v>
      </c>
      <c r="O15" s="756">
        <f>+[3]Consolidado!$M$21</f>
        <v>1</v>
      </c>
      <c r="P15" s="755">
        <f>+[3]Consolidado!$L$22</f>
        <v>20</v>
      </c>
      <c r="Q15" s="756">
        <f>+[3]Consolidado!$M$22</f>
        <v>0</v>
      </c>
      <c r="R15" s="755">
        <f>+[3]Consolidado!$L$23</f>
        <v>9</v>
      </c>
      <c r="S15" s="756">
        <f>+[3]Consolidado!$M$23</f>
        <v>0</v>
      </c>
      <c r="T15" s="755">
        <f>+[3]Consolidado!$L$24</f>
        <v>51</v>
      </c>
      <c r="U15" s="756">
        <f>+[3]Consolidado!$M$24</f>
        <v>0</v>
      </c>
      <c r="V15" s="755">
        <f>+[3]Consolidado!$L$25</f>
        <v>21</v>
      </c>
      <c r="W15" s="756">
        <f>+[3]Consolidado!$M$25</f>
        <v>0</v>
      </c>
      <c r="X15" s="1155">
        <f t="shared" si="1"/>
        <v>313</v>
      </c>
      <c r="Y15" s="1156">
        <f t="shared" si="1"/>
        <v>1</v>
      </c>
      <c r="Z15" s="1155">
        <f t="shared" si="2"/>
        <v>492</v>
      </c>
      <c r="AA15" s="1156">
        <f t="shared" si="2"/>
        <v>2</v>
      </c>
    </row>
    <row r="16" spans="1:100" ht="19.5" customHeight="1">
      <c r="A16" s="181" t="s">
        <v>842</v>
      </c>
      <c r="B16" s="755">
        <f>SUM(B11:B15)</f>
        <v>137</v>
      </c>
      <c r="C16" s="756">
        <f>SUM(C11:C15)</f>
        <v>3</v>
      </c>
      <c r="D16" s="371">
        <f t="shared" ref="D16:I16" si="3">SUM(D11:D15)</f>
        <v>41</v>
      </c>
      <c r="E16" s="756">
        <f t="shared" si="3"/>
        <v>0</v>
      </c>
      <c r="F16" s="371">
        <f t="shared" si="3"/>
        <v>38</v>
      </c>
      <c r="G16" s="756">
        <f t="shared" si="3"/>
        <v>1</v>
      </c>
      <c r="H16" s="371">
        <f t="shared" si="3"/>
        <v>28</v>
      </c>
      <c r="I16" s="371">
        <f t="shared" si="3"/>
        <v>0</v>
      </c>
      <c r="J16" s="1155">
        <f>SUM(J11:J15)</f>
        <v>244</v>
      </c>
      <c r="K16" s="1156">
        <f>SUM(K11:K15)</f>
        <v>4</v>
      </c>
      <c r="L16" s="755">
        <f t="shared" ref="L16:W16" si="4">SUM(L11:L15)</f>
        <v>228</v>
      </c>
      <c r="M16" s="756">
        <f t="shared" si="4"/>
        <v>5</v>
      </c>
      <c r="N16" s="755">
        <f t="shared" si="4"/>
        <v>39</v>
      </c>
      <c r="O16" s="756">
        <f t="shared" si="4"/>
        <v>1</v>
      </c>
      <c r="P16" s="755">
        <f t="shared" si="4"/>
        <v>35</v>
      </c>
      <c r="Q16" s="756">
        <f t="shared" si="4"/>
        <v>0</v>
      </c>
      <c r="R16" s="755">
        <f t="shared" si="4"/>
        <v>13</v>
      </c>
      <c r="S16" s="756">
        <f t="shared" si="4"/>
        <v>0</v>
      </c>
      <c r="T16" s="755">
        <f t="shared" si="4"/>
        <v>80</v>
      </c>
      <c r="U16" s="756">
        <f t="shared" si="4"/>
        <v>1</v>
      </c>
      <c r="V16" s="755">
        <f t="shared" si="4"/>
        <v>29</v>
      </c>
      <c r="W16" s="756">
        <f t="shared" si="4"/>
        <v>2</v>
      </c>
      <c r="X16" s="1155">
        <f>SUM(X11:X15)</f>
        <v>424</v>
      </c>
      <c r="Y16" s="1166">
        <f>SUM(Y11:Y15)</f>
        <v>9</v>
      </c>
      <c r="Z16" s="1155">
        <f>SUM(Z11:Z15)</f>
        <v>668</v>
      </c>
      <c r="AA16" s="1156">
        <f>SUM(AA11:AA15)</f>
        <v>13</v>
      </c>
    </row>
    <row r="17" spans="1:27" ht="19.5" customHeight="1">
      <c r="A17" s="181" t="s">
        <v>843</v>
      </c>
      <c r="B17" s="755">
        <f>+[3]Consolidado!$N$15</f>
        <v>234</v>
      </c>
      <c r="C17" s="756">
        <f>+[3]Consolidado!$O$15</f>
        <v>0</v>
      </c>
      <c r="D17" s="371">
        <f>+[3]Consolidado!$N$16</f>
        <v>56</v>
      </c>
      <c r="E17" s="756">
        <f>+[3]Consolidado!$O$16</f>
        <v>0</v>
      </c>
      <c r="F17" s="371">
        <f>+[3]Consolidado!$N$17</f>
        <v>49</v>
      </c>
      <c r="G17" s="756">
        <f>+[3]Consolidado!$O$17</f>
        <v>1</v>
      </c>
      <c r="H17" s="371">
        <f>+[3]Consolidado!$N$18</f>
        <v>17</v>
      </c>
      <c r="I17" s="371">
        <f>+[3]Consolidado!$O$18</f>
        <v>0</v>
      </c>
      <c r="J17" s="1155">
        <f t="shared" ref="J17:K19" si="5">+B17+D17+F17+H17</f>
        <v>356</v>
      </c>
      <c r="K17" s="1156">
        <f t="shared" si="5"/>
        <v>1</v>
      </c>
      <c r="L17" s="755">
        <f>+[3]Consolidado!$N$20</f>
        <v>339</v>
      </c>
      <c r="M17" s="756">
        <f>+[3]Consolidado!$O$20</f>
        <v>0</v>
      </c>
      <c r="N17" s="755">
        <f>+[3]Consolidado!$N$21</f>
        <v>59</v>
      </c>
      <c r="O17" s="756">
        <f>+[3]Consolidado!$O$21</f>
        <v>0</v>
      </c>
      <c r="P17" s="755">
        <f>+[3]Consolidado!$N$22</f>
        <v>54</v>
      </c>
      <c r="Q17" s="756">
        <f>+[3]Consolidado!$O$22</f>
        <v>0</v>
      </c>
      <c r="R17" s="755">
        <f>+[3]Consolidado!$N$23</f>
        <v>18</v>
      </c>
      <c r="S17" s="756">
        <f>+[3]Consolidado!$O$23</f>
        <v>0</v>
      </c>
      <c r="T17" s="755">
        <f>+[3]Consolidado!$N$24</f>
        <v>90</v>
      </c>
      <c r="U17" s="756">
        <f>+[3]Consolidado!$O$24</f>
        <v>0</v>
      </c>
      <c r="V17" s="755">
        <f>+[3]Consolidado!$N$25</f>
        <v>47</v>
      </c>
      <c r="W17" s="756">
        <f>+[3]Consolidado!$O$25</f>
        <v>0</v>
      </c>
      <c r="X17" s="1155">
        <f t="shared" ref="X17:Y19" si="6">+L17+N17+P17+R17+T17+V17</f>
        <v>607</v>
      </c>
      <c r="Y17" s="1156">
        <f t="shared" si="6"/>
        <v>0</v>
      </c>
      <c r="Z17" s="1155">
        <f t="shared" ref="Z17:AA19" si="7">+X17+J17</f>
        <v>963</v>
      </c>
      <c r="AA17" s="1156">
        <f t="shared" si="7"/>
        <v>1</v>
      </c>
    </row>
    <row r="18" spans="1:27" ht="18.75" customHeight="1">
      <c r="A18" s="181" t="s">
        <v>844</v>
      </c>
      <c r="B18" s="755">
        <f>+[3]Consolidado!$P$15</f>
        <v>116</v>
      </c>
      <c r="C18" s="756">
        <f>+[3]Consolidado!$Q$15</f>
        <v>0</v>
      </c>
      <c r="D18" s="371">
        <f>+[3]Consolidado!$P$16</f>
        <v>38</v>
      </c>
      <c r="E18" s="756">
        <f>+[3]Consolidado!$Q$16</f>
        <v>0</v>
      </c>
      <c r="F18" s="371">
        <f>+[3]Consolidado!$P$17</f>
        <v>35</v>
      </c>
      <c r="G18" s="756">
        <f>+[3]Consolidado!$Q$17</f>
        <v>0</v>
      </c>
      <c r="H18" s="371">
        <f>+[3]Consolidado!$P$18</f>
        <v>12</v>
      </c>
      <c r="I18" s="371">
        <f>+[3]Consolidado!$Q$18</f>
        <v>0</v>
      </c>
      <c r="J18" s="1155">
        <f>+B18+D18+F18+H18</f>
        <v>201</v>
      </c>
      <c r="K18" s="1156">
        <f>+C19+E19+G19+I19</f>
        <v>0</v>
      </c>
      <c r="L18" s="755">
        <f>+[3]Consolidado!$P$20</f>
        <v>170</v>
      </c>
      <c r="M18" s="756">
        <f>+[3]Consolidado!$Q$20</f>
        <v>0</v>
      </c>
      <c r="N18" s="755">
        <f>+[3]Consolidado!$P$21</f>
        <v>30</v>
      </c>
      <c r="O18" s="756">
        <f>+[3]Consolidado!$Q$21</f>
        <v>1</v>
      </c>
      <c r="P18" s="755">
        <f>+[3]Consolidado!$P$22</f>
        <v>38</v>
      </c>
      <c r="Q18" s="756">
        <f>+[3]Consolidado!$Q$22</f>
        <v>0</v>
      </c>
      <c r="R18" s="755">
        <f>+[3]Consolidado!$P$23</f>
        <v>13</v>
      </c>
      <c r="S18" s="756">
        <f>+[3]Consolidado!$Q$23</f>
        <v>0</v>
      </c>
      <c r="T18" s="755">
        <f>+[3]Consolidado!$P$24</f>
        <v>53</v>
      </c>
      <c r="U18" s="756">
        <f>+[3]Consolidado!$Q$24</f>
        <v>0</v>
      </c>
      <c r="V18" s="755">
        <f>+[3]Consolidado!$P$25</f>
        <v>22</v>
      </c>
      <c r="W18" s="756">
        <f>+[3]Consolidado!$Q$25</f>
        <v>0</v>
      </c>
      <c r="X18" s="1155">
        <f t="shared" si="6"/>
        <v>326</v>
      </c>
      <c r="Y18" s="1156">
        <f t="shared" si="6"/>
        <v>1</v>
      </c>
      <c r="Z18" s="1155">
        <f t="shared" si="7"/>
        <v>527</v>
      </c>
      <c r="AA18" s="1156">
        <f t="shared" si="7"/>
        <v>1</v>
      </c>
    </row>
    <row r="19" spans="1:27" ht="18.75" customHeight="1">
      <c r="A19" s="181" t="s">
        <v>845</v>
      </c>
      <c r="B19" s="755">
        <f>+[3]Consolidado!$R$15+[3]Consolidado!$T$15</f>
        <v>33</v>
      </c>
      <c r="C19" s="756">
        <f>+[3]Consolidado!$S$15+[3]Consolidado!$U$15</f>
        <v>0</v>
      </c>
      <c r="D19" s="371">
        <f>+[3]Consolidado!$R$16+[3]Consolidado!$T$16</f>
        <v>9</v>
      </c>
      <c r="E19" s="756">
        <f>+[3]Consolidado!$S$16+[3]Consolidado!$U$16</f>
        <v>0</v>
      </c>
      <c r="F19" s="371">
        <f>+[3]Consolidado!$R$17+[3]Consolidado!$T$17</f>
        <v>9</v>
      </c>
      <c r="G19" s="756">
        <f>+[3]Consolidado!$S$17+[3]Consolidado!$U$17</f>
        <v>0</v>
      </c>
      <c r="H19" s="371">
        <f>+[3]Consolidado!$R$18+[3]Consolidado!$T$18</f>
        <v>2</v>
      </c>
      <c r="I19" s="371">
        <f>+[3]Consolidado!$S$18+[3]Consolidado!$U$18</f>
        <v>0</v>
      </c>
      <c r="J19" s="1155">
        <f t="shared" si="5"/>
        <v>53</v>
      </c>
      <c r="K19" s="1156">
        <f t="shared" si="5"/>
        <v>0</v>
      </c>
      <c r="L19" s="755">
        <f>+[3]Consolidado!$R$20+[3]Consolidado!$T$20</f>
        <v>25</v>
      </c>
      <c r="M19" s="756">
        <f>+[3]Consolidado!$S$20+[3]Consolidado!$U$20</f>
        <v>0</v>
      </c>
      <c r="N19" s="755">
        <f>+[3]Consolidado!$R$21+[3]Consolidado!$T$21</f>
        <v>6</v>
      </c>
      <c r="O19" s="756">
        <f>+[3]Consolidado!$S$21+[3]Consolidado!$U$21</f>
        <v>0</v>
      </c>
      <c r="P19" s="755">
        <f>+[3]Consolidado!$R$22+[3]Consolidado!$T$22</f>
        <v>8</v>
      </c>
      <c r="Q19" s="756">
        <f>+[3]Consolidado!$S$22+[3]Consolidado!$U$22</f>
        <v>0</v>
      </c>
      <c r="R19" s="755">
        <f>+[3]Consolidado!$R$23+[3]Consolidado!$T$23</f>
        <v>2</v>
      </c>
      <c r="S19" s="756">
        <f>+[3]Consolidado!$S$23+[3]Consolidado!$U$23</f>
        <v>0</v>
      </c>
      <c r="T19" s="755">
        <f>+[3]Consolidado!$R$24+[3]Consolidado!$T$24</f>
        <v>9</v>
      </c>
      <c r="U19" s="756">
        <f>+[3]Consolidado!$S$24+[3]Consolidado!$U$24</f>
        <v>0</v>
      </c>
      <c r="V19" s="755">
        <f>+[3]Consolidado!$R$25+[3]Consolidado!$T$25</f>
        <v>6</v>
      </c>
      <c r="W19" s="756">
        <f>+[3]Consolidado!$S$25+[3]Consolidado!$U$25</f>
        <v>1</v>
      </c>
      <c r="X19" s="1155">
        <f t="shared" si="6"/>
        <v>56</v>
      </c>
      <c r="Y19" s="1156">
        <f t="shared" si="6"/>
        <v>1</v>
      </c>
      <c r="Z19" s="1155">
        <f t="shared" si="7"/>
        <v>109</v>
      </c>
      <c r="AA19" s="1156">
        <f t="shared" si="7"/>
        <v>1</v>
      </c>
    </row>
    <row r="20" spans="1:27" ht="23.25" customHeight="1">
      <c r="A20" s="183" t="s">
        <v>594</v>
      </c>
      <c r="B20" s="305">
        <f>SUM(B16:B19)</f>
        <v>520</v>
      </c>
      <c r="C20" s="306">
        <f t="shared" ref="C20:R20" si="8">SUM(C16:C19)</f>
        <v>3</v>
      </c>
      <c r="D20" s="305">
        <f>SUM(D16:D19)</f>
        <v>144</v>
      </c>
      <c r="E20" s="307">
        <f t="shared" si="8"/>
        <v>0</v>
      </c>
      <c r="F20" s="306">
        <f t="shared" si="8"/>
        <v>131</v>
      </c>
      <c r="G20" s="306">
        <f t="shared" si="8"/>
        <v>2</v>
      </c>
      <c r="H20" s="305">
        <f>SUM(H16:H19)</f>
        <v>59</v>
      </c>
      <c r="I20" s="307">
        <f t="shared" si="8"/>
        <v>0</v>
      </c>
      <c r="J20" s="1157">
        <f t="shared" si="8"/>
        <v>854</v>
      </c>
      <c r="K20" s="1158">
        <f t="shared" si="8"/>
        <v>5</v>
      </c>
      <c r="L20" s="306">
        <f t="shared" si="8"/>
        <v>762</v>
      </c>
      <c r="M20" s="306">
        <f t="shared" si="8"/>
        <v>5</v>
      </c>
      <c r="N20" s="305">
        <f t="shared" si="8"/>
        <v>134</v>
      </c>
      <c r="O20" s="307">
        <f t="shared" si="8"/>
        <v>2</v>
      </c>
      <c r="P20" s="306">
        <f t="shared" si="8"/>
        <v>135</v>
      </c>
      <c r="Q20" s="306">
        <f t="shared" si="8"/>
        <v>0</v>
      </c>
      <c r="R20" s="305">
        <f t="shared" si="8"/>
        <v>46</v>
      </c>
      <c r="S20" s="307">
        <f t="shared" ref="S20:AA20" si="9">SUM(S16:S19)</f>
        <v>0</v>
      </c>
      <c r="T20" s="306">
        <f t="shared" si="9"/>
        <v>232</v>
      </c>
      <c r="U20" s="306">
        <f t="shared" si="9"/>
        <v>1</v>
      </c>
      <c r="V20" s="305">
        <f t="shared" si="9"/>
        <v>104</v>
      </c>
      <c r="W20" s="307">
        <f t="shared" si="9"/>
        <v>3</v>
      </c>
      <c r="X20" s="1157">
        <f t="shared" si="9"/>
        <v>1413</v>
      </c>
      <c r="Y20" s="1158">
        <f t="shared" si="9"/>
        <v>11</v>
      </c>
      <c r="Z20" s="1157">
        <f t="shared" si="9"/>
        <v>2267</v>
      </c>
      <c r="AA20" s="1158">
        <f t="shared" si="9"/>
        <v>16</v>
      </c>
    </row>
    <row r="21" spans="1:27">
      <c r="A21" s="6"/>
      <c r="B21" s="304"/>
      <c r="C21" s="304"/>
      <c r="D21" s="304"/>
      <c r="E21" s="304"/>
      <c r="F21" s="304"/>
      <c r="G21" s="304"/>
      <c r="H21" s="304"/>
      <c r="I21" s="304"/>
      <c r="J21" s="1159"/>
      <c r="K21" s="1159"/>
      <c r="L21" s="304"/>
      <c r="M21" s="304"/>
      <c r="N21" s="304"/>
      <c r="O21" s="304"/>
      <c r="P21" s="304"/>
      <c r="Q21" s="304"/>
      <c r="R21" s="304"/>
      <c r="S21" s="304"/>
      <c r="T21" s="304"/>
      <c r="U21" s="304"/>
      <c r="V21" s="304"/>
      <c r="W21" s="304"/>
      <c r="X21" s="1159"/>
      <c r="Y21" s="1159"/>
      <c r="Z21" s="1159"/>
      <c r="AA21" s="1159"/>
    </row>
    <row r="22" spans="1:27">
      <c r="A22" s="6"/>
      <c r="B22" s="304"/>
      <c r="C22" s="304"/>
      <c r="D22" s="304"/>
      <c r="E22" s="304"/>
      <c r="F22" s="304"/>
      <c r="G22" s="304"/>
      <c r="H22" s="304"/>
      <c r="I22" s="304"/>
      <c r="J22" s="1159"/>
      <c r="K22" s="1159"/>
      <c r="L22" s="304"/>
      <c r="M22" s="304"/>
      <c r="N22" s="304"/>
      <c r="O22" s="304"/>
      <c r="P22" s="304"/>
      <c r="Q22" s="304"/>
      <c r="R22" s="304"/>
      <c r="S22" s="304"/>
      <c r="T22" s="304"/>
      <c r="U22" s="304"/>
      <c r="V22" s="304"/>
      <c r="W22" s="304"/>
      <c r="X22" s="1159"/>
      <c r="Y22" s="1159"/>
      <c r="Z22" s="1159"/>
      <c r="AA22" s="1159"/>
    </row>
    <row r="23" spans="1:27" ht="20.25" customHeight="1">
      <c r="A23" s="308" t="s">
        <v>1278</v>
      </c>
      <c r="B23" s="309">
        <v>0</v>
      </c>
      <c r="C23" s="310"/>
      <c r="D23" s="309">
        <v>0</v>
      </c>
      <c r="E23" s="311"/>
      <c r="F23" s="310">
        <v>0</v>
      </c>
      <c r="G23" s="310"/>
      <c r="H23" s="309">
        <v>0</v>
      </c>
      <c r="I23" s="311"/>
      <c r="J23" s="1160">
        <f>+B23+D23+F23+H23</f>
        <v>0</v>
      </c>
      <c r="K23" s="1161"/>
      <c r="L23" s="309">
        <v>0</v>
      </c>
      <c r="M23" s="311"/>
      <c r="N23" s="310">
        <v>0</v>
      </c>
      <c r="O23" s="310"/>
      <c r="P23" s="309">
        <v>0</v>
      </c>
      <c r="Q23" s="311"/>
      <c r="R23" s="310">
        <v>0</v>
      </c>
      <c r="S23" s="310"/>
      <c r="T23" s="309">
        <v>0</v>
      </c>
      <c r="U23" s="311"/>
      <c r="V23" s="310">
        <v>0</v>
      </c>
      <c r="W23" s="311"/>
      <c r="X23" s="1167">
        <f>+L23+N23+P23+R23+T23+V23</f>
        <v>0</v>
      </c>
      <c r="Y23" s="1168"/>
      <c r="Z23" s="1167">
        <f>+X23+J23</f>
        <v>0</v>
      </c>
      <c r="AA23" s="1168"/>
    </row>
    <row r="24" spans="1:27" ht="20.25" customHeight="1">
      <c r="A24" s="312" t="s">
        <v>846</v>
      </c>
      <c r="B24" s="313">
        <f>+B23/B20*100</f>
        <v>0</v>
      </c>
      <c r="C24" s="306"/>
      <c r="D24" s="313">
        <f>+D23/D20*100</f>
        <v>0</v>
      </c>
      <c r="E24" s="307"/>
      <c r="F24" s="314">
        <f>+F23/F20*100</f>
        <v>0</v>
      </c>
      <c r="G24" s="306"/>
      <c r="H24" s="313">
        <f>+H23/H20*100</f>
        <v>0</v>
      </c>
      <c r="I24" s="307"/>
      <c r="J24" s="1162">
        <f>+J23/J20*100</f>
        <v>0</v>
      </c>
      <c r="K24" s="1163"/>
      <c r="L24" s="313">
        <f>+L23/L20*100</f>
        <v>0</v>
      </c>
      <c r="M24" s="307"/>
      <c r="N24" s="314">
        <f>+N23/N20*100</f>
        <v>0</v>
      </c>
      <c r="O24" s="306"/>
      <c r="P24" s="313">
        <f>+P23/P20*100</f>
        <v>0</v>
      </c>
      <c r="Q24" s="307"/>
      <c r="R24" s="314">
        <f>+R23/R20*100</f>
        <v>0</v>
      </c>
      <c r="S24" s="306"/>
      <c r="T24" s="313">
        <f>+T23/T20*100</f>
        <v>0</v>
      </c>
      <c r="U24" s="307"/>
      <c r="V24" s="314">
        <f>+V23/V20*100</f>
        <v>0</v>
      </c>
      <c r="W24" s="307"/>
      <c r="X24" s="1169">
        <f>+X23/X20*100</f>
        <v>0</v>
      </c>
      <c r="Y24" s="1158"/>
      <c r="Z24" s="1169">
        <f>+Z23/Z20*100</f>
        <v>0</v>
      </c>
      <c r="AA24" s="1158"/>
    </row>
    <row r="26" spans="1:27">
      <c r="A26" t="s">
        <v>1279</v>
      </c>
    </row>
  </sheetData>
  <phoneticPr fontId="18" type="noConversion"/>
  <pageMargins left="1.1811023622047245" right="0.59055118110236227" top="1.5748031496062993" bottom="0.98425196850393704" header="0.51181102362204722" footer="0.51181102362204722"/>
  <pageSetup paperSize="5" scale="95" orientation="landscape" horizontalDpi="300" verticalDpi="300" r:id="rId1"/>
  <headerFooter alignWithMargins="0"/>
  <ignoredErrors>
    <ignoredError sqref="J16:K17 X16:AA1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F21"/>
  <sheetViews>
    <sheetView showGridLines="0" zoomScaleNormal="100" workbookViewId="0">
      <selection activeCell="N36" sqref="N36"/>
    </sheetView>
  </sheetViews>
  <sheetFormatPr baseColWidth="10" defaultRowHeight="12.75"/>
  <sheetData>
    <row r="5" spans="1:6">
      <c r="E5" s="132"/>
    </row>
    <row r="10" spans="1:6" ht="23.25">
      <c r="A10" s="131"/>
      <c r="B10" s="134"/>
      <c r="C10" s="134"/>
      <c r="D10" s="134"/>
      <c r="E10" s="135"/>
      <c r="F10" s="1"/>
    </row>
    <row r="11" spans="1:6" ht="23.25">
      <c r="A11" s="131"/>
      <c r="B11" s="134"/>
      <c r="C11" s="134"/>
      <c r="D11" s="134"/>
      <c r="E11" s="135"/>
      <c r="F11" s="1"/>
    </row>
    <row r="12" spans="1:6" ht="23.25">
      <c r="A12" s="131"/>
      <c r="B12" s="134"/>
      <c r="C12" s="134"/>
      <c r="D12" s="134"/>
      <c r="E12" s="135"/>
      <c r="F12" s="1"/>
    </row>
    <row r="13" spans="1:6" ht="23.25">
      <c r="A13" s="131"/>
      <c r="B13" s="134"/>
      <c r="C13" s="134"/>
      <c r="D13" s="134"/>
      <c r="E13" s="135"/>
      <c r="F13" s="1"/>
    </row>
    <row r="14" spans="1:6" ht="23.25">
      <c r="A14" s="131"/>
      <c r="B14" s="134"/>
      <c r="C14" s="134"/>
      <c r="D14" s="134"/>
      <c r="E14" s="135"/>
      <c r="F14" s="1"/>
    </row>
    <row r="15" spans="1:6" ht="23.25">
      <c r="A15" s="136"/>
      <c r="B15" s="134"/>
      <c r="C15" s="134"/>
      <c r="D15" s="134"/>
      <c r="E15" s="135"/>
      <c r="F15" s="1"/>
    </row>
    <row r="16" spans="1:6" ht="23.25">
      <c r="A16" s="136"/>
      <c r="B16" s="137"/>
      <c r="C16" s="137"/>
      <c r="D16" s="137"/>
      <c r="E16" s="1"/>
      <c r="F16" s="1"/>
    </row>
    <row r="17" spans="1:6" ht="23.25">
      <c r="A17" s="136"/>
      <c r="B17" s="137"/>
      <c r="C17" s="137"/>
      <c r="D17" s="137"/>
      <c r="E17" s="1"/>
      <c r="F17" s="1"/>
    </row>
    <row r="18" spans="1:6" ht="23.25">
      <c r="A18" s="131"/>
      <c r="B18" s="137"/>
      <c r="C18" s="137"/>
      <c r="D18" s="137"/>
      <c r="E18" s="1"/>
      <c r="F18" s="1"/>
    </row>
    <row r="19" spans="1:6">
      <c r="A19" s="137"/>
      <c r="B19" s="137"/>
      <c r="C19" s="137"/>
      <c r="D19" s="137"/>
      <c r="E19" s="1"/>
      <c r="F19" s="1"/>
    </row>
    <row r="20" spans="1:6">
      <c r="A20" s="2"/>
      <c r="B20" s="2"/>
      <c r="C20" s="2"/>
      <c r="D20" s="2"/>
    </row>
    <row r="21" spans="1:6">
      <c r="A21" s="2"/>
      <c r="B21" s="2"/>
      <c r="C21" s="2"/>
      <c r="D21" s="2"/>
    </row>
  </sheetData>
  <printOptions gridLinesSet="0"/>
  <pageMargins left="0.98425196850393704" right="0.78740157480314965" top="2.3622047244094491" bottom="0.98425196850393704" header="0.51181102362204722" footer="0.51181102362204722"/>
  <pageSetup paperSize="14" scale="63" fitToWidth="0" fitToHeight="0" orientation="landscape"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Y16"/>
  <sheetViews>
    <sheetView workbookViewId="0">
      <selection activeCell="X17" sqref="X17"/>
    </sheetView>
  </sheetViews>
  <sheetFormatPr baseColWidth="10" defaultRowHeight="12.75"/>
  <cols>
    <col min="1" max="1" width="28" customWidth="1"/>
    <col min="2" max="2" width="5.5703125" customWidth="1"/>
    <col min="3" max="4" width="6.28515625" customWidth="1"/>
    <col min="5" max="5" width="6" customWidth="1"/>
    <col min="6" max="7" width="6.28515625" customWidth="1"/>
    <col min="8" max="8" width="6" customWidth="1"/>
    <col min="9" max="9" width="6.28515625" customWidth="1"/>
    <col min="10" max="12" width="5.7109375" customWidth="1"/>
    <col min="13" max="13" width="6" customWidth="1"/>
    <col min="14" max="15" width="5.7109375" customWidth="1"/>
    <col min="16" max="16" width="6" customWidth="1"/>
    <col min="17" max="17" width="5.42578125" customWidth="1"/>
    <col min="18" max="19" width="5.7109375" customWidth="1"/>
    <col min="20" max="20" width="6.28515625" customWidth="1"/>
    <col min="21" max="23" width="5.7109375" customWidth="1"/>
    <col min="24" max="25" width="6.28515625" customWidth="1"/>
  </cols>
  <sheetData>
    <row r="1" spans="1:25">
      <c r="A1" s="949" t="s">
        <v>847</v>
      </c>
      <c r="B1" s="950"/>
      <c r="C1" s="950"/>
      <c r="D1" s="950"/>
      <c r="E1" s="950"/>
      <c r="F1" s="950"/>
      <c r="G1" s="950"/>
      <c r="H1" s="950"/>
      <c r="I1" s="950"/>
      <c r="J1" s="950"/>
      <c r="K1" s="950"/>
      <c r="L1" s="950"/>
      <c r="M1" s="950"/>
      <c r="N1" s="950"/>
      <c r="O1" s="950"/>
      <c r="P1" s="950"/>
      <c r="Q1" s="950"/>
      <c r="R1" s="950"/>
      <c r="S1" s="950"/>
      <c r="T1" s="1"/>
      <c r="U1" s="1"/>
      <c r="V1" s="1"/>
      <c r="W1" s="1"/>
      <c r="X1" s="1"/>
      <c r="Y1" s="1"/>
    </row>
    <row r="2" spans="1:25">
      <c r="A2" s="949"/>
      <c r="B2" s="950"/>
      <c r="C2" s="950"/>
      <c r="D2" s="950"/>
      <c r="E2" s="950"/>
      <c r="F2" s="950"/>
      <c r="G2" s="950"/>
      <c r="H2" s="950"/>
      <c r="I2" s="950"/>
      <c r="J2" s="950"/>
      <c r="K2" s="950"/>
      <c r="L2" s="950"/>
      <c r="M2" s="950"/>
      <c r="N2" s="950"/>
      <c r="O2" s="950"/>
      <c r="P2" s="950"/>
      <c r="Q2" s="950"/>
      <c r="R2" s="950"/>
      <c r="S2" s="950"/>
      <c r="T2" s="1"/>
      <c r="U2" s="1"/>
      <c r="V2" s="1"/>
      <c r="W2" s="1"/>
      <c r="X2" s="1"/>
      <c r="Y2" s="1"/>
    </row>
    <row r="3" spans="1:25">
      <c r="A3" s="949" t="s">
        <v>848</v>
      </c>
      <c r="B3" s="950"/>
      <c r="C3" s="950"/>
      <c r="D3" s="950"/>
      <c r="E3" s="950"/>
      <c r="F3" s="950"/>
      <c r="G3" s="950"/>
      <c r="H3" s="950"/>
      <c r="I3" s="950"/>
      <c r="J3" s="950"/>
      <c r="K3" s="950"/>
      <c r="L3" s="950"/>
      <c r="M3" s="950"/>
      <c r="N3" s="950"/>
      <c r="O3" s="950"/>
      <c r="P3" s="950"/>
      <c r="Q3" s="950"/>
      <c r="R3" s="950"/>
      <c r="S3" s="950"/>
      <c r="T3" s="1"/>
      <c r="U3" s="1"/>
      <c r="V3" s="1"/>
      <c r="W3" s="1"/>
      <c r="X3" s="1"/>
      <c r="Y3" s="1"/>
    </row>
    <row r="4" spans="1:25">
      <c r="A4" s="1"/>
      <c r="B4" s="1"/>
      <c r="C4" s="1"/>
      <c r="D4" s="1"/>
      <c r="E4" s="1"/>
      <c r="F4" s="1"/>
      <c r="G4" s="1"/>
      <c r="H4" s="1"/>
      <c r="I4" s="1"/>
      <c r="J4" s="1"/>
      <c r="K4" s="1"/>
      <c r="L4" s="1"/>
      <c r="M4" s="1"/>
      <c r="N4" s="1"/>
      <c r="O4" s="1"/>
      <c r="P4" s="1"/>
      <c r="Q4" s="1"/>
      <c r="R4" s="1"/>
      <c r="S4" s="1"/>
      <c r="T4" s="1"/>
      <c r="U4" s="1"/>
      <c r="V4" s="1"/>
      <c r="W4" s="1"/>
      <c r="X4" s="1"/>
      <c r="Y4" s="1"/>
    </row>
    <row r="7" spans="1:25" ht="24" customHeight="1">
      <c r="A7" s="1243"/>
      <c r="B7" s="1257" t="s">
        <v>849</v>
      </c>
      <c r="C7" s="1258"/>
      <c r="D7" s="1258"/>
      <c r="E7" s="1258"/>
      <c r="F7" s="1258"/>
      <c r="G7" s="968"/>
      <c r="H7" s="1259" t="s">
        <v>850</v>
      </c>
      <c r="I7" s="1258"/>
      <c r="J7" s="1258"/>
      <c r="K7" s="1258"/>
      <c r="L7" s="1258"/>
      <c r="M7" s="1258"/>
      <c r="N7" s="1257" t="s">
        <v>851</v>
      </c>
      <c r="O7" s="1258"/>
      <c r="P7" s="1258"/>
      <c r="Q7" s="1258"/>
      <c r="R7" s="1258"/>
      <c r="S7" s="968"/>
      <c r="T7" s="1259" t="s">
        <v>594</v>
      </c>
      <c r="U7" s="1258"/>
      <c r="V7" s="1258"/>
      <c r="W7" s="1258"/>
      <c r="X7" s="1258"/>
      <c r="Y7" s="968"/>
    </row>
    <row r="8" spans="1:25" ht="30" customHeight="1">
      <c r="A8" s="1260" t="s">
        <v>852</v>
      </c>
      <c r="B8" s="1232">
        <v>2018</v>
      </c>
      <c r="C8" s="1232">
        <v>2019</v>
      </c>
      <c r="D8" s="1232">
        <v>2020</v>
      </c>
      <c r="E8" s="1232">
        <v>2021</v>
      </c>
      <c r="F8" s="1232">
        <v>2022</v>
      </c>
      <c r="G8" s="1232">
        <v>2023</v>
      </c>
      <c r="H8" s="1232">
        <f t="shared" ref="H8:M8" si="0">+B8</f>
        <v>2018</v>
      </c>
      <c r="I8" s="1232">
        <f t="shared" si="0"/>
        <v>2019</v>
      </c>
      <c r="J8" s="1232">
        <f t="shared" si="0"/>
        <v>2020</v>
      </c>
      <c r="K8" s="1232">
        <f t="shared" si="0"/>
        <v>2021</v>
      </c>
      <c r="L8" s="1232">
        <f t="shared" si="0"/>
        <v>2022</v>
      </c>
      <c r="M8" s="1232">
        <f t="shared" si="0"/>
        <v>2023</v>
      </c>
      <c r="N8" s="1232">
        <f t="shared" ref="N8:S8" si="1">+H8</f>
        <v>2018</v>
      </c>
      <c r="O8" s="1232">
        <f t="shared" si="1"/>
        <v>2019</v>
      </c>
      <c r="P8" s="1232">
        <f t="shared" si="1"/>
        <v>2020</v>
      </c>
      <c r="Q8" s="1232">
        <f t="shared" si="1"/>
        <v>2021</v>
      </c>
      <c r="R8" s="1232">
        <f t="shared" si="1"/>
        <v>2022</v>
      </c>
      <c r="S8" s="1232">
        <f t="shared" si="1"/>
        <v>2023</v>
      </c>
      <c r="T8" s="1261">
        <f t="shared" ref="T8:Y8" si="2">+N8</f>
        <v>2018</v>
      </c>
      <c r="U8" s="1261">
        <f t="shared" si="2"/>
        <v>2019</v>
      </c>
      <c r="V8" s="1261">
        <f t="shared" si="2"/>
        <v>2020</v>
      </c>
      <c r="W8" s="1261">
        <f t="shared" si="2"/>
        <v>2021</v>
      </c>
      <c r="X8" s="1261">
        <f t="shared" si="2"/>
        <v>2022</v>
      </c>
      <c r="Y8" s="1261">
        <f t="shared" si="2"/>
        <v>2023</v>
      </c>
    </row>
    <row r="9" spans="1:25" ht="24.75" customHeight="1">
      <c r="A9" s="315" t="s">
        <v>853</v>
      </c>
      <c r="B9" s="316">
        <v>0</v>
      </c>
      <c r="C9" s="316">
        <v>0</v>
      </c>
      <c r="D9" s="316">
        <v>0</v>
      </c>
      <c r="E9" s="316">
        <v>0</v>
      </c>
      <c r="F9" s="316">
        <v>0</v>
      </c>
      <c r="G9" s="637" t="s">
        <v>1561</v>
      </c>
      <c r="H9" s="316">
        <v>0</v>
      </c>
      <c r="I9" s="316">
        <v>0</v>
      </c>
      <c r="J9" s="316">
        <v>0</v>
      </c>
      <c r="K9" s="316">
        <v>0</v>
      </c>
      <c r="L9" s="316">
        <v>0</v>
      </c>
      <c r="M9" s="637" t="s">
        <v>1561</v>
      </c>
      <c r="N9" s="317">
        <v>0</v>
      </c>
      <c r="O9" s="317">
        <v>0</v>
      </c>
      <c r="P9" s="317">
        <v>0</v>
      </c>
      <c r="Q9" s="317">
        <v>0</v>
      </c>
      <c r="R9" s="317">
        <v>0</v>
      </c>
      <c r="S9" s="317">
        <v>0</v>
      </c>
      <c r="T9" s="316">
        <f t="shared" ref="T9:X11" si="3">+B9+H9+N9</f>
        <v>0</v>
      </c>
      <c r="U9" s="316">
        <f t="shared" si="3"/>
        <v>0</v>
      </c>
      <c r="V9" s="316">
        <f t="shared" si="3"/>
        <v>0</v>
      </c>
      <c r="W9" s="316">
        <f t="shared" si="3"/>
        <v>0</v>
      </c>
      <c r="X9" s="316">
        <f t="shared" si="3"/>
        <v>0</v>
      </c>
      <c r="Y9" s="637" t="s">
        <v>1561</v>
      </c>
    </row>
    <row r="10" spans="1:25" ht="23.25" customHeight="1">
      <c r="A10" s="318" t="s">
        <v>854</v>
      </c>
      <c r="B10" s="316">
        <v>143</v>
      </c>
      <c r="C10" s="316">
        <v>127</v>
      </c>
      <c r="D10" s="316">
        <v>50</v>
      </c>
      <c r="E10" s="316">
        <v>132</v>
      </c>
      <c r="F10" s="316">
        <v>155</v>
      </c>
      <c r="G10" s="637" t="s">
        <v>1561</v>
      </c>
      <c r="H10" s="316">
        <v>132</v>
      </c>
      <c r="I10" s="316">
        <v>137</v>
      </c>
      <c r="J10" s="316">
        <v>50</v>
      </c>
      <c r="K10" s="316">
        <v>79</v>
      </c>
      <c r="L10" s="316">
        <v>119</v>
      </c>
      <c r="M10" s="637" t="s">
        <v>1561</v>
      </c>
      <c r="N10" s="317">
        <v>0</v>
      </c>
      <c r="O10" s="317">
        <v>0</v>
      </c>
      <c r="P10" s="317">
        <v>0</v>
      </c>
      <c r="Q10" s="317">
        <v>0</v>
      </c>
      <c r="R10" s="317">
        <v>0</v>
      </c>
      <c r="S10" s="317">
        <v>0</v>
      </c>
      <c r="T10" s="316">
        <f t="shared" si="3"/>
        <v>275</v>
      </c>
      <c r="U10" s="316">
        <f t="shared" si="3"/>
        <v>264</v>
      </c>
      <c r="V10" s="316">
        <f t="shared" si="3"/>
        <v>100</v>
      </c>
      <c r="W10" s="316">
        <f t="shared" si="3"/>
        <v>211</v>
      </c>
      <c r="X10" s="316">
        <f t="shared" si="3"/>
        <v>274</v>
      </c>
      <c r="Y10" s="637" t="s">
        <v>1561</v>
      </c>
    </row>
    <row r="11" spans="1:25" ht="25.5" customHeight="1">
      <c r="A11" s="318" t="s">
        <v>855</v>
      </c>
      <c r="B11" s="316">
        <v>100</v>
      </c>
      <c r="C11" s="316">
        <v>104</v>
      </c>
      <c r="D11" s="316">
        <v>115</v>
      </c>
      <c r="E11" s="316">
        <v>98</v>
      </c>
      <c r="F11" s="316">
        <v>90</v>
      </c>
      <c r="G11" s="637" t="s">
        <v>1561</v>
      </c>
      <c r="H11" s="316">
        <v>78</v>
      </c>
      <c r="I11" s="316">
        <v>72</v>
      </c>
      <c r="J11" s="316">
        <v>115</v>
      </c>
      <c r="K11" s="316">
        <v>67</v>
      </c>
      <c r="L11" s="316">
        <v>63</v>
      </c>
      <c r="M11" s="637" t="s">
        <v>1561</v>
      </c>
      <c r="N11" s="317">
        <v>0</v>
      </c>
      <c r="O11" s="317">
        <v>0</v>
      </c>
      <c r="P11" s="317">
        <v>0</v>
      </c>
      <c r="Q11" s="317">
        <v>0</v>
      </c>
      <c r="R11" s="317">
        <v>0</v>
      </c>
      <c r="S11" s="317">
        <v>0</v>
      </c>
      <c r="T11" s="316">
        <f t="shared" si="3"/>
        <v>178</v>
      </c>
      <c r="U11" s="316">
        <f t="shared" si="3"/>
        <v>176</v>
      </c>
      <c r="V11" s="316">
        <f t="shared" si="3"/>
        <v>230</v>
      </c>
      <c r="W11" s="316">
        <f t="shared" si="3"/>
        <v>165</v>
      </c>
      <c r="X11" s="316">
        <f t="shared" si="3"/>
        <v>153</v>
      </c>
      <c r="Y11" s="637" t="s">
        <v>1561</v>
      </c>
    </row>
    <row r="12" spans="1:25" ht="25.5" customHeight="1">
      <c r="A12" s="319" t="s">
        <v>474</v>
      </c>
      <c r="B12" s="316">
        <v>243</v>
      </c>
      <c r="C12" s="317">
        <v>231</v>
      </c>
      <c r="D12" s="317">
        <v>165</v>
      </c>
      <c r="E12" s="317">
        <v>230</v>
      </c>
      <c r="F12" s="317">
        <v>245</v>
      </c>
      <c r="G12" s="637" t="s">
        <v>1561</v>
      </c>
      <c r="H12" s="316">
        <v>210</v>
      </c>
      <c r="I12" s="316">
        <v>209</v>
      </c>
      <c r="J12" s="316">
        <v>165</v>
      </c>
      <c r="K12" s="316">
        <v>146</v>
      </c>
      <c r="L12" s="316">
        <v>182</v>
      </c>
      <c r="M12" s="637" t="s">
        <v>1561</v>
      </c>
      <c r="N12" s="316">
        <v>0</v>
      </c>
      <c r="O12" s="316">
        <v>0</v>
      </c>
      <c r="P12" s="316">
        <v>0</v>
      </c>
      <c r="Q12" s="316">
        <v>0</v>
      </c>
      <c r="R12" s="317">
        <v>0</v>
      </c>
      <c r="S12" s="317">
        <f t="shared" ref="S12" si="4">SUM(S9:S11)</f>
        <v>0</v>
      </c>
      <c r="T12" s="316">
        <f t="shared" ref="T12:X12" si="5">SUM(T9:T11)</f>
        <v>453</v>
      </c>
      <c r="U12" s="316">
        <f t="shared" si="5"/>
        <v>440</v>
      </c>
      <c r="V12" s="316">
        <f t="shared" si="5"/>
        <v>330</v>
      </c>
      <c r="W12" s="316">
        <f t="shared" si="5"/>
        <v>376</v>
      </c>
      <c r="X12" s="316">
        <f t="shared" si="5"/>
        <v>427</v>
      </c>
      <c r="Y12" s="637" t="s">
        <v>1561</v>
      </c>
    </row>
    <row r="13" spans="1:25" ht="25.5" customHeight="1">
      <c r="A13" s="320" t="s">
        <v>856</v>
      </c>
      <c r="B13" s="316"/>
      <c r="C13" s="316"/>
      <c r="D13" s="316"/>
      <c r="E13" s="316"/>
      <c r="F13" s="316"/>
      <c r="G13" s="637" t="s">
        <v>1561</v>
      </c>
      <c r="H13" s="316">
        <v>11</v>
      </c>
      <c r="I13" s="316">
        <v>11</v>
      </c>
      <c r="J13" s="316">
        <v>5</v>
      </c>
      <c r="K13" s="316">
        <v>6</v>
      </c>
      <c r="L13" s="637">
        <v>10</v>
      </c>
      <c r="M13" s="637" t="s">
        <v>1561</v>
      </c>
      <c r="N13" s="316"/>
      <c r="O13" s="316"/>
      <c r="P13" s="316"/>
      <c r="Q13" s="316"/>
      <c r="R13" s="316"/>
      <c r="S13" s="316"/>
      <c r="T13" s="316">
        <f t="shared" ref="T13:X13" si="6">+H13</f>
        <v>11</v>
      </c>
      <c r="U13" s="316">
        <f t="shared" si="6"/>
        <v>11</v>
      </c>
      <c r="V13" s="316">
        <f t="shared" si="6"/>
        <v>5</v>
      </c>
      <c r="W13" s="316">
        <f t="shared" si="6"/>
        <v>6</v>
      </c>
      <c r="X13" s="316">
        <f t="shared" si="6"/>
        <v>10</v>
      </c>
      <c r="Y13" s="637" t="s">
        <v>1561</v>
      </c>
    </row>
    <row r="14" spans="1:25" ht="20.25" customHeight="1">
      <c r="A14" s="1577" t="s">
        <v>1562</v>
      </c>
      <c r="B14" s="1576"/>
      <c r="C14" s="1576"/>
      <c r="D14" s="1576"/>
      <c r="E14" s="1576"/>
      <c r="F14" s="1576"/>
      <c r="G14" s="1576"/>
      <c r="H14" s="1576"/>
      <c r="I14" s="1576"/>
      <c r="J14" s="1576"/>
      <c r="K14" s="1576"/>
      <c r="L14" s="1576"/>
      <c r="M14" s="1576"/>
      <c r="N14" s="1576"/>
      <c r="O14" s="1576"/>
      <c r="P14" s="1576"/>
      <c r="Q14" s="1576"/>
      <c r="R14" s="1576"/>
      <c r="S14" s="1576"/>
      <c r="T14" s="213"/>
      <c r="U14" s="213"/>
      <c r="V14" s="213"/>
      <c r="W14" s="213"/>
      <c r="X14" s="213"/>
      <c r="Y14" s="213"/>
    </row>
    <row r="15" spans="1:25" ht="15.75" customHeight="1">
      <c r="A15" s="1576"/>
      <c r="B15" s="1576"/>
      <c r="C15" s="1576"/>
      <c r="D15" s="1576"/>
      <c r="E15" s="1576"/>
      <c r="F15" s="1576"/>
      <c r="G15" s="1576"/>
      <c r="H15" s="1576"/>
      <c r="I15" s="1576"/>
      <c r="J15" s="1576"/>
      <c r="K15" s="1576"/>
      <c r="L15" s="1576"/>
      <c r="M15" s="1576"/>
      <c r="N15" s="1576"/>
      <c r="O15" s="1576"/>
      <c r="P15" s="1576"/>
      <c r="Q15" s="213"/>
      <c r="R15" s="213"/>
      <c r="S15" s="213"/>
      <c r="T15" s="213"/>
      <c r="U15" s="213"/>
      <c r="V15" s="213"/>
      <c r="W15" s="213"/>
      <c r="X15" s="213"/>
      <c r="Y15" s="213"/>
    </row>
    <row r="16" spans="1:25" ht="12.75" customHeight="1">
      <c r="A16" s="321"/>
      <c r="B16" s="321"/>
      <c r="C16" s="321"/>
      <c r="D16" s="321"/>
      <c r="E16" s="321"/>
      <c r="F16" s="321"/>
      <c r="G16" s="321"/>
      <c r="H16" s="321"/>
      <c r="I16" s="321"/>
      <c r="J16" s="321"/>
      <c r="K16" s="321"/>
      <c r="L16" s="321"/>
      <c r="M16" s="321"/>
      <c r="N16" s="321"/>
      <c r="O16" s="321"/>
      <c r="P16" s="321"/>
      <c r="Q16" s="321"/>
      <c r="R16" s="321"/>
      <c r="S16" s="321"/>
      <c r="T16" s="321"/>
      <c r="U16" s="321"/>
      <c r="V16" s="321"/>
      <c r="W16" s="321"/>
      <c r="X16" s="321"/>
      <c r="Y16" s="321"/>
    </row>
  </sheetData>
  <mergeCells count="2">
    <mergeCell ref="A15:P15"/>
    <mergeCell ref="A14:S14"/>
  </mergeCells>
  <phoneticPr fontId="18" type="noConversion"/>
  <pageMargins left="1.1811023622047245" right="0.59055118110236227" top="0.98425196850393704" bottom="0.98425196850393704" header="0.51181102362204722" footer="0.51181102362204722"/>
  <pageSetup paperSize="5" scale="85" orientation="landscape"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E56"/>
  <sheetViews>
    <sheetView zoomScale="84" zoomScaleNormal="84" workbookViewId="0">
      <selection activeCell="C9" sqref="C9"/>
    </sheetView>
  </sheetViews>
  <sheetFormatPr baseColWidth="10" defaultRowHeight="12.75"/>
  <cols>
    <col min="1" max="1" width="20.28515625" customWidth="1"/>
    <col min="2" max="2" width="19.7109375" customWidth="1"/>
    <col min="3" max="3" width="8.28515625" customWidth="1"/>
    <col min="4" max="5" width="8" customWidth="1"/>
    <col min="6" max="6" width="7.7109375" customWidth="1"/>
    <col min="7" max="8" width="8.28515625" customWidth="1"/>
    <col min="9" max="9" width="8" customWidth="1"/>
    <col min="10" max="10" width="7.7109375" customWidth="1"/>
    <col min="11" max="12" width="7.28515625" customWidth="1"/>
    <col min="13" max="13" width="8" customWidth="1"/>
    <col min="14" max="14" width="7.7109375" customWidth="1"/>
    <col min="15" max="16" width="8.28515625" customWidth="1"/>
    <col min="17" max="17" width="8" customWidth="1"/>
    <col min="18" max="18" width="7.7109375" customWidth="1"/>
    <col min="19" max="20" width="7.28515625" customWidth="1"/>
    <col min="21" max="21" width="8" customWidth="1"/>
    <col min="22" max="22" width="7.7109375" customWidth="1"/>
    <col min="23" max="24" width="7.28515625" customWidth="1"/>
    <col min="25" max="25" width="8" customWidth="1"/>
    <col min="26" max="26" width="7.7109375" customWidth="1"/>
    <col min="27" max="27" width="8.7109375" customWidth="1"/>
    <col min="28" max="29" width="8.5703125" customWidth="1"/>
    <col min="30" max="30" width="9.28515625" customWidth="1"/>
  </cols>
  <sheetData>
    <row r="1" spans="1:30" s="277" customFormat="1" ht="12">
      <c r="A1" s="1504" t="s">
        <v>857</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row>
    <row r="2" spans="1:30" s="277" customFormat="1" ht="12">
      <c r="A2" s="1504" t="s">
        <v>858</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row>
    <row r="3" spans="1:30" s="277" customFormat="1" ht="12">
      <c r="A3" s="1504" t="s">
        <v>814</v>
      </c>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row>
    <row r="4" spans="1:30" s="277" customFormat="1" ht="12">
      <c r="A4" s="1504" t="s">
        <v>1563</v>
      </c>
      <c r="B4" s="1504"/>
      <c r="C4" s="1504"/>
      <c r="D4" s="1504"/>
      <c r="E4" s="1504"/>
      <c r="F4" s="1504"/>
      <c r="G4" s="1504"/>
      <c r="H4" s="1504"/>
      <c r="I4" s="1504"/>
      <c r="J4" s="1504"/>
      <c r="K4" s="1504"/>
      <c r="L4" s="1504"/>
      <c r="M4" s="1504"/>
      <c r="N4" s="1504"/>
      <c r="O4" s="1504"/>
      <c r="P4" s="1504"/>
      <c r="Q4" s="1504"/>
      <c r="R4" s="1504"/>
      <c r="S4" s="1504"/>
      <c r="T4" s="1504"/>
      <c r="U4" s="1504"/>
      <c r="V4" s="1504"/>
      <c r="W4" s="1504"/>
      <c r="X4" s="1504"/>
      <c r="Y4" s="1504"/>
      <c r="Z4" s="1504"/>
      <c r="AA4" s="1504"/>
      <c r="AB4" s="1504"/>
      <c r="AC4" s="1504"/>
      <c r="AD4" s="1504"/>
    </row>
    <row r="5" spans="1:30">
      <c r="A5" s="277"/>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row>
    <row r="6" spans="1:30">
      <c r="A6" s="277"/>
      <c r="B6" s="277"/>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row>
    <row r="7" spans="1:30" s="6" customFormat="1" ht="22.5" customHeight="1">
      <c r="A7" s="1266" t="s">
        <v>493</v>
      </c>
      <c r="B7" s="1267" t="s">
        <v>770</v>
      </c>
      <c r="C7" s="1105" t="s">
        <v>859</v>
      </c>
      <c r="D7" s="1259"/>
      <c r="E7" s="1259"/>
      <c r="F7" s="1117"/>
      <c r="G7" s="1105" t="s">
        <v>860</v>
      </c>
      <c r="H7" s="1259"/>
      <c r="I7" s="1259"/>
      <c r="J7" s="1117"/>
      <c r="K7" s="1105" t="s">
        <v>861</v>
      </c>
      <c r="L7" s="1259"/>
      <c r="M7" s="1259"/>
      <c r="N7" s="1117"/>
      <c r="O7" s="1105" t="s">
        <v>862</v>
      </c>
      <c r="P7" s="1259"/>
      <c r="Q7" s="1259"/>
      <c r="R7" s="1117"/>
      <c r="S7" s="1105" t="s">
        <v>863</v>
      </c>
      <c r="T7" s="1259"/>
      <c r="U7" s="1259"/>
      <c r="V7" s="1117"/>
      <c r="W7" s="1105" t="s">
        <v>1272</v>
      </c>
      <c r="X7" s="1259"/>
      <c r="Y7" s="1259"/>
      <c r="Z7" s="1117"/>
      <c r="AA7" s="1105" t="s">
        <v>594</v>
      </c>
      <c r="AB7" s="1259"/>
      <c r="AC7" s="1259"/>
      <c r="AD7" s="1117"/>
    </row>
    <row r="8" spans="1:30" s="6" customFormat="1" ht="22.5" customHeight="1">
      <c r="A8" s="1269"/>
      <c r="B8" s="1270"/>
      <c r="C8" s="1145">
        <v>2020</v>
      </c>
      <c r="D8" s="1268">
        <v>2021</v>
      </c>
      <c r="E8" s="1268">
        <v>2022</v>
      </c>
      <c r="F8" s="1146">
        <v>2023</v>
      </c>
      <c r="G8" s="1145">
        <f t="shared" ref="G8:Z8" si="0">+C8</f>
        <v>2020</v>
      </c>
      <c r="H8" s="1268">
        <f t="shared" si="0"/>
        <v>2021</v>
      </c>
      <c r="I8" s="1268">
        <f t="shared" si="0"/>
        <v>2022</v>
      </c>
      <c r="J8" s="1146">
        <f t="shared" si="0"/>
        <v>2023</v>
      </c>
      <c r="K8" s="1145">
        <f t="shared" si="0"/>
        <v>2020</v>
      </c>
      <c r="L8" s="1268">
        <f t="shared" si="0"/>
        <v>2021</v>
      </c>
      <c r="M8" s="1268">
        <f t="shared" si="0"/>
        <v>2022</v>
      </c>
      <c r="N8" s="1146">
        <f t="shared" si="0"/>
        <v>2023</v>
      </c>
      <c r="O8" s="1145">
        <f t="shared" si="0"/>
        <v>2020</v>
      </c>
      <c r="P8" s="1268">
        <f t="shared" si="0"/>
        <v>2021</v>
      </c>
      <c r="Q8" s="1268">
        <f t="shared" si="0"/>
        <v>2022</v>
      </c>
      <c r="R8" s="1146">
        <f t="shared" si="0"/>
        <v>2023</v>
      </c>
      <c r="S8" s="1145">
        <f t="shared" si="0"/>
        <v>2020</v>
      </c>
      <c r="T8" s="1268">
        <f t="shared" si="0"/>
        <v>2021</v>
      </c>
      <c r="U8" s="1268">
        <f t="shared" si="0"/>
        <v>2022</v>
      </c>
      <c r="V8" s="1146">
        <f t="shared" si="0"/>
        <v>2023</v>
      </c>
      <c r="W8" s="1145">
        <f t="shared" si="0"/>
        <v>2020</v>
      </c>
      <c r="X8" s="1268">
        <f t="shared" si="0"/>
        <v>2021</v>
      </c>
      <c r="Y8" s="1268">
        <f t="shared" si="0"/>
        <v>2022</v>
      </c>
      <c r="Z8" s="1146">
        <f t="shared" si="0"/>
        <v>2023</v>
      </c>
      <c r="AA8" s="1145">
        <f t="shared" ref="AA8:AD8" si="1">+W8</f>
        <v>2020</v>
      </c>
      <c r="AB8" s="1268">
        <f t="shared" si="1"/>
        <v>2021</v>
      </c>
      <c r="AC8" s="1268">
        <f t="shared" si="1"/>
        <v>2022</v>
      </c>
      <c r="AD8" s="1146">
        <f t="shared" si="1"/>
        <v>2023</v>
      </c>
    </row>
    <row r="9" spans="1:30" s="6" customFormat="1" ht="22.5" customHeight="1">
      <c r="A9" s="322" t="s">
        <v>864</v>
      </c>
      <c r="B9" s="211" t="s">
        <v>1173</v>
      </c>
      <c r="C9" s="255">
        <v>1254</v>
      </c>
      <c r="D9" s="255">
        <v>1667</v>
      </c>
      <c r="E9" s="255">
        <v>2443</v>
      </c>
      <c r="F9" s="340">
        <v>2744</v>
      </c>
      <c r="G9" s="255">
        <v>547</v>
      </c>
      <c r="H9" s="255">
        <v>2219</v>
      </c>
      <c r="I9" s="255">
        <v>2166</v>
      </c>
      <c r="J9" s="340">
        <v>2146</v>
      </c>
      <c r="K9" s="255">
        <v>185</v>
      </c>
      <c r="L9" s="255">
        <v>205</v>
      </c>
      <c r="M9" s="255">
        <v>168</v>
      </c>
      <c r="N9" s="323">
        <v>169</v>
      </c>
      <c r="O9" s="255">
        <v>521</v>
      </c>
      <c r="P9" s="255">
        <v>620</v>
      </c>
      <c r="Q9" s="255">
        <v>790</v>
      </c>
      <c r="R9" s="323">
        <v>918</v>
      </c>
      <c r="S9" s="255">
        <v>47</v>
      </c>
      <c r="T9" s="255">
        <v>81</v>
      </c>
      <c r="U9" s="255">
        <v>82</v>
      </c>
      <c r="V9" s="323">
        <v>82</v>
      </c>
      <c r="W9" s="255"/>
      <c r="X9" s="255"/>
      <c r="Y9" s="255"/>
      <c r="Z9" s="323">
        <v>19</v>
      </c>
      <c r="AA9" s="254">
        <f t="shared" ref="AA9:AD13" si="2">+W9+S9+O9+K9+G9+C9</f>
        <v>2554</v>
      </c>
      <c r="AB9" s="255">
        <f t="shared" si="2"/>
        <v>4792</v>
      </c>
      <c r="AC9" s="255">
        <f t="shared" si="2"/>
        <v>5649</v>
      </c>
      <c r="AD9" s="323">
        <f t="shared" si="2"/>
        <v>6078</v>
      </c>
    </row>
    <row r="10" spans="1:30" s="6" customFormat="1" ht="22.5" customHeight="1">
      <c r="A10" s="322"/>
      <c r="B10" s="211" t="s">
        <v>1174</v>
      </c>
      <c r="C10" s="255">
        <v>1971</v>
      </c>
      <c r="D10" s="255">
        <v>1235</v>
      </c>
      <c r="E10" s="255">
        <v>3191</v>
      </c>
      <c r="F10" s="340">
        <v>2583</v>
      </c>
      <c r="G10" s="255">
        <v>1311</v>
      </c>
      <c r="H10" s="255">
        <v>2320</v>
      </c>
      <c r="I10" s="255">
        <v>2683</v>
      </c>
      <c r="J10" s="340">
        <v>3200</v>
      </c>
      <c r="K10" s="255">
        <v>290</v>
      </c>
      <c r="L10" s="255">
        <v>228</v>
      </c>
      <c r="M10" s="255">
        <v>322</v>
      </c>
      <c r="N10" s="323">
        <v>278</v>
      </c>
      <c r="O10" s="255">
        <v>383</v>
      </c>
      <c r="P10" s="352">
        <v>415</v>
      </c>
      <c r="Q10" s="255">
        <v>593</v>
      </c>
      <c r="R10" s="323">
        <v>756</v>
      </c>
      <c r="S10" s="255">
        <v>46</v>
      </c>
      <c r="T10" s="255">
        <v>78</v>
      </c>
      <c r="U10" s="255">
        <v>96</v>
      </c>
      <c r="V10" s="323">
        <v>49</v>
      </c>
      <c r="W10" s="255"/>
      <c r="X10" s="255"/>
      <c r="Y10" s="255">
        <v>1</v>
      </c>
      <c r="Z10" s="323">
        <v>0</v>
      </c>
      <c r="AA10" s="254">
        <f t="shared" si="2"/>
        <v>4001</v>
      </c>
      <c r="AB10" s="255">
        <f t="shared" si="2"/>
        <v>4276</v>
      </c>
      <c r="AC10" s="255">
        <f t="shared" si="2"/>
        <v>6886</v>
      </c>
      <c r="AD10" s="323">
        <f t="shared" si="2"/>
        <v>6866</v>
      </c>
    </row>
    <row r="11" spans="1:30" s="6" customFormat="1" ht="22.5" customHeight="1">
      <c r="A11" s="322"/>
      <c r="B11" s="243" t="s">
        <v>739</v>
      </c>
      <c r="C11" s="255">
        <v>218</v>
      </c>
      <c r="D11" s="255">
        <v>177</v>
      </c>
      <c r="E11" s="255">
        <v>306</v>
      </c>
      <c r="F11" s="340">
        <v>328</v>
      </c>
      <c r="G11" s="255">
        <v>123</v>
      </c>
      <c r="H11" s="255">
        <v>298</v>
      </c>
      <c r="I11" s="255">
        <v>421</v>
      </c>
      <c r="J11" s="340">
        <v>301</v>
      </c>
      <c r="K11" s="255">
        <v>22</v>
      </c>
      <c r="L11" s="255">
        <v>8</v>
      </c>
      <c r="M11" s="255">
        <v>36</v>
      </c>
      <c r="N11" s="323">
        <v>20</v>
      </c>
      <c r="O11" s="255">
        <v>43</v>
      </c>
      <c r="P11" s="255">
        <v>71</v>
      </c>
      <c r="Q11" s="255">
        <v>120</v>
      </c>
      <c r="R11" s="323">
        <v>126</v>
      </c>
      <c r="S11" s="255">
        <v>84</v>
      </c>
      <c r="T11" s="255">
        <v>55</v>
      </c>
      <c r="U11" s="255">
        <v>33</v>
      </c>
      <c r="V11" s="323">
        <v>19</v>
      </c>
      <c r="W11" s="255"/>
      <c r="X11" s="255"/>
      <c r="Y11" s="255"/>
      <c r="Z11" s="323">
        <v>0</v>
      </c>
      <c r="AA11" s="254">
        <f t="shared" si="2"/>
        <v>490</v>
      </c>
      <c r="AB11" s="255">
        <f t="shared" si="2"/>
        <v>609</v>
      </c>
      <c r="AC11" s="255">
        <f t="shared" si="2"/>
        <v>916</v>
      </c>
      <c r="AD11" s="323">
        <f t="shared" si="2"/>
        <v>794</v>
      </c>
    </row>
    <row r="12" spans="1:30" s="6" customFormat="1" ht="22.5" customHeight="1">
      <c r="A12" s="322"/>
      <c r="B12" s="211" t="s">
        <v>1410</v>
      </c>
      <c r="C12" s="255"/>
      <c r="D12" s="255"/>
      <c r="E12" s="255"/>
      <c r="F12" s="340">
        <v>0</v>
      </c>
      <c r="G12" s="255">
        <v>173</v>
      </c>
      <c r="H12" s="255">
        <v>72</v>
      </c>
      <c r="I12" s="255">
        <v>74</v>
      </c>
      <c r="J12" s="340">
        <v>100</v>
      </c>
      <c r="K12" s="255"/>
      <c r="L12" s="255"/>
      <c r="M12" s="255"/>
      <c r="N12" s="323">
        <v>0</v>
      </c>
      <c r="O12" s="255"/>
      <c r="P12" s="255"/>
      <c r="Q12" s="255"/>
      <c r="R12" s="323">
        <v>0</v>
      </c>
      <c r="S12" s="255">
        <v>16</v>
      </c>
      <c r="T12" s="255">
        <v>95</v>
      </c>
      <c r="U12" s="255">
        <v>113</v>
      </c>
      <c r="V12" s="323">
        <v>186</v>
      </c>
      <c r="W12" s="255">
        <v>20</v>
      </c>
      <c r="X12" s="255">
        <v>9</v>
      </c>
      <c r="Y12" s="255">
        <v>1</v>
      </c>
      <c r="Z12" s="323">
        <v>0</v>
      </c>
      <c r="AA12" s="254">
        <f t="shared" si="2"/>
        <v>209</v>
      </c>
      <c r="AB12" s="255">
        <f t="shared" si="2"/>
        <v>176</v>
      </c>
      <c r="AC12" s="255">
        <f t="shared" si="2"/>
        <v>188</v>
      </c>
      <c r="AD12" s="323">
        <f t="shared" si="2"/>
        <v>286</v>
      </c>
    </row>
    <row r="13" spans="1:30" s="6" customFormat="1" ht="22.5" customHeight="1">
      <c r="A13" s="322"/>
      <c r="B13" s="211" t="s">
        <v>1056</v>
      </c>
      <c r="C13" s="352">
        <v>96</v>
      </c>
      <c r="D13" s="352">
        <v>72</v>
      </c>
      <c r="E13" s="352">
        <v>182</v>
      </c>
      <c r="F13" s="340">
        <v>200</v>
      </c>
      <c r="G13" s="255">
        <v>41</v>
      </c>
      <c r="H13" s="255">
        <v>81</v>
      </c>
      <c r="I13" s="352">
        <v>81</v>
      </c>
      <c r="J13" s="340">
        <v>102</v>
      </c>
      <c r="K13" s="255">
        <v>4</v>
      </c>
      <c r="L13" s="255">
        <v>2</v>
      </c>
      <c r="M13" s="352">
        <v>2</v>
      </c>
      <c r="N13" s="340">
        <v>5</v>
      </c>
      <c r="O13" s="255">
        <v>31</v>
      </c>
      <c r="P13" s="255">
        <v>63</v>
      </c>
      <c r="Q13" s="352">
        <v>57</v>
      </c>
      <c r="R13" s="340">
        <v>73</v>
      </c>
      <c r="S13" s="255">
        <v>11</v>
      </c>
      <c r="T13" s="255">
        <v>2</v>
      </c>
      <c r="U13" s="352">
        <v>2</v>
      </c>
      <c r="V13" s="340">
        <v>1</v>
      </c>
      <c r="W13" s="255"/>
      <c r="X13" s="255"/>
      <c r="Y13" s="352"/>
      <c r="Z13" s="340">
        <v>0</v>
      </c>
      <c r="AA13" s="254">
        <f t="shared" si="2"/>
        <v>183</v>
      </c>
      <c r="AB13" s="255">
        <f t="shared" si="2"/>
        <v>220</v>
      </c>
      <c r="AC13" s="255">
        <f t="shared" si="2"/>
        <v>324</v>
      </c>
      <c r="AD13" s="323">
        <f t="shared" si="2"/>
        <v>381</v>
      </c>
    </row>
    <row r="14" spans="1:30" s="6" customFormat="1" ht="22.5" customHeight="1">
      <c r="A14" s="322"/>
      <c r="B14" s="1271" t="s">
        <v>582</v>
      </c>
      <c r="C14" s="1272">
        <v>3539</v>
      </c>
      <c r="D14" s="1272">
        <v>3151</v>
      </c>
      <c r="E14" s="1272">
        <f>SUM(E9:E13)</f>
        <v>6122</v>
      </c>
      <c r="F14" s="1273">
        <f t="shared" ref="F14:Z14" si="3">SUM(F9:F13)</f>
        <v>5855</v>
      </c>
      <c r="G14" s="1272">
        <f t="shared" si="3"/>
        <v>2195</v>
      </c>
      <c r="H14" s="1272">
        <f t="shared" si="3"/>
        <v>4990</v>
      </c>
      <c r="I14" s="1272">
        <f t="shared" si="3"/>
        <v>5425</v>
      </c>
      <c r="J14" s="1273">
        <f t="shared" si="3"/>
        <v>5849</v>
      </c>
      <c r="K14" s="1272">
        <f t="shared" si="3"/>
        <v>501</v>
      </c>
      <c r="L14" s="1272">
        <f t="shared" si="3"/>
        <v>443</v>
      </c>
      <c r="M14" s="1272">
        <f t="shared" si="3"/>
        <v>528</v>
      </c>
      <c r="N14" s="1274">
        <f t="shared" si="3"/>
        <v>472</v>
      </c>
      <c r="O14" s="1272">
        <f t="shared" si="3"/>
        <v>978</v>
      </c>
      <c r="P14" s="1272">
        <f t="shared" si="3"/>
        <v>1169</v>
      </c>
      <c r="Q14" s="1272">
        <f t="shared" si="3"/>
        <v>1560</v>
      </c>
      <c r="R14" s="1274">
        <f t="shared" si="3"/>
        <v>1873</v>
      </c>
      <c r="S14" s="1272">
        <f t="shared" si="3"/>
        <v>204</v>
      </c>
      <c r="T14" s="1272">
        <f t="shared" si="3"/>
        <v>311</v>
      </c>
      <c r="U14" s="1272">
        <f t="shared" si="3"/>
        <v>326</v>
      </c>
      <c r="V14" s="1274">
        <f t="shared" si="3"/>
        <v>337</v>
      </c>
      <c r="W14" s="1272">
        <f t="shared" si="3"/>
        <v>20</v>
      </c>
      <c r="X14" s="1272">
        <f t="shared" si="3"/>
        <v>9</v>
      </c>
      <c r="Y14" s="1272">
        <f t="shared" si="3"/>
        <v>2</v>
      </c>
      <c r="Z14" s="1274">
        <f t="shared" si="3"/>
        <v>19</v>
      </c>
      <c r="AA14" s="1275">
        <f>SUM(AA9:AA13)</f>
        <v>7437</v>
      </c>
      <c r="AB14" s="1272">
        <f>SUM(AB9:AB13)</f>
        <v>10073</v>
      </c>
      <c r="AC14" s="1272">
        <f>SUM(AC9:AC13)</f>
        <v>13963</v>
      </c>
      <c r="AD14" s="1274">
        <f>SUM(AD9:AD13)</f>
        <v>14405</v>
      </c>
    </row>
    <row r="15" spans="1:30" s="6" customFormat="1" ht="22.5" customHeight="1">
      <c r="A15" s="322" t="s">
        <v>479</v>
      </c>
      <c r="B15" s="211" t="s">
        <v>740</v>
      </c>
      <c r="C15" s="255">
        <v>1341</v>
      </c>
      <c r="D15" s="255">
        <v>1748</v>
      </c>
      <c r="E15" s="255">
        <v>2862</v>
      </c>
      <c r="F15" s="340">
        <v>2361</v>
      </c>
      <c r="G15" s="255">
        <v>465</v>
      </c>
      <c r="H15" s="255">
        <v>544</v>
      </c>
      <c r="I15" s="255">
        <v>1058</v>
      </c>
      <c r="J15" s="340">
        <v>1317</v>
      </c>
      <c r="K15" s="255">
        <v>140</v>
      </c>
      <c r="L15" s="255">
        <v>151</v>
      </c>
      <c r="M15" s="255">
        <v>98</v>
      </c>
      <c r="N15" s="323">
        <v>55</v>
      </c>
      <c r="O15" s="255">
        <v>195</v>
      </c>
      <c r="P15" s="255">
        <v>304</v>
      </c>
      <c r="Q15" s="255">
        <v>606</v>
      </c>
      <c r="R15" s="323">
        <v>654</v>
      </c>
      <c r="S15" s="255">
        <v>189</v>
      </c>
      <c r="T15" s="255">
        <v>91</v>
      </c>
      <c r="U15" s="255">
        <v>65</v>
      </c>
      <c r="V15" s="323">
        <v>173</v>
      </c>
      <c r="W15" s="255"/>
      <c r="X15" s="255"/>
      <c r="Y15" s="255"/>
      <c r="Z15" s="323">
        <v>0</v>
      </c>
      <c r="AA15" s="254">
        <f t="shared" ref="AA15:AD17" si="4">+W15+S15+O15+K15+G15+C15</f>
        <v>2330</v>
      </c>
      <c r="AB15" s="255">
        <f t="shared" si="4"/>
        <v>2838</v>
      </c>
      <c r="AC15" s="255">
        <f t="shared" si="4"/>
        <v>4689</v>
      </c>
      <c r="AD15" s="323">
        <f t="shared" si="4"/>
        <v>4560</v>
      </c>
    </row>
    <row r="16" spans="1:30" s="6" customFormat="1" ht="22.5" customHeight="1">
      <c r="A16" s="322"/>
      <c r="B16" s="211" t="s">
        <v>1061</v>
      </c>
      <c r="C16" s="255">
        <v>251</v>
      </c>
      <c r="D16" s="255">
        <v>139</v>
      </c>
      <c r="E16" s="255">
        <v>295</v>
      </c>
      <c r="F16" s="340">
        <v>362</v>
      </c>
      <c r="G16" s="255">
        <v>74</v>
      </c>
      <c r="H16" s="255">
        <v>115</v>
      </c>
      <c r="I16" s="255">
        <v>203</v>
      </c>
      <c r="J16" s="340">
        <v>275</v>
      </c>
      <c r="K16" s="255">
        <v>10</v>
      </c>
      <c r="L16" s="255">
        <v>26</v>
      </c>
      <c r="M16" s="255">
        <v>24</v>
      </c>
      <c r="N16" s="323">
        <v>9</v>
      </c>
      <c r="O16" s="255">
        <v>53</v>
      </c>
      <c r="P16" s="255">
        <v>46</v>
      </c>
      <c r="Q16" s="255">
        <v>103</v>
      </c>
      <c r="R16" s="323">
        <v>128</v>
      </c>
      <c r="S16" s="255">
        <v>5</v>
      </c>
      <c r="T16" s="255">
        <v>5</v>
      </c>
      <c r="U16" s="255">
        <v>18</v>
      </c>
      <c r="V16" s="323">
        <v>50</v>
      </c>
      <c r="W16" s="255"/>
      <c r="X16" s="255"/>
      <c r="Y16" s="255"/>
      <c r="Z16" s="323">
        <v>0</v>
      </c>
      <c r="AA16" s="254">
        <f t="shared" si="4"/>
        <v>393</v>
      </c>
      <c r="AB16" s="255">
        <f t="shared" si="4"/>
        <v>331</v>
      </c>
      <c r="AC16" s="255">
        <f t="shared" si="4"/>
        <v>643</v>
      </c>
      <c r="AD16" s="323">
        <f t="shared" si="4"/>
        <v>824</v>
      </c>
    </row>
    <row r="17" spans="1:30" s="6" customFormat="1" ht="22.5" customHeight="1">
      <c r="A17" s="322"/>
      <c r="B17" s="211" t="s">
        <v>1058</v>
      </c>
      <c r="C17" s="255">
        <v>133</v>
      </c>
      <c r="D17" s="255">
        <v>117</v>
      </c>
      <c r="E17" s="255">
        <v>163</v>
      </c>
      <c r="F17" s="340">
        <v>213</v>
      </c>
      <c r="G17" s="255">
        <v>97</v>
      </c>
      <c r="H17" s="255">
        <v>125</v>
      </c>
      <c r="I17" s="255">
        <v>187</v>
      </c>
      <c r="J17" s="340">
        <v>147</v>
      </c>
      <c r="K17" s="255">
        <v>10</v>
      </c>
      <c r="L17" s="255">
        <v>15</v>
      </c>
      <c r="M17" s="255">
        <v>5</v>
      </c>
      <c r="N17" s="323">
        <v>5</v>
      </c>
      <c r="O17" s="255">
        <v>48</v>
      </c>
      <c r="P17" s="255">
        <v>105</v>
      </c>
      <c r="Q17" s="255">
        <v>105</v>
      </c>
      <c r="R17" s="323">
        <v>76</v>
      </c>
      <c r="S17" s="255"/>
      <c r="T17" s="255"/>
      <c r="U17" s="255"/>
      <c r="V17" s="323">
        <v>5</v>
      </c>
      <c r="W17" s="255"/>
      <c r="X17" s="255"/>
      <c r="Y17" s="255"/>
      <c r="Z17" s="323">
        <v>0</v>
      </c>
      <c r="AA17" s="254">
        <f t="shared" si="4"/>
        <v>288</v>
      </c>
      <c r="AB17" s="255">
        <f t="shared" si="4"/>
        <v>362</v>
      </c>
      <c r="AC17" s="255">
        <f t="shared" si="4"/>
        <v>460</v>
      </c>
      <c r="AD17" s="323">
        <f t="shared" si="4"/>
        <v>446</v>
      </c>
    </row>
    <row r="18" spans="1:30" s="6" customFormat="1" ht="22.5" customHeight="1">
      <c r="A18" s="322"/>
      <c r="B18" s="1271" t="s">
        <v>582</v>
      </c>
      <c r="C18" s="1272">
        <v>1725</v>
      </c>
      <c r="D18" s="1272">
        <v>2004</v>
      </c>
      <c r="E18" s="1272">
        <f>SUM(E15:E17)</f>
        <v>3320</v>
      </c>
      <c r="F18" s="1273">
        <f t="shared" ref="F18:Z18" si="5">SUM(F15:F17)</f>
        <v>2936</v>
      </c>
      <c r="G18" s="1272">
        <f t="shared" si="5"/>
        <v>636</v>
      </c>
      <c r="H18" s="1272">
        <f t="shared" si="5"/>
        <v>784</v>
      </c>
      <c r="I18" s="1272">
        <f t="shared" si="5"/>
        <v>1448</v>
      </c>
      <c r="J18" s="1273">
        <f t="shared" si="5"/>
        <v>1739</v>
      </c>
      <c r="K18" s="1272">
        <f t="shared" si="5"/>
        <v>160</v>
      </c>
      <c r="L18" s="1272">
        <f t="shared" si="5"/>
        <v>192</v>
      </c>
      <c r="M18" s="1272">
        <f t="shared" si="5"/>
        <v>127</v>
      </c>
      <c r="N18" s="1274">
        <f t="shared" si="5"/>
        <v>69</v>
      </c>
      <c r="O18" s="1272">
        <f t="shared" si="5"/>
        <v>296</v>
      </c>
      <c r="P18" s="1272">
        <f t="shared" si="5"/>
        <v>455</v>
      </c>
      <c r="Q18" s="1272">
        <f t="shared" si="5"/>
        <v>814</v>
      </c>
      <c r="R18" s="1274">
        <f t="shared" si="5"/>
        <v>858</v>
      </c>
      <c r="S18" s="1272">
        <f t="shared" si="5"/>
        <v>194</v>
      </c>
      <c r="T18" s="1272">
        <f t="shared" si="5"/>
        <v>96</v>
      </c>
      <c r="U18" s="1272">
        <f t="shared" si="5"/>
        <v>83</v>
      </c>
      <c r="V18" s="1274">
        <f t="shared" si="5"/>
        <v>228</v>
      </c>
      <c r="W18" s="1272">
        <f t="shared" si="5"/>
        <v>0</v>
      </c>
      <c r="X18" s="1272">
        <f t="shared" si="5"/>
        <v>0</v>
      </c>
      <c r="Y18" s="1272">
        <f t="shared" si="5"/>
        <v>0</v>
      </c>
      <c r="Z18" s="1274">
        <f t="shared" si="5"/>
        <v>0</v>
      </c>
      <c r="AA18" s="1275">
        <f>SUM(AA15:AA17)</f>
        <v>3011</v>
      </c>
      <c r="AB18" s="1272">
        <f>SUM(AB15:AB17)</f>
        <v>3531</v>
      </c>
      <c r="AC18" s="1272">
        <f>SUM(AC15:AC17)</f>
        <v>5792</v>
      </c>
      <c r="AD18" s="1274">
        <f>SUM(AD15:AD17)</f>
        <v>5830</v>
      </c>
    </row>
    <row r="19" spans="1:30" s="6" customFormat="1" ht="22.5" customHeight="1">
      <c r="A19" s="322" t="s">
        <v>865</v>
      </c>
      <c r="B19" s="243" t="s">
        <v>742</v>
      </c>
      <c r="C19" s="255">
        <v>1322</v>
      </c>
      <c r="D19" s="255">
        <v>1417</v>
      </c>
      <c r="E19" s="255">
        <v>3214</v>
      </c>
      <c r="F19" s="340">
        <v>3106</v>
      </c>
      <c r="G19" s="255">
        <v>1093</v>
      </c>
      <c r="H19" s="255">
        <v>1051</v>
      </c>
      <c r="I19" s="255">
        <v>1032</v>
      </c>
      <c r="J19" s="340">
        <v>1075</v>
      </c>
      <c r="K19" s="255">
        <v>53</v>
      </c>
      <c r="L19" s="255">
        <v>116</v>
      </c>
      <c r="M19" s="255">
        <v>75</v>
      </c>
      <c r="N19" s="323">
        <v>125</v>
      </c>
      <c r="O19" s="255">
        <v>100</v>
      </c>
      <c r="P19" s="255">
        <v>109</v>
      </c>
      <c r="Q19" s="255">
        <v>324</v>
      </c>
      <c r="R19" s="323">
        <v>409</v>
      </c>
      <c r="S19" s="255">
        <v>127</v>
      </c>
      <c r="T19" s="255">
        <v>153</v>
      </c>
      <c r="U19" s="255">
        <v>175</v>
      </c>
      <c r="V19" s="323">
        <v>103</v>
      </c>
      <c r="W19" s="255"/>
      <c r="X19" s="255"/>
      <c r="Y19" s="255"/>
      <c r="Z19" s="323">
        <v>0</v>
      </c>
      <c r="AA19" s="254">
        <f t="shared" ref="AA19:AD20" si="6">+W19+S19+O19+K19+G19+C19</f>
        <v>2695</v>
      </c>
      <c r="AB19" s="255">
        <f t="shared" si="6"/>
        <v>2846</v>
      </c>
      <c r="AC19" s="255">
        <f t="shared" si="6"/>
        <v>4820</v>
      </c>
      <c r="AD19" s="323">
        <f t="shared" si="6"/>
        <v>4818</v>
      </c>
    </row>
    <row r="20" spans="1:30" s="6" customFormat="1" ht="22.5" customHeight="1">
      <c r="A20" s="322"/>
      <c r="B20" s="211" t="s">
        <v>1060</v>
      </c>
      <c r="C20" s="255">
        <v>23</v>
      </c>
      <c r="D20" s="255">
        <v>39</v>
      </c>
      <c r="E20" s="255">
        <v>124</v>
      </c>
      <c r="F20" s="340">
        <v>175</v>
      </c>
      <c r="G20" s="255">
        <v>54</v>
      </c>
      <c r="H20" s="255">
        <v>101</v>
      </c>
      <c r="I20" s="255">
        <v>101</v>
      </c>
      <c r="J20" s="340">
        <v>116</v>
      </c>
      <c r="K20" s="255"/>
      <c r="L20" s="255">
        <v>10</v>
      </c>
      <c r="M20" s="255">
        <v>5</v>
      </c>
      <c r="N20" s="323">
        <v>8</v>
      </c>
      <c r="O20" s="255">
        <v>2</v>
      </c>
      <c r="P20" s="255">
        <v>37</v>
      </c>
      <c r="Q20" s="255">
        <v>52</v>
      </c>
      <c r="R20" s="323">
        <v>56</v>
      </c>
      <c r="S20" s="255"/>
      <c r="T20" s="255"/>
      <c r="U20" s="255">
        <v>3</v>
      </c>
      <c r="V20" s="323">
        <v>1</v>
      </c>
      <c r="W20" s="255"/>
      <c r="X20" s="255"/>
      <c r="Y20" s="255"/>
      <c r="Z20" s="323">
        <v>0</v>
      </c>
      <c r="AA20" s="254">
        <f t="shared" si="6"/>
        <v>79</v>
      </c>
      <c r="AB20" s="255">
        <f t="shared" si="6"/>
        <v>187</v>
      </c>
      <c r="AC20" s="255">
        <f t="shared" si="6"/>
        <v>285</v>
      </c>
      <c r="AD20" s="323">
        <f t="shared" si="6"/>
        <v>356</v>
      </c>
    </row>
    <row r="21" spans="1:30" s="6" customFormat="1" ht="22.5" customHeight="1">
      <c r="A21" s="322"/>
      <c r="B21" s="1271" t="s">
        <v>582</v>
      </c>
      <c r="C21" s="1272">
        <v>1345</v>
      </c>
      <c r="D21" s="1272">
        <v>1456</v>
      </c>
      <c r="E21" s="1272">
        <f>SUM(E19:E20)</f>
        <v>3338</v>
      </c>
      <c r="F21" s="1273">
        <f t="shared" ref="F21:Z21" si="7">SUM(F19:F20)</f>
        <v>3281</v>
      </c>
      <c r="G21" s="1272">
        <f t="shared" si="7"/>
        <v>1147</v>
      </c>
      <c r="H21" s="1272">
        <f t="shared" si="7"/>
        <v>1152</v>
      </c>
      <c r="I21" s="1272">
        <f t="shared" si="7"/>
        <v>1133</v>
      </c>
      <c r="J21" s="1273">
        <f t="shared" si="7"/>
        <v>1191</v>
      </c>
      <c r="K21" s="1272">
        <f t="shared" si="7"/>
        <v>53</v>
      </c>
      <c r="L21" s="1272">
        <f t="shared" si="7"/>
        <v>126</v>
      </c>
      <c r="M21" s="1272">
        <f t="shared" si="7"/>
        <v>80</v>
      </c>
      <c r="N21" s="1274">
        <f t="shared" si="7"/>
        <v>133</v>
      </c>
      <c r="O21" s="1272">
        <f t="shared" si="7"/>
        <v>102</v>
      </c>
      <c r="P21" s="1272">
        <f t="shared" si="7"/>
        <v>146</v>
      </c>
      <c r="Q21" s="1272">
        <f t="shared" si="7"/>
        <v>376</v>
      </c>
      <c r="R21" s="1274">
        <f t="shared" si="7"/>
        <v>465</v>
      </c>
      <c r="S21" s="1272">
        <f t="shared" si="7"/>
        <v>127</v>
      </c>
      <c r="T21" s="1272">
        <f t="shared" si="7"/>
        <v>153</v>
      </c>
      <c r="U21" s="1272">
        <f t="shared" si="7"/>
        <v>178</v>
      </c>
      <c r="V21" s="1274">
        <f t="shared" si="7"/>
        <v>104</v>
      </c>
      <c r="W21" s="1272">
        <f t="shared" si="7"/>
        <v>0</v>
      </c>
      <c r="X21" s="1272">
        <f t="shared" si="7"/>
        <v>0</v>
      </c>
      <c r="Y21" s="1272">
        <f t="shared" si="7"/>
        <v>0</v>
      </c>
      <c r="Z21" s="1274">
        <f t="shared" si="7"/>
        <v>0</v>
      </c>
      <c r="AA21" s="1275">
        <f>+W21+S21+O21+K21+G21+C21</f>
        <v>2774</v>
      </c>
      <c r="AB21" s="1272">
        <f>+X21+T21+P21+L21+H21+D21</f>
        <v>3033</v>
      </c>
      <c r="AC21" s="1272">
        <f>SUM(AC19:AC20)</f>
        <v>5105</v>
      </c>
      <c r="AD21" s="1274">
        <f>SUM(AD19:AD20)</f>
        <v>5174</v>
      </c>
    </row>
    <row r="22" spans="1:30" s="6" customFormat="1" ht="22.5" customHeight="1">
      <c r="A22" s="322" t="s">
        <v>481</v>
      </c>
      <c r="B22" s="243" t="s">
        <v>743</v>
      </c>
      <c r="C22" s="255">
        <v>1425</v>
      </c>
      <c r="D22" s="255">
        <v>1403</v>
      </c>
      <c r="E22" s="255">
        <v>2549</v>
      </c>
      <c r="F22" s="340">
        <v>2643</v>
      </c>
      <c r="G22" s="255">
        <v>508</v>
      </c>
      <c r="H22" s="255">
        <v>721</v>
      </c>
      <c r="I22" s="255">
        <v>1157</v>
      </c>
      <c r="J22" s="340">
        <v>1350</v>
      </c>
      <c r="K22" s="255">
        <v>68</v>
      </c>
      <c r="L22" s="255">
        <v>52</v>
      </c>
      <c r="M22" s="255">
        <v>117</v>
      </c>
      <c r="N22" s="323">
        <v>72</v>
      </c>
      <c r="O22" s="255">
        <v>85</v>
      </c>
      <c r="P22" s="255">
        <v>150</v>
      </c>
      <c r="Q22" s="255">
        <v>399</v>
      </c>
      <c r="R22" s="323">
        <v>621</v>
      </c>
      <c r="S22" s="255">
        <v>112</v>
      </c>
      <c r="T22" s="255">
        <v>53</v>
      </c>
      <c r="U22" s="255">
        <v>68</v>
      </c>
      <c r="V22" s="323">
        <v>64</v>
      </c>
      <c r="W22" s="255"/>
      <c r="X22" s="255">
        <v>5</v>
      </c>
      <c r="Y22" s="255">
        <v>2</v>
      </c>
      <c r="Z22" s="323">
        <v>3</v>
      </c>
      <c r="AA22" s="254">
        <f>+W22+S22+O22+K22+G22+C22</f>
        <v>2198</v>
      </c>
      <c r="AB22" s="255">
        <f>+X22+T22+P22+L22+H22+D22</f>
        <v>2384</v>
      </c>
      <c r="AC22" s="255">
        <f>+Y22+U22+Q22+M22+I22+E22</f>
        <v>4292</v>
      </c>
      <c r="AD22" s="323">
        <f>+Z22+V22+R22+N22+J22+F22</f>
        <v>4753</v>
      </c>
    </row>
    <row r="23" spans="1:30" s="6" customFormat="1" ht="22.5" customHeight="1">
      <c r="A23" s="1026" t="s">
        <v>866</v>
      </c>
      <c r="B23" s="1045"/>
      <c r="C23" s="1276">
        <v>8034</v>
      </c>
      <c r="D23" s="1276">
        <v>8014</v>
      </c>
      <c r="E23" s="1276">
        <f>+E14+E18+E21+E22</f>
        <v>15329</v>
      </c>
      <c r="F23" s="1277">
        <f t="shared" ref="F23:Z23" si="8">+F14+F18+F21+F22</f>
        <v>14715</v>
      </c>
      <c r="G23" s="1276">
        <f t="shared" si="8"/>
        <v>4486</v>
      </c>
      <c r="H23" s="1276">
        <f t="shared" si="8"/>
        <v>7647</v>
      </c>
      <c r="I23" s="1276">
        <f t="shared" si="8"/>
        <v>9163</v>
      </c>
      <c r="J23" s="1277">
        <f t="shared" si="8"/>
        <v>10129</v>
      </c>
      <c r="K23" s="1276">
        <f t="shared" si="8"/>
        <v>782</v>
      </c>
      <c r="L23" s="1276">
        <f t="shared" si="8"/>
        <v>813</v>
      </c>
      <c r="M23" s="1276">
        <f t="shared" si="8"/>
        <v>852</v>
      </c>
      <c r="N23" s="1277">
        <f t="shared" si="8"/>
        <v>746</v>
      </c>
      <c r="O23" s="1276">
        <f t="shared" si="8"/>
        <v>1461</v>
      </c>
      <c r="P23" s="1276">
        <f t="shared" si="8"/>
        <v>1920</v>
      </c>
      <c r="Q23" s="1276">
        <f t="shared" si="8"/>
        <v>3149</v>
      </c>
      <c r="R23" s="1277">
        <f t="shared" si="8"/>
        <v>3817</v>
      </c>
      <c r="S23" s="1276">
        <f t="shared" si="8"/>
        <v>637</v>
      </c>
      <c r="T23" s="1276">
        <f t="shared" si="8"/>
        <v>613</v>
      </c>
      <c r="U23" s="1276">
        <f t="shared" si="8"/>
        <v>655</v>
      </c>
      <c r="V23" s="1277">
        <f t="shared" si="8"/>
        <v>733</v>
      </c>
      <c r="W23" s="1276">
        <f t="shared" si="8"/>
        <v>20</v>
      </c>
      <c r="X23" s="1276">
        <f t="shared" si="8"/>
        <v>14</v>
      </c>
      <c r="Y23" s="1276">
        <f t="shared" si="8"/>
        <v>4</v>
      </c>
      <c r="Z23" s="1277">
        <f t="shared" si="8"/>
        <v>22</v>
      </c>
      <c r="AA23" s="1278">
        <f>+AA14+AA18+AA21+AA22</f>
        <v>15420</v>
      </c>
      <c r="AB23" s="1276">
        <f>+AB14+AB18+AB21+AB22</f>
        <v>19021</v>
      </c>
      <c r="AC23" s="1276">
        <f>+AC14+AC18+AC21+AC22</f>
        <v>29152</v>
      </c>
      <c r="AD23" s="1277">
        <f>+AD14+AD18+AD21+AD22</f>
        <v>30162</v>
      </c>
    </row>
    <row r="24" spans="1:30" s="6" customFormat="1" ht="22.5" customHeight="1">
      <c r="A24" s="322" t="s">
        <v>867</v>
      </c>
      <c r="B24" s="211" t="s">
        <v>1176</v>
      </c>
      <c r="C24" s="255">
        <v>1739</v>
      </c>
      <c r="D24" s="255">
        <v>2242</v>
      </c>
      <c r="E24" s="255">
        <v>4205</v>
      </c>
      <c r="F24" s="340">
        <v>4524</v>
      </c>
      <c r="G24" s="255">
        <v>1044</v>
      </c>
      <c r="H24" s="255">
        <v>1769</v>
      </c>
      <c r="I24" s="255">
        <v>2414</v>
      </c>
      <c r="J24" s="340">
        <v>2840</v>
      </c>
      <c r="K24" s="255">
        <v>16</v>
      </c>
      <c r="L24" s="255">
        <v>13</v>
      </c>
      <c r="M24" s="255">
        <v>24</v>
      </c>
      <c r="N24" s="323">
        <v>29</v>
      </c>
      <c r="O24" s="255">
        <v>576</v>
      </c>
      <c r="P24" s="255">
        <v>753</v>
      </c>
      <c r="Q24" s="255">
        <v>889</v>
      </c>
      <c r="R24" s="323">
        <v>738</v>
      </c>
      <c r="S24" s="255">
        <v>98</v>
      </c>
      <c r="T24" s="255">
        <v>341</v>
      </c>
      <c r="U24" s="255">
        <v>244</v>
      </c>
      <c r="V24" s="323">
        <v>446</v>
      </c>
      <c r="W24" s="255"/>
      <c r="X24" s="255"/>
      <c r="Y24" s="255"/>
      <c r="Z24" s="323">
        <v>0</v>
      </c>
      <c r="AA24" s="254">
        <f t="shared" ref="AA24:AD30" si="9">+W24+S24+O24+K24+G24+C24</f>
        <v>3473</v>
      </c>
      <c r="AB24" s="255">
        <f t="shared" si="9"/>
        <v>5118</v>
      </c>
      <c r="AC24" s="255">
        <f t="shared" si="9"/>
        <v>7776</v>
      </c>
      <c r="AD24" s="323">
        <f t="shared" si="9"/>
        <v>8577</v>
      </c>
    </row>
    <row r="25" spans="1:30" s="6" customFormat="1" ht="22.5" customHeight="1">
      <c r="A25" s="322"/>
      <c r="B25" s="211" t="s">
        <v>1175</v>
      </c>
      <c r="C25" s="255">
        <v>3426</v>
      </c>
      <c r="D25" s="255">
        <v>3250</v>
      </c>
      <c r="E25" s="255">
        <v>4746</v>
      </c>
      <c r="F25" s="340">
        <v>5728</v>
      </c>
      <c r="G25" s="255">
        <v>1770</v>
      </c>
      <c r="H25" s="255">
        <v>1658</v>
      </c>
      <c r="I25" s="255">
        <v>2953</v>
      </c>
      <c r="J25" s="340">
        <v>3154</v>
      </c>
      <c r="K25" s="255">
        <v>534</v>
      </c>
      <c r="L25" s="255">
        <v>258</v>
      </c>
      <c r="M25" s="255">
        <v>110</v>
      </c>
      <c r="N25" s="323">
        <v>317</v>
      </c>
      <c r="O25" s="255">
        <v>765</v>
      </c>
      <c r="P25" s="255">
        <v>495</v>
      </c>
      <c r="Q25" s="255">
        <v>994</v>
      </c>
      <c r="R25" s="323">
        <v>1013</v>
      </c>
      <c r="S25" s="255">
        <v>139</v>
      </c>
      <c r="T25" s="255">
        <v>364</v>
      </c>
      <c r="U25" s="255">
        <v>1382</v>
      </c>
      <c r="V25" s="323">
        <v>1727</v>
      </c>
      <c r="W25" s="255"/>
      <c r="X25" s="255"/>
      <c r="Y25" s="255">
        <v>44</v>
      </c>
      <c r="Z25" s="323">
        <v>0</v>
      </c>
      <c r="AA25" s="254">
        <f t="shared" si="9"/>
        <v>6634</v>
      </c>
      <c r="AB25" s="255">
        <f t="shared" si="9"/>
        <v>6025</v>
      </c>
      <c r="AC25" s="255">
        <f t="shared" si="9"/>
        <v>10229</v>
      </c>
      <c r="AD25" s="323">
        <f t="shared" si="9"/>
        <v>11939</v>
      </c>
    </row>
    <row r="26" spans="1:30" s="6" customFormat="1" ht="22.5" customHeight="1">
      <c r="A26" s="322"/>
      <c r="B26" s="243" t="s">
        <v>489</v>
      </c>
      <c r="C26" s="255">
        <v>299</v>
      </c>
      <c r="D26" s="255">
        <v>311</v>
      </c>
      <c r="E26" s="255">
        <v>654</v>
      </c>
      <c r="F26" s="340">
        <v>623</v>
      </c>
      <c r="G26" s="255">
        <v>115</v>
      </c>
      <c r="H26" s="255">
        <v>163</v>
      </c>
      <c r="I26" s="255">
        <v>266</v>
      </c>
      <c r="J26" s="340">
        <v>272</v>
      </c>
      <c r="K26" s="255">
        <v>29</v>
      </c>
      <c r="L26" s="255">
        <v>19</v>
      </c>
      <c r="M26" s="255">
        <v>2</v>
      </c>
      <c r="N26" s="323">
        <v>11</v>
      </c>
      <c r="O26" s="255">
        <v>50</v>
      </c>
      <c r="P26" s="255">
        <v>128</v>
      </c>
      <c r="Q26" s="255">
        <v>112</v>
      </c>
      <c r="R26" s="323">
        <v>83</v>
      </c>
      <c r="S26" s="255">
        <v>24</v>
      </c>
      <c r="T26" s="255">
        <v>29</v>
      </c>
      <c r="U26" s="255">
        <v>19</v>
      </c>
      <c r="V26" s="323">
        <v>61</v>
      </c>
      <c r="W26" s="255"/>
      <c r="X26" s="255"/>
      <c r="Y26" s="255"/>
      <c r="Z26" s="323">
        <v>0</v>
      </c>
      <c r="AA26" s="254">
        <f t="shared" si="9"/>
        <v>517</v>
      </c>
      <c r="AB26" s="255">
        <f t="shared" si="9"/>
        <v>650</v>
      </c>
      <c r="AC26" s="255">
        <f t="shared" si="9"/>
        <v>1053</v>
      </c>
      <c r="AD26" s="323">
        <f t="shared" si="9"/>
        <v>1050</v>
      </c>
    </row>
    <row r="27" spans="1:30" s="6" customFormat="1" ht="22.5" customHeight="1">
      <c r="A27" s="322"/>
      <c r="B27" s="211" t="s">
        <v>1338</v>
      </c>
      <c r="C27" s="255"/>
      <c r="D27" s="255"/>
      <c r="E27" s="255"/>
      <c r="F27" s="340">
        <v>0</v>
      </c>
      <c r="G27" s="255"/>
      <c r="H27" s="255"/>
      <c r="I27" s="255"/>
      <c r="J27" s="340">
        <v>0</v>
      </c>
      <c r="K27" s="255"/>
      <c r="L27" s="255"/>
      <c r="M27" s="255"/>
      <c r="N27" s="323">
        <v>0</v>
      </c>
      <c r="O27" s="255"/>
      <c r="P27" s="255"/>
      <c r="Q27" s="255"/>
      <c r="R27" s="323">
        <v>0</v>
      </c>
      <c r="S27" s="255"/>
      <c r="T27" s="255"/>
      <c r="U27" s="255"/>
      <c r="V27" s="323">
        <v>0</v>
      </c>
      <c r="W27" s="255"/>
      <c r="X27" s="255"/>
      <c r="Y27" s="255"/>
      <c r="Z27" s="323">
        <v>0</v>
      </c>
      <c r="AA27" s="254">
        <f t="shared" si="9"/>
        <v>0</v>
      </c>
      <c r="AB27" s="255">
        <f t="shared" si="9"/>
        <v>0</v>
      </c>
      <c r="AC27" s="255">
        <f t="shared" si="9"/>
        <v>0</v>
      </c>
      <c r="AD27" s="323">
        <f t="shared" si="9"/>
        <v>0</v>
      </c>
    </row>
    <row r="28" spans="1:30" s="6" customFormat="1" ht="22.5" customHeight="1">
      <c r="A28" s="322"/>
      <c r="B28" s="211" t="s">
        <v>1059</v>
      </c>
      <c r="C28" s="255"/>
      <c r="D28" s="255"/>
      <c r="E28" s="255"/>
      <c r="F28" s="340">
        <v>0</v>
      </c>
      <c r="G28" s="255"/>
      <c r="H28" s="255"/>
      <c r="I28" s="255"/>
      <c r="J28" s="340">
        <v>0</v>
      </c>
      <c r="K28" s="255"/>
      <c r="L28" s="255"/>
      <c r="M28" s="255"/>
      <c r="N28" s="323">
        <v>0</v>
      </c>
      <c r="O28" s="255"/>
      <c r="P28" s="255"/>
      <c r="Q28" s="255"/>
      <c r="R28" s="323">
        <v>0</v>
      </c>
      <c r="S28" s="255"/>
      <c r="T28" s="255"/>
      <c r="U28" s="255"/>
      <c r="V28" s="323">
        <v>0</v>
      </c>
      <c r="W28" s="255"/>
      <c r="X28" s="255"/>
      <c r="Y28" s="255"/>
      <c r="Z28" s="323">
        <v>0</v>
      </c>
      <c r="AA28" s="254">
        <f t="shared" si="9"/>
        <v>0</v>
      </c>
      <c r="AB28" s="255">
        <f t="shared" si="9"/>
        <v>0</v>
      </c>
      <c r="AC28" s="255">
        <f t="shared" si="9"/>
        <v>0</v>
      </c>
      <c r="AD28" s="323">
        <f t="shared" si="9"/>
        <v>0</v>
      </c>
    </row>
    <row r="29" spans="1:30" s="6" customFormat="1" ht="22.5" customHeight="1">
      <c r="A29" s="322"/>
      <c r="B29" s="211" t="s">
        <v>1337</v>
      </c>
      <c r="C29" s="255"/>
      <c r="D29" s="255"/>
      <c r="E29" s="255"/>
      <c r="F29" s="340">
        <v>0</v>
      </c>
      <c r="G29" s="255">
        <v>140</v>
      </c>
      <c r="H29" s="255">
        <v>33</v>
      </c>
      <c r="I29" s="255">
        <v>29</v>
      </c>
      <c r="J29" s="340">
        <v>125</v>
      </c>
      <c r="K29" s="255"/>
      <c r="L29" s="255"/>
      <c r="M29" s="255"/>
      <c r="N29" s="323">
        <v>0</v>
      </c>
      <c r="O29" s="255"/>
      <c r="P29" s="255"/>
      <c r="Q29" s="255"/>
      <c r="R29" s="323">
        <v>0</v>
      </c>
      <c r="S29" s="255">
        <v>27</v>
      </c>
      <c r="T29" s="255">
        <v>92</v>
      </c>
      <c r="U29" s="255">
        <v>156</v>
      </c>
      <c r="V29" s="323">
        <v>101</v>
      </c>
      <c r="W29" s="255">
        <v>44</v>
      </c>
      <c r="X29" s="255">
        <v>64</v>
      </c>
      <c r="Y29" s="255">
        <v>41</v>
      </c>
      <c r="Z29" s="323">
        <v>0</v>
      </c>
      <c r="AA29" s="254">
        <f t="shared" si="9"/>
        <v>211</v>
      </c>
      <c r="AB29" s="255">
        <f t="shared" si="9"/>
        <v>189</v>
      </c>
      <c r="AC29" s="255">
        <f t="shared" si="9"/>
        <v>226</v>
      </c>
      <c r="AD29" s="323">
        <f t="shared" si="9"/>
        <v>226</v>
      </c>
    </row>
    <row r="30" spans="1:30" s="6" customFormat="1" ht="22.5" customHeight="1">
      <c r="A30" s="322"/>
      <c r="B30" s="243" t="s">
        <v>747</v>
      </c>
      <c r="C30" s="255">
        <v>595</v>
      </c>
      <c r="D30" s="255">
        <v>729</v>
      </c>
      <c r="E30" s="255">
        <v>1502</v>
      </c>
      <c r="F30" s="340">
        <v>1142</v>
      </c>
      <c r="G30" s="255">
        <v>278</v>
      </c>
      <c r="H30" s="255">
        <v>659</v>
      </c>
      <c r="I30" s="255">
        <v>839</v>
      </c>
      <c r="J30" s="340">
        <v>731</v>
      </c>
      <c r="K30" s="255">
        <v>61</v>
      </c>
      <c r="L30" s="255">
        <v>71</v>
      </c>
      <c r="M30" s="255">
        <v>49</v>
      </c>
      <c r="N30" s="323">
        <v>55</v>
      </c>
      <c r="O30" s="255">
        <v>186</v>
      </c>
      <c r="P30" s="255">
        <v>318</v>
      </c>
      <c r="Q30" s="255">
        <v>435</v>
      </c>
      <c r="R30" s="323">
        <v>441</v>
      </c>
      <c r="S30" s="255">
        <v>130</v>
      </c>
      <c r="T30" s="255">
        <v>159</v>
      </c>
      <c r="U30" s="255">
        <v>168</v>
      </c>
      <c r="V30" s="323">
        <v>195</v>
      </c>
      <c r="W30" s="255"/>
      <c r="X30" s="255"/>
      <c r="Y30" s="255"/>
      <c r="Z30" s="323">
        <v>0</v>
      </c>
      <c r="AA30" s="254">
        <f t="shared" si="9"/>
        <v>1250</v>
      </c>
      <c r="AB30" s="255">
        <f t="shared" si="9"/>
        <v>1936</v>
      </c>
      <c r="AC30" s="255">
        <f t="shared" si="9"/>
        <v>2993</v>
      </c>
      <c r="AD30" s="323">
        <f t="shared" si="9"/>
        <v>2564</v>
      </c>
    </row>
    <row r="31" spans="1:30" s="6" customFormat="1" ht="22.5" customHeight="1">
      <c r="A31" s="322"/>
      <c r="B31" s="1271" t="s">
        <v>582</v>
      </c>
      <c r="C31" s="1272">
        <v>6059</v>
      </c>
      <c r="D31" s="1272">
        <v>6532</v>
      </c>
      <c r="E31" s="1272">
        <f>SUM(E24:E30)</f>
        <v>11107</v>
      </c>
      <c r="F31" s="1273">
        <f t="shared" ref="F31:Z31" si="10">SUM(F24:F30)</f>
        <v>12017</v>
      </c>
      <c r="G31" s="1272">
        <f t="shared" si="10"/>
        <v>3347</v>
      </c>
      <c r="H31" s="1272">
        <f t="shared" si="10"/>
        <v>4282</v>
      </c>
      <c r="I31" s="1272">
        <f t="shared" si="10"/>
        <v>6501</v>
      </c>
      <c r="J31" s="1273">
        <f t="shared" si="10"/>
        <v>7122</v>
      </c>
      <c r="K31" s="1272">
        <f t="shared" si="10"/>
        <v>640</v>
      </c>
      <c r="L31" s="1272">
        <f t="shared" si="10"/>
        <v>361</v>
      </c>
      <c r="M31" s="1272">
        <f t="shared" si="10"/>
        <v>185</v>
      </c>
      <c r="N31" s="1274">
        <f t="shared" si="10"/>
        <v>412</v>
      </c>
      <c r="O31" s="1272">
        <f t="shared" si="10"/>
        <v>1577</v>
      </c>
      <c r="P31" s="1272">
        <f t="shared" si="10"/>
        <v>1694</v>
      </c>
      <c r="Q31" s="1272">
        <f t="shared" si="10"/>
        <v>2430</v>
      </c>
      <c r="R31" s="1274">
        <f t="shared" si="10"/>
        <v>2275</v>
      </c>
      <c r="S31" s="1272">
        <f t="shared" si="10"/>
        <v>418</v>
      </c>
      <c r="T31" s="1272">
        <f t="shared" si="10"/>
        <v>985</v>
      </c>
      <c r="U31" s="1272">
        <f t="shared" si="10"/>
        <v>1969</v>
      </c>
      <c r="V31" s="1274">
        <f t="shared" si="10"/>
        <v>2530</v>
      </c>
      <c r="W31" s="1272">
        <f t="shared" si="10"/>
        <v>44</v>
      </c>
      <c r="X31" s="1272">
        <f t="shared" si="10"/>
        <v>64</v>
      </c>
      <c r="Y31" s="1272">
        <f t="shared" si="10"/>
        <v>85</v>
      </c>
      <c r="Z31" s="1274">
        <f t="shared" si="10"/>
        <v>0</v>
      </c>
      <c r="AA31" s="1275">
        <f>SUM(AA24:AA30)</f>
        <v>12085</v>
      </c>
      <c r="AB31" s="1272">
        <f>SUM(AB24:AB30)</f>
        <v>13918</v>
      </c>
      <c r="AC31" s="1272">
        <f>SUM(AC24:AC30)</f>
        <v>22277</v>
      </c>
      <c r="AD31" s="1274">
        <f>SUM(AD24:AD30)</f>
        <v>24356</v>
      </c>
    </row>
    <row r="32" spans="1:30" s="6" customFormat="1" ht="22.5" customHeight="1">
      <c r="A32" s="322" t="s">
        <v>484</v>
      </c>
      <c r="B32" s="243" t="s">
        <v>748</v>
      </c>
      <c r="C32" s="255">
        <v>1254</v>
      </c>
      <c r="D32" s="255">
        <v>1174</v>
      </c>
      <c r="E32" s="255">
        <v>3043</v>
      </c>
      <c r="F32" s="340">
        <v>3859</v>
      </c>
      <c r="G32" s="255">
        <v>837</v>
      </c>
      <c r="H32" s="255">
        <v>1010</v>
      </c>
      <c r="I32" s="255">
        <v>1203</v>
      </c>
      <c r="J32" s="340">
        <v>1122</v>
      </c>
      <c r="K32" s="255">
        <v>154</v>
      </c>
      <c r="L32" s="255">
        <v>123</v>
      </c>
      <c r="M32" s="255">
        <v>143</v>
      </c>
      <c r="N32" s="323">
        <v>115</v>
      </c>
      <c r="O32" s="255">
        <v>175</v>
      </c>
      <c r="P32" s="255">
        <v>195</v>
      </c>
      <c r="Q32" s="255">
        <v>583</v>
      </c>
      <c r="R32" s="323">
        <v>398</v>
      </c>
      <c r="S32" s="255">
        <v>134</v>
      </c>
      <c r="T32" s="255">
        <v>72</v>
      </c>
      <c r="U32" s="255">
        <v>78</v>
      </c>
      <c r="V32" s="323">
        <v>99</v>
      </c>
      <c r="W32" s="255"/>
      <c r="X32" s="255"/>
      <c r="Y32" s="255"/>
      <c r="Z32" s="323">
        <v>0</v>
      </c>
      <c r="AA32" s="254">
        <f t="shared" ref="AA32:AD36" si="11">+W32+S32+O32+K32+G32+C32</f>
        <v>2554</v>
      </c>
      <c r="AB32" s="255">
        <f t="shared" si="11"/>
        <v>2574</v>
      </c>
      <c r="AC32" s="255">
        <f t="shared" si="11"/>
        <v>5050</v>
      </c>
      <c r="AD32" s="323">
        <f t="shared" si="11"/>
        <v>5593</v>
      </c>
    </row>
    <row r="33" spans="1:30" s="6" customFormat="1" ht="22.5" customHeight="1">
      <c r="A33" s="322"/>
      <c r="B33" s="211" t="s">
        <v>1296</v>
      </c>
      <c r="C33" s="255">
        <v>272</v>
      </c>
      <c r="D33" s="255">
        <v>248</v>
      </c>
      <c r="E33" s="255">
        <v>426</v>
      </c>
      <c r="F33" s="340">
        <v>375</v>
      </c>
      <c r="G33" s="255">
        <v>130</v>
      </c>
      <c r="H33" s="255">
        <v>180</v>
      </c>
      <c r="I33" s="255">
        <v>185</v>
      </c>
      <c r="J33" s="340">
        <v>266</v>
      </c>
      <c r="K33" s="255">
        <v>8</v>
      </c>
      <c r="L33" s="255">
        <v>7</v>
      </c>
      <c r="M33" s="255">
        <v>6</v>
      </c>
      <c r="N33" s="323">
        <v>15</v>
      </c>
      <c r="O33" s="255">
        <v>36</v>
      </c>
      <c r="P33" s="255">
        <v>42</v>
      </c>
      <c r="Q33" s="255">
        <v>89</v>
      </c>
      <c r="R33" s="323">
        <v>73</v>
      </c>
      <c r="S33" s="255">
        <v>20</v>
      </c>
      <c r="T33" s="255">
        <v>10</v>
      </c>
      <c r="U33" s="255">
        <v>7</v>
      </c>
      <c r="V33" s="323">
        <v>39</v>
      </c>
      <c r="W33" s="255"/>
      <c r="X33" s="255"/>
      <c r="Y33" s="255"/>
      <c r="Z33" s="323">
        <v>0</v>
      </c>
      <c r="AA33" s="254">
        <f t="shared" si="11"/>
        <v>466</v>
      </c>
      <c r="AB33" s="255">
        <f t="shared" si="11"/>
        <v>487</v>
      </c>
      <c r="AC33" s="255">
        <f t="shared" si="11"/>
        <v>713</v>
      </c>
      <c r="AD33" s="323">
        <f t="shared" si="11"/>
        <v>768</v>
      </c>
    </row>
    <row r="34" spans="1:30" s="6" customFormat="1" ht="22.5" customHeight="1">
      <c r="A34" s="322"/>
      <c r="B34" s="211" t="s">
        <v>1050</v>
      </c>
      <c r="C34" s="255">
        <v>202</v>
      </c>
      <c r="D34" s="255">
        <v>128</v>
      </c>
      <c r="E34" s="255">
        <v>172</v>
      </c>
      <c r="F34" s="340">
        <v>526</v>
      </c>
      <c r="G34" s="255">
        <v>237</v>
      </c>
      <c r="H34" s="255">
        <v>208</v>
      </c>
      <c r="I34" s="255">
        <v>283</v>
      </c>
      <c r="J34" s="340">
        <v>268</v>
      </c>
      <c r="K34" s="255">
        <v>1</v>
      </c>
      <c r="L34" s="255"/>
      <c r="M34" s="255">
        <v>1</v>
      </c>
      <c r="N34" s="323">
        <v>0</v>
      </c>
      <c r="O34" s="255">
        <v>89</v>
      </c>
      <c r="P34" s="255">
        <v>151</v>
      </c>
      <c r="Q34" s="255">
        <v>157</v>
      </c>
      <c r="R34" s="323">
        <v>164</v>
      </c>
      <c r="S34" s="255">
        <v>9</v>
      </c>
      <c r="T34" s="255">
        <v>8</v>
      </c>
      <c r="U34" s="255">
        <v>19</v>
      </c>
      <c r="V34" s="323">
        <v>9</v>
      </c>
      <c r="W34" s="255"/>
      <c r="X34" s="255"/>
      <c r="Y34" s="255"/>
      <c r="Z34" s="323">
        <v>0</v>
      </c>
      <c r="AA34" s="254">
        <f t="shared" si="11"/>
        <v>538</v>
      </c>
      <c r="AB34" s="255">
        <f t="shared" si="11"/>
        <v>495</v>
      </c>
      <c r="AC34" s="255">
        <f t="shared" si="11"/>
        <v>632</v>
      </c>
      <c r="AD34" s="323">
        <f t="shared" si="11"/>
        <v>967</v>
      </c>
    </row>
    <row r="35" spans="1:30" s="6" customFormat="1" ht="22.5" customHeight="1">
      <c r="A35" s="322"/>
      <c r="B35" s="211" t="s">
        <v>1094</v>
      </c>
      <c r="C35" s="255"/>
      <c r="D35" s="255"/>
      <c r="E35" s="255"/>
      <c r="F35" s="340">
        <v>0</v>
      </c>
      <c r="G35" s="255"/>
      <c r="H35" s="255"/>
      <c r="I35" s="255"/>
      <c r="J35" s="340">
        <v>0</v>
      </c>
      <c r="K35" s="255"/>
      <c r="L35" s="255"/>
      <c r="M35" s="255"/>
      <c r="N35" s="323">
        <v>0</v>
      </c>
      <c r="O35" s="255"/>
      <c r="P35" s="255"/>
      <c r="Q35" s="255"/>
      <c r="R35" s="323">
        <v>0</v>
      </c>
      <c r="S35" s="255"/>
      <c r="T35" s="255"/>
      <c r="U35" s="255"/>
      <c r="V35" s="323">
        <v>0</v>
      </c>
      <c r="W35" s="255"/>
      <c r="X35" s="255"/>
      <c r="Y35" s="255"/>
      <c r="Z35" s="323">
        <v>0</v>
      </c>
      <c r="AA35" s="254">
        <f t="shared" si="11"/>
        <v>0</v>
      </c>
      <c r="AB35" s="255">
        <f t="shared" si="11"/>
        <v>0</v>
      </c>
      <c r="AC35" s="255">
        <f t="shared" si="11"/>
        <v>0</v>
      </c>
      <c r="AD35" s="323">
        <f t="shared" si="11"/>
        <v>0</v>
      </c>
    </row>
    <row r="36" spans="1:30" s="6" customFormat="1" ht="22.5" customHeight="1">
      <c r="A36" s="322"/>
      <c r="B36" s="243" t="s">
        <v>868</v>
      </c>
      <c r="C36" s="255"/>
      <c r="D36" s="255"/>
      <c r="E36" s="255"/>
      <c r="F36" s="340">
        <v>0</v>
      </c>
      <c r="G36" s="255"/>
      <c r="H36" s="255"/>
      <c r="I36" s="255"/>
      <c r="J36" s="340">
        <v>0</v>
      </c>
      <c r="K36" s="255"/>
      <c r="L36" s="255"/>
      <c r="M36" s="255"/>
      <c r="N36" s="323">
        <v>0</v>
      </c>
      <c r="O36" s="255"/>
      <c r="P36" s="255"/>
      <c r="Q36" s="255"/>
      <c r="R36" s="323">
        <v>0</v>
      </c>
      <c r="S36" s="255"/>
      <c r="T36" s="255"/>
      <c r="U36" s="255"/>
      <c r="V36" s="323">
        <v>0</v>
      </c>
      <c r="W36" s="255"/>
      <c r="X36" s="255"/>
      <c r="Y36" s="255"/>
      <c r="Z36" s="323">
        <v>0</v>
      </c>
      <c r="AA36" s="254">
        <f t="shared" si="11"/>
        <v>0</v>
      </c>
      <c r="AB36" s="255">
        <f t="shared" si="11"/>
        <v>0</v>
      </c>
      <c r="AC36" s="255">
        <f t="shared" si="11"/>
        <v>0</v>
      </c>
      <c r="AD36" s="323">
        <f t="shared" si="11"/>
        <v>0</v>
      </c>
    </row>
    <row r="37" spans="1:30" s="6" customFormat="1" ht="22.5" customHeight="1">
      <c r="A37" s="322"/>
      <c r="B37" s="1271" t="s">
        <v>582</v>
      </c>
      <c r="C37" s="1272">
        <v>1728</v>
      </c>
      <c r="D37" s="1272">
        <v>1550</v>
      </c>
      <c r="E37" s="1272">
        <f>SUM(E32:E36)</f>
        <v>3641</v>
      </c>
      <c r="F37" s="1273">
        <f t="shared" ref="F37:Z37" si="12">SUM(F32:F36)</f>
        <v>4760</v>
      </c>
      <c r="G37" s="1272">
        <f t="shared" si="12"/>
        <v>1204</v>
      </c>
      <c r="H37" s="1272">
        <f t="shared" si="12"/>
        <v>1398</v>
      </c>
      <c r="I37" s="1272">
        <f t="shared" si="12"/>
        <v>1671</v>
      </c>
      <c r="J37" s="1273">
        <f t="shared" si="12"/>
        <v>1656</v>
      </c>
      <c r="K37" s="1272">
        <f t="shared" si="12"/>
        <v>163</v>
      </c>
      <c r="L37" s="1272">
        <f t="shared" si="12"/>
        <v>130</v>
      </c>
      <c r="M37" s="1272">
        <f t="shared" si="12"/>
        <v>150</v>
      </c>
      <c r="N37" s="1274">
        <f t="shared" si="12"/>
        <v>130</v>
      </c>
      <c r="O37" s="1272">
        <f t="shared" si="12"/>
        <v>300</v>
      </c>
      <c r="P37" s="1272">
        <f t="shared" si="12"/>
        <v>388</v>
      </c>
      <c r="Q37" s="1272">
        <f t="shared" si="12"/>
        <v>829</v>
      </c>
      <c r="R37" s="1274">
        <f t="shared" si="12"/>
        <v>635</v>
      </c>
      <c r="S37" s="1272">
        <f t="shared" si="12"/>
        <v>163</v>
      </c>
      <c r="T37" s="1272">
        <f t="shared" si="12"/>
        <v>90</v>
      </c>
      <c r="U37" s="1272">
        <f t="shared" si="12"/>
        <v>104</v>
      </c>
      <c r="V37" s="1274">
        <f t="shared" si="12"/>
        <v>147</v>
      </c>
      <c r="W37" s="1272">
        <f t="shared" si="12"/>
        <v>0</v>
      </c>
      <c r="X37" s="1272">
        <f t="shared" si="12"/>
        <v>0</v>
      </c>
      <c r="Y37" s="1272">
        <f t="shared" si="12"/>
        <v>0</v>
      </c>
      <c r="Z37" s="1274">
        <f t="shared" si="12"/>
        <v>0</v>
      </c>
      <c r="AA37" s="1275">
        <f>SUM(AA32:AA36)</f>
        <v>3558</v>
      </c>
      <c r="AB37" s="1272">
        <f>SUM(AB32:AB36)</f>
        <v>3556</v>
      </c>
      <c r="AC37" s="1272">
        <f>SUM(AC32:AC36)</f>
        <v>6395</v>
      </c>
      <c r="AD37" s="1274">
        <f>SUM(AD32:AD36)</f>
        <v>7328</v>
      </c>
    </row>
    <row r="38" spans="1:30" s="6" customFormat="1" ht="22.5" customHeight="1">
      <c r="A38" s="322" t="s">
        <v>485</v>
      </c>
      <c r="B38" s="211" t="s">
        <v>586</v>
      </c>
      <c r="C38" s="255">
        <v>1473</v>
      </c>
      <c r="D38" s="255">
        <v>1403</v>
      </c>
      <c r="E38" s="255">
        <v>2393</v>
      </c>
      <c r="F38" s="340">
        <v>2378</v>
      </c>
      <c r="G38" s="255">
        <v>564</v>
      </c>
      <c r="H38" s="255">
        <v>834</v>
      </c>
      <c r="I38" s="255">
        <v>965</v>
      </c>
      <c r="J38" s="340">
        <v>1043</v>
      </c>
      <c r="K38" s="255">
        <v>90</v>
      </c>
      <c r="L38" s="255">
        <v>65</v>
      </c>
      <c r="M38" s="255">
        <v>87</v>
      </c>
      <c r="N38" s="323">
        <v>110</v>
      </c>
      <c r="O38" s="255">
        <v>224</v>
      </c>
      <c r="P38" s="255">
        <v>253</v>
      </c>
      <c r="Q38" s="255">
        <v>430</v>
      </c>
      <c r="R38" s="323">
        <v>545</v>
      </c>
      <c r="S38" s="255">
        <v>23</v>
      </c>
      <c r="T38" s="255">
        <v>14</v>
      </c>
      <c r="U38" s="255">
        <v>37</v>
      </c>
      <c r="V38" s="323">
        <v>28</v>
      </c>
      <c r="W38" s="255"/>
      <c r="X38" s="255"/>
      <c r="Y38" s="255"/>
      <c r="Z38" s="323">
        <v>0</v>
      </c>
      <c r="AA38" s="254">
        <f t="shared" ref="AA38:AD40" si="13">+W38+S38+O38+K38+G38+C38</f>
        <v>2374</v>
      </c>
      <c r="AB38" s="255">
        <f t="shared" si="13"/>
        <v>2569</v>
      </c>
      <c r="AC38" s="255">
        <f t="shared" si="13"/>
        <v>3912</v>
      </c>
      <c r="AD38" s="323">
        <f t="shared" si="13"/>
        <v>4104</v>
      </c>
    </row>
    <row r="39" spans="1:30" s="6" customFormat="1" ht="22.5" customHeight="1">
      <c r="A39" s="322"/>
      <c r="B39" s="243" t="s">
        <v>750</v>
      </c>
      <c r="C39" s="255">
        <v>118</v>
      </c>
      <c r="D39" s="255">
        <v>191</v>
      </c>
      <c r="E39" s="255">
        <v>320</v>
      </c>
      <c r="F39" s="340">
        <v>425</v>
      </c>
      <c r="G39" s="255">
        <v>126</v>
      </c>
      <c r="H39" s="255">
        <v>238</v>
      </c>
      <c r="I39" s="255">
        <v>181</v>
      </c>
      <c r="J39" s="340">
        <v>220</v>
      </c>
      <c r="K39" s="255">
        <v>29</v>
      </c>
      <c r="L39" s="255">
        <v>18</v>
      </c>
      <c r="M39" s="255">
        <v>22</v>
      </c>
      <c r="N39" s="323">
        <v>72</v>
      </c>
      <c r="O39" s="255">
        <v>71</v>
      </c>
      <c r="P39" s="255">
        <v>91</v>
      </c>
      <c r="Q39" s="255">
        <v>135</v>
      </c>
      <c r="R39" s="323">
        <v>92</v>
      </c>
      <c r="S39" s="255">
        <v>3</v>
      </c>
      <c r="T39" s="255">
        <v>5</v>
      </c>
      <c r="U39" s="255">
        <v>2</v>
      </c>
      <c r="V39" s="323">
        <v>7</v>
      </c>
      <c r="W39" s="255"/>
      <c r="X39" s="255"/>
      <c r="Y39" s="255"/>
      <c r="Z39" s="323">
        <v>0</v>
      </c>
      <c r="AA39" s="254">
        <f t="shared" si="13"/>
        <v>347</v>
      </c>
      <c r="AB39" s="255">
        <f t="shared" si="13"/>
        <v>543</v>
      </c>
      <c r="AC39" s="255">
        <f t="shared" si="13"/>
        <v>660</v>
      </c>
      <c r="AD39" s="323">
        <f t="shared" si="13"/>
        <v>816</v>
      </c>
    </row>
    <row r="40" spans="1:30" s="6" customFormat="1" ht="22.5" customHeight="1">
      <c r="A40" s="322"/>
      <c r="B40" s="211" t="s">
        <v>1051</v>
      </c>
      <c r="C40" s="255">
        <v>80</v>
      </c>
      <c r="D40" s="255">
        <v>80</v>
      </c>
      <c r="E40" s="255">
        <v>153</v>
      </c>
      <c r="F40" s="340">
        <v>364</v>
      </c>
      <c r="G40" s="255">
        <v>65</v>
      </c>
      <c r="H40" s="255">
        <v>121</v>
      </c>
      <c r="I40" s="255">
        <v>130</v>
      </c>
      <c r="J40" s="340">
        <v>157</v>
      </c>
      <c r="K40" s="255">
        <v>7</v>
      </c>
      <c r="L40" s="255">
        <v>3</v>
      </c>
      <c r="M40" s="255">
        <v>10</v>
      </c>
      <c r="N40" s="323">
        <v>8</v>
      </c>
      <c r="O40" s="255">
        <v>41</v>
      </c>
      <c r="P40" s="255">
        <v>64</v>
      </c>
      <c r="Q40" s="255">
        <v>98</v>
      </c>
      <c r="R40" s="323">
        <v>66</v>
      </c>
      <c r="S40" s="255"/>
      <c r="T40" s="255">
        <v>3</v>
      </c>
      <c r="U40" s="255"/>
      <c r="V40" s="323">
        <v>0</v>
      </c>
      <c r="W40" s="255"/>
      <c r="X40" s="255"/>
      <c r="Y40" s="255"/>
      <c r="Z40" s="323">
        <v>0</v>
      </c>
      <c r="AA40" s="254">
        <f t="shared" si="13"/>
        <v>193</v>
      </c>
      <c r="AB40" s="255">
        <f t="shared" si="13"/>
        <v>271</v>
      </c>
      <c r="AC40" s="255">
        <f t="shared" si="13"/>
        <v>391</v>
      </c>
      <c r="AD40" s="323">
        <f t="shared" si="13"/>
        <v>595</v>
      </c>
    </row>
    <row r="41" spans="1:30" s="6" customFormat="1" ht="22.5" customHeight="1">
      <c r="A41" s="322"/>
      <c r="B41" s="1271" t="s">
        <v>582</v>
      </c>
      <c r="C41" s="1272">
        <v>1671</v>
      </c>
      <c r="D41" s="1272">
        <v>1674</v>
      </c>
      <c r="E41" s="1272">
        <f>SUM(E38:E40)</f>
        <v>2866</v>
      </c>
      <c r="F41" s="1273">
        <f t="shared" ref="F41:Z41" si="14">SUM(F38:F40)</f>
        <v>3167</v>
      </c>
      <c r="G41" s="1272">
        <f t="shared" si="14"/>
        <v>755</v>
      </c>
      <c r="H41" s="1272">
        <f t="shared" si="14"/>
        <v>1193</v>
      </c>
      <c r="I41" s="1272">
        <f t="shared" si="14"/>
        <v>1276</v>
      </c>
      <c r="J41" s="1273">
        <f t="shared" si="14"/>
        <v>1420</v>
      </c>
      <c r="K41" s="1272">
        <f t="shared" si="14"/>
        <v>126</v>
      </c>
      <c r="L41" s="1272">
        <f t="shared" si="14"/>
        <v>86</v>
      </c>
      <c r="M41" s="1272">
        <f t="shared" si="14"/>
        <v>119</v>
      </c>
      <c r="N41" s="1274">
        <f t="shared" si="14"/>
        <v>190</v>
      </c>
      <c r="O41" s="1272">
        <f t="shared" si="14"/>
        <v>336</v>
      </c>
      <c r="P41" s="1272">
        <f t="shared" si="14"/>
        <v>408</v>
      </c>
      <c r="Q41" s="1272">
        <f t="shared" si="14"/>
        <v>663</v>
      </c>
      <c r="R41" s="1274">
        <f t="shared" si="14"/>
        <v>703</v>
      </c>
      <c r="S41" s="1272">
        <f t="shared" si="14"/>
        <v>26</v>
      </c>
      <c r="T41" s="1272">
        <f t="shared" si="14"/>
        <v>22</v>
      </c>
      <c r="U41" s="1272">
        <f t="shared" si="14"/>
        <v>39</v>
      </c>
      <c r="V41" s="1274">
        <f t="shared" si="14"/>
        <v>35</v>
      </c>
      <c r="W41" s="1272">
        <f t="shared" si="14"/>
        <v>0</v>
      </c>
      <c r="X41" s="1272">
        <f t="shared" si="14"/>
        <v>0</v>
      </c>
      <c r="Y41" s="1272">
        <f t="shared" si="14"/>
        <v>0</v>
      </c>
      <c r="Z41" s="1274">
        <f t="shared" si="14"/>
        <v>0</v>
      </c>
      <c r="AA41" s="1275">
        <f>SUM(AA38:AA40)</f>
        <v>2914</v>
      </c>
      <c r="AB41" s="1272">
        <f>SUM(AB38:AB40)</f>
        <v>3383</v>
      </c>
      <c r="AC41" s="1272">
        <f>SUM(AC38:AC40)</f>
        <v>4963</v>
      </c>
      <c r="AD41" s="1274">
        <f>SUM(AD38:AD40)</f>
        <v>5515</v>
      </c>
    </row>
    <row r="42" spans="1:30" s="6" customFormat="1" ht="22.5" customHeight="1">
      <c r="A42" s="322" t="s">
        <v>486</v>
      </c>
      <c r="B42" s="243" t="s">
        <v>751</v>
      </c>
      <c r="C42" s="255">
        <v>1296</v>
      </c>
      <c r="D42" s="255">
        <v>1648</v>
      </c>
      <c r="E42" s="255">
        <v>4040</v>
      </c>
      <c r="F42" s="340">
        <v>3445</v>
      </c>
      <c r="G42" s="255">
        <v>433</v>
      </c>
      <c r="H42" s="255">
        <v>844</v>
      </c>
      <c r="I42" s="255">
        <v>1038</v>
      </c>
      <c r="J42" s="340">
        <v>989</v>
      </c>
      <c r="K42" s="255">
        <v>71</v>
      </c>
      <c r="L42" s="255">
        <v>58</v>
      </c>
      <c r="M42" s="255">
        <v>66</v>
      </c>
      <c r="N42" s="323">
        <v>55</v>
      </c>
      <c r="O42" s="255">
        <v>182</v>
      </c>
      <c r="P42" s="255">
        <v>505</v>
      </c>
      <c r="Q42" s="255">
        <v>675</v>
      </c>
      <c r="R42" s="323">
        <v>540</v>
      </c>
      <c r="S42" s="255">
        <v>85</v>
      </c>
      <c r="T42" s="255">
        <v>49</v>
      </c>
      <c r="U42" s="255">
        <v>83</v>
      </c>
      <c r="V42" s="323">
        <v>259</v>
      </c>
      <c r="W42" s="255"/>
      <c r="X42" s="255"/>
      <c r="Y42" s="255"/>
      <c r="Z42" s="323">
        <v>0</v>
      </c>
      <c r="AA42" s="254">
        <f t="shared" ref="AA42:AD46" si="15">+W42+S42+O42+K42+G42+C42</f>
        <v>2067</v>
      </c>
      <c r="AB42" s="255">
        <f t="shared" si="15"/>
        <v>3104</v>
      </c>
      <c r="AC42" s="255">
        <f t="shared" si="15"/>
        <v>5902</v>
      </c>
      <c r="AD42" s="323">
        <f t="shared" si="15"/>
        <v>5288</v>
      </c>
    </row>
    <row r="43" spans="1:30" s="6" customFormat="1" ht="22.5" customHeight="1">
      <c r="A43" s="322" t="s">
        <v>869</v>
      </c>
      <c r="B43" s="211" t="s">
        <v>752</v>
      </c>
      <c r="C43" s="255">
        <v>1628</v>
      </c>
      <c r="D43" s="255">
        <v>2027</v>
      </c>
      <c r="E43" s="255">
        <v>3224</v>
      </c>
      <c r="F43" s="340">
        <v>2958</v>
      </c>
      <c r="G43" s="255">
        <v>1212</v>
      </c>
      <c r="H43" s="255">
        <v>1128</v>
      </c>
      <c r="I43" s="255">
        <v>1737</v>
      </c>
      <c r="J43" s="340">
        <v>2103</v>
      </c>
      <c r="K43" s="255">
        <v>163</v>
      </c>
      <c r="L43" s="255">
        <v>114</v>
      </c>
      <c r="M43" s="255">
        <v>293</v>
      </c>
      <c r="N43" s="323">
        <v>62</v>
      </c>
      <c r="O43" s="255">
        <v>386</v>
      </c>
      <c r="P43" s="255">
        <v>321</v>
      </c>
      <c r="Q43" s="255">
        <v>459</v>
      </c>
      <c r="R43" s="323">
        <v>413</v>
      </c>
      <c r="S43" s="255">
        <v>36</v>
      </c>
      <c r="T43" s="255">
        <v>14</v>
      </c>
      <c r="U43" s="255">
        <v>26</v>
      </c>
      <c r="V43" s="323">
        <v>63</v>
      </c>
      <c r="W43" s="255"/>
      <c r="X43" s="255"/>
      <c r="Y43" s="255"/>
      <c r="Z43" s="323">
        <v>0</v>
      </c>
      <c r="AA43" s="254">
        <f t="shared" si="15"/>
        <v>3425</v>
      </c>
      <c r="AB43" s="255">
        <f t="shared" si="15"/>
        <v>3604</v>
      </c>
      <c r="AC43" s="255">
        <f t="shared" si="15"/>
        <v>5739</v>
      </c>
      <c r="AD43" s="323">
        <f t="shared" si="15"/>
        <v>5599</v>
      </c>
    </row>
    <row r="44" spans="1:30" s="6" customFormat="1" ht="22.5" customHeight="1">
      <c r="A44" s="322"/>
      <c r="B44" s="211" t="s">
        <v>902</v>
      </c>
      <c r="C44" s="255">
        <v>3</v>
      </c>
      <c r="D44" s="255">
        <v>7</v>
      </c>
      <c r="E44" s="255">
        <v>13</v>
      </c>
      <c r="F44" s="340">
        <v>7</v>
      </c>
      <c r="G44" s="255">
        <v>103</v>
      </c>
      <c r="H44" s="255">
        <v>32</v>
      </c>
      <c r="I44" s="255">
        <v>22</v>
      </c>
      <c r="J44" s="340">
        <v>26</v>
      </c>
      <c r="K44" s="255"/>
      <c r="L44" s="255"/>
      <c r="M44" s="255"/>
      <c r="N44" s="323">
        <v>0</v>
      </c>
      <c r="O44" s="255"/>
      <c r="P44" s="255"/>
      <c r="Q44" s="255"/>
      <c r="R44" s="323">
        <v>0</v>
      </c>
      <c r="S44" s="255">
        <v>33</v>
      </c>
      <c r="T44" s="255">
        <v>57</v>
      </c>
      <c r="U44" s="255">
        <v>68</v>
      </c>
      <c r="V44" s="323">
        <v>118</v>
      </c>
      <c r="W44" s="255">
        <v>9</v>
      </c>
      <c r="X44" s="255">
        <v>2</v>
      </c>
      <c r="Y44" s="255"/>
      <c r="Z44" s="323">
        <v>0</v>
      </c>
      <c r="AA44" s="254">
        <f t="shared" si="15"/>
        <v>148</v>
      </c>
      <c r="AB44" s="255">
        <f t="shared" si="15"/>
        <v>98</v>
      </c>
      <c r="AC44" s="255">
        <f t="shared" si="15"/>
        <v>103</v>
      </c>
      <c r="AD44" s="323">
        <f t="shared" si="15"/>
        <v>151</v>
      </c>
    </row>
    <row r="45" spans="1:30" s="6" customFormat="1" ht="22.5" customHeight="1">
      <c r="A45" s="322" t="s">
        <v>488</v>
      </c>
      <c r="B45" s="211" t="s">
        <v>753</v>
      </c>
      <c r="C45" s="255">
        <v>1664</v>
      </c>
      <c r="D45" s="255">
        <v>1667</v>
      </c>
      <c r="E45" s="255">
        <v>3852</v>
      </c>
      <c r="F45" s="340">
        <v>3377</v>
      </c>
      <c r="G45" s="255">
        <v>879</v>
      </c>
      <c r="H45" s="255">
        <v>1263</v>
      </c>
      <c r="I45" s="255">
        <v>1355</v>
      </c>
      <c r="J45" s="340">
        <v>1299</v>
      </c>
      <c r="K45" s="255">
        <v>23</v>
      </c>
      <c r="L45" s="255">
        <v>1</v>
      </c>
      <c r="M45" s="255">
        <v>1</v>
      </c>
      <c r="N45" s="323">
        <v>0</v>
      </c>
      <c r="O45" s="255">
        <v>159</v>
      </c>
      <c r="P45" s="255">
        <v>163</v>
      </c>
      <c r="Q45" s="255">
        <v>289</v>
      </c>
      <c r="R45" s="323">
        <v>256</v>
      </c>
      <c r="S45" s="255">
        <v>82</v>
      </c>
      <c r="T45" s="255">
        <v>92</v>
      </c>
      <c r="U45" s="255">
        <v>98</v>
      </c>
      <c r="V45" s="323">
        <v>158</v>
      </c>
      <c r="W45" s="255"/>
      <c r="X45" s="255">
        <v>17</v>
      </c>
      <c r="Y45" s="255"/>
      <c r="Z45" s="323">
        <v>0</v>
      </c>
      <c r="AA45" s="254">
        <f t="shared" si="15"/>
        <v>2807</v>
      </c>
      <c r="AB45" s="255">
        <f t="shared" si="15"/>
        <v>3203</v>
      </c>
      <c r="AC45" s="255">
        <f t="shared" si="15"/>
        <v>5595</v>
      </c>
      <c r="AD45" s="323">
        <f t="shared" si="15"/>
        <v>5090</v>
      </c>
    </row>
    <row r="46" spans="1:30" s="6" customFormat="1" ht="22.5" customHeight="1">
      <c r="A46" s="322"/>
      <c r="B46" s="211" t="s">
        <v>1045</v>
      </c>
      <c r="C46" s="255">
        <v>221</v>
      </c>
      <c r="D46" s="255">
        <v>185</v>
      </c>
      <c r="E46" s="255">
        <v>368</v>
      </c>
      <c r="F46" s="340">
        <v>445</v>
      </c>
      <c r="G46" s="255">
        <v>137</v>
      </c>
      <c r="H46" s="255">
        <v>211</v>
      </c>
      <c r="I46" s="255">
        <v>186</v>
      </c>
      <c r="J46" s="340">
        <v>207</v>
      </c>
      <c r="K46" s="255">
        <v>1</v>
      </c>
      <c r="L46" s="255">
        <v>0</v>
      </c>
      <c r="M46" s="255">
        <v>0</v>
      </c>
      <c r="N46" s="323">
        <v>0</v>
      </c>
      <c r="O46" s="255">
        <v>27</v>
      </c>
      <c r="P46" s="255">
        <v>70</v>
      </c>
      <c r="Q46" s="255">
        <v>37</v>
      </c>
      <c r="R46" s="323">
        <v>51</v>
      </c>
      <c r="S46" s="255">
        <v>6</v>
      </c>
      <c r="T46" s="255">
        <v>3</v>
      </c>
      <c r="U46" s="255">
        <v>1</v>
      </c>
      <c r="V46" s="323">
        <v>13</v>
      </c>
      <c r="W46" s="255"/>
      <c r="X46" s="255"/>
      <c r="Y46" s="255"/>
      <c r="Z46" s="323">
        <v>0</v>
      </c>
      <c r="AA46" s="254">
        <f t="shared" si="15"/>
        <v>392</v>
      </c>
      <c r="AB46" s="255">
        <f t="shared" si="15"/>
        <v>469</v>
      </c>
      <c r="AC46" s="255">
        <f t="shared" si="15"/>
        <v>592</v>
      </c>
      <c r="AD46" s="323">
        <f t="shared" si="15"/>
        <v>716</v>
      </c>
    </row>
    <row r="47" spans="1:30" s="6" customFormat="1" ht="22.5" customHeight="1">
      <c r="A47" s="322"/>
      <c r="B47" s="1279" t="s">
        <v>1436</v>
      </c>
      <c r="C47" s="1272">
        <v>1885</v>
      </c>
      <c r="D47" s="1272">
        <v>1852</v>
      </c>
      <c r="E47" s="1272">
        <f>SUM(E45:E46)</f>
        <v>4220</v>
      </c>
      <c r="F47" s="1273">
        <f t="shared" ref="F47:Z47" si="16">SUM(F45:F46)</f>
        <v>3822</v>
      </c>
      <c r="G47" s="1272">
        <f t="shared" si="16"/>
        <v>1016</v>
      </c>
      <c r="H47" s="1272">
        <f t="shared" si="16"/>
        <v>1474</v>
      </c>
      <c r="I47" s="1272">
        <f t="shared" si="16"/>
        <v>1541</v>
      </c>
      <c r="J47" s="1273">
        <f t="shared" si="16"/>
        <v>1506</v>
      </c>
      <c r="K47" s="1272">
        <f t="shared" si="16"/>
        <v>24</v>
      </c>
      <c r="L47" s="1272">
        <f t="shared" si="16"/>
        <v>1</v>
      </c>
      <c r="M47" s="1272">
        <f t="shared" si="16"/>
        <v>1</v>
      </c>
      <c r="N47" s="1274">
        <f t="shared" si="16"/>
        <v>0</v>
      </c>
      <c r="O47" s="1272">
        <f t="shared" si="16"/>
        <v>186</v>
      </c>
      <c r="P47" s="1272">
        <f t="shared" si="16"/>
        <v>233</v>
      </c>
      <c r="Q47" s="1272">
        <f t="shared" si="16"/>
        <v>326</v>
      </c>
      <c r="R47" s="1274">
        <f t="shared" si="16"/>
        <v>307</v>
      </c>
      <c r="S47" s="1272">
        <f t="shared" si="16"/>
        <v>88</v>
      </c>
      <c r="T47" s="1272">
        <f t="shared" si="16"/>
        <v>95</v>
      </c>
      <c r="U47" s="1272">
        <f t="shared" si="16"/>
        <v>99</v>
      </c>
      <c r="V47" s="1274">
        <f t="shared" si="16"/>
        <v>171</v>
      </c>
      <c r="W47" s="1272">
        <f t="shared" si="16"/>
        <v>0</v>
      </c>
      <c r="X47" s="1272">
        <f t="shared" si="16"/>
        <v>17</v>
      </c>
      <c r="Y47" s="1272">
        <f t="shared" si="16"/>
        <v>0</v>
      </c>
      <c r="Z47" s="1274">
        <f t="shared" si="16"/>
        <v>0</v>
      </c>
      <c r="AA47" s="1275">
        <f>SUM(AA45:AA46)</f>
        <v>3199</v>
      </c>
      <c r="AB47" s="1272">
        <f>SUM(AB45:AB46)</f>
        <v>3672</v>
      </c>
      <c r="AC47" s="1272">
        <f>SUM(AC45:AC46)</f>
        <v>6187</v>
      </c>
      <c r="AD47" s="1274">
        <f>SUM(AD45:AD46)</f>
        <v>5806</v>
      </c>
    </row>
    <row r="48" spans="1:30" s="6" customFormat="1" ht="22.5" customHeight="1">
      <c r="A48" s="1280" t="s">
        <v>870</v>
      </c>
      <c r="B48" s="1281"/>
      <c r="C48" s="1282">
        <v>14270</v>
      </c>
      <c r="D48" s="1282">
        <v>15290</v>
      </c>
      <c r="E48" s="1282">
        <f>+E31+E37+E41+E42+E43+E47+E44</f>
        <v>29111</v>
      </c>
      <c r="F48" s="1283">
        <f>+F31+F37+F41+F42+F43+F47+F44</f>
        <v>30176</v>
      </c>
      <c r="G48" s="1282">
        <f t="shared" ref="G48:Z48" si="17">+G31+G37+G41+G42+G43+G47+G44</f>
        <v>8070</v>
      </c>
      <c r="H48" s="1282">
        <f t="shared" si="17"/>
        <v>10351</v>
      </c>
      <c r="I48" s="1282">
        <f t="shared" si="17"/>
        <v>13786</v>
      </c>
      <c r="J48" s="1283">
        <f t="shared" si="17"/>
        <v>14822</v>
      </c>
      <c r="K48" s="1282">
        <f t="shared" si="17"/>
        <v>1187</v>
      </c>
      <c r="L48" s="1282">
        <f t="shared" si="17"/>
        <v>750</v>
      </c>
      <c r="M48" s="1282">
        <f t="shared" si="17"/>
        <v>814</v>
      </c>
      <c r="N48" s="1283">
        <f t="shared" si="17"/>
        <v>849</v>
      </c>
      <c r="O48" s="1282">
        <f t="shared" si="17"/>
        <v>2967</v>
      </c>
      <c r="P48" s="1282">
        <f t="shared" si="17"/>
        <v>3549</v>
      </c>
      <c r="Q48" s="1282">
        <f t="shared" si="17"/>
        <v>5382</v>
      </c>
      <c r="R48" s="1283">
        <f t="shared" si="17"/>
        <v>4873</v>
      </c>
      <c r="S48" s="1282">
        <f t="shared" si="17"/>
        <v>849</v>
      </c>
      <c r="T48" s="1282">
        <f t="shared" si="17"/>
        <v>1312</v>
      </c>
      <c r="U48" s="1282">
        <f t="shared" si="17"/>
        <v>2388</v>
      </c>
      <c r="V48" s="1283">
        <f t="shared" si="17"/>
        <v>3323</v>
      </c>
      <c r="W48" s="1282">
        <f t="shared" si="17"/>
        <v>53</v>
      </c>
      <c r="X48" s="1282">
        <f t="shared" si="17"/>
        <v>83</v>
      </c>
      <c r="Y48" s="1282">
        <f t="shared" si="17"/>
        <v>85</v>
      </c>
      <c r="Z48" s="1283">
        <f t="shared" si="17"/>
        <v>0</v>
      </c>
      <c r="AA48" s="1284">
        <f>SUM(AA41:AA46)+AA31+AA37</f>
        <v>27396</v>
      </c>
      <c r="AB48" s="1282">
        <f>SUM(AB41:AB46)+AB31+AB37</f>
        <v>31335</v>
      </c>
      <c r="AC48" s="1282">
        <f>+AC31+AC37+AC41+AC42+AC43+AC47+AC44</f>
        <v>51566</v>
      </c>
      <c r="AD48" s="1283">
        <f>+AD31+AD37+AD41+AD42+AD43+AD47+AD44</f>
        <v>54043</v>
      </c>
    </row>
    <row r="49" spans="1:31" s="6" customFormat="1" ht="22.5" customHeight="1">
      <c r="A49" s="1578" t="s">
        <v>594</v>
      </c>
      <c r="B49" s="1579"/>
      <c r="C49" s="1285">
        <v>22304</v>
      </c>
      <c r="D49" s="1285">
        <v>23304</v>
      </c>
      <c r="E49" s="1285">
        <f>+E23+E48</f>
        <v>44440</v>
      </c>
      <c r="F49" s="1286">
        <f>+F23+F48</f>
        <v>44891</v>
      </c>
      <c r="G49" s="1285">
        <f t="shared" ref="G49:Z49" si="18">+G23+G48</f>
        <v>12556</v>
      </c>
      <c r="H49" s="1285">
        <f t="shared" si="18"/>
        <v>17998</v>
      </c>
      <c r="I49" s="1285">
        <f t="shared" si="18"/>
        <v>22949</v>
      </c>
      <c r="J49" s="1286">
        <f t="shared" si="18"/>
        <v>24951</v>
      </c>
      <c r="K49" s="1285">
        <f t="shared" si="18"/>
        <v>1969</v>
      </c>
      <c r="L49" s="1285">
        <f t="shared" si="18"/>
        <v>1563</v>
      </c>
      <c r="M49" s="1285">
        <f t="shared" si="18"/>
        <v>1666</v>
      </c>
      <c r="N49" s="1286">
        <f t="shared" si="18"/>
        <v>1595</v>
      </c>
      <c r="O49" s="1285">
        <f t="shared" si="18"/>
        <v>4428</v>
      </c>
      <c r="P49" s="1285">
        <f t="shared" si="18"/>
        <v>5469</v>
      </c>
      <c r="Q49" s="1285">
        <f t="shared" si="18"/>
        <v>8531</v>
      </c>
      <c r="R49" s="1286">
        <f t="shared" si="18"/>
        <v>8690</v>
      </c>
      <c r="S49" s="1285">
        <f t="shared" si="18"/>
        <v>1486</v>
      </c>
      <c r="T49" s="1285">
        <f t="shared" si="18"/>
        <v>1925</v>
      </c>
      <c r="U49" s="1285">
        <f t="shared" si="18"/>
        <v>3043</v>
      </c>
      <c r="V49" s="1286">
        <f t="shared" si="18"/>
        <v>4056</v>
      </c>
      <c r="W49" s="1285">
        <f t="shared" si="18"/>
        <v>73</v>
      </c>
      <c r="X49" s="1285">
        <f t="shared" si="18"/>
        <v>97</v>
      </c>
      <c r="Y49" s="1285">
        <f t="shared" si="18"/>
        <v>89</v>
      </c>
      <c r="Z49" s="1286">
        <f t="shared" si="18"/>
        <v>22</v>
      </c>
      <c r="AA49" s="1287">
        <f>+AA23+AA48</f>
        <v>42816</v>
      </c>
      <c r="AB49" s="1285">
        <f>+AB23+AB48</f>
        <v>50356</v>
      </c>
      <c r="AC49" s="1285">
        <f>+AC23+AC48</f>
        <v>80718</v>
      </c>
      <c r="AD49" s="1286">
        <f>+AD23+AD48</f>
        <v>84205</v>
      </c>
    </row>
    <row r="51" spans="1:31">
      <c r="F51" s="842"/>
      <c r="G51" s="271"/>
      <c r="H51" s="271"/>
      <c r="J51" s="842"/>
      <c r="K51" s="271"/>
      <c r="L51" s="271"/>
      <c r="N51" s="842"/>
      <c r="O51" s="271"/>
      <c r="P51" s="271"/>
      <c r="R51" s="842"/>
      <c r="S51" s="271"/>
      <c r="T51" s="271"/>
      <c r="V51" s="842"/>
      <c r="W51" s="271"/>
      <c r="X51" s="271"/>
      <c r="Z51" s="842"/>
      <c r="AA51" s="271"/>
      <c r="AB51" s="271"/>
      <c r="AC51" s="271"/>
      <c r="AD51" s="842"/>
    </row>
    <row r="52" spans="1:31">
      <c r="F52" s="271"/>
      <c r="G52" s="271"/>
      <c r="H52" s="271"/>
      <c r="J52" s="271"/>
      <c r="K52" s="271"/>
      <c r="L52" s="271"/>
      <c r="N52" s="271"/>
      <c r="O52" s="271"/>
      <c r="P52" s="271"/>
      <c r="R52" s="271"/>
      <c r="S52" s="271"/>
      <c r="T52" s="271"/>
      <c r="V52" s="271"/>
      <c r="W52" s="271"/>
      <c r="X52" s="271"/>
      <c r="Z52" s="271"/>
      <c r="AA52" s="271"/>
      <c r="AB52" s="271"/>
      <c r="AC52" s="271"/>
      <c r="AD52" s="271"/>
    </row>
    <row r="53" spans="1:31">
      <c r="F53" s="271"/>
      <c r="G53" s="271"/>
      <c r="H53" s="271"/>
      <c r="J53" s="271"/>
      <c r="K53" s="271"/>
      <c r="L53" s="271"/>
      <c r="N53" s="271"/>
      <c r="O53" s="271"/>
      <c r="P53" s="271"/>
      <c r="R53" s="271"/>
      <c r="S53" s="271"/>
      <c r="T53" s="271"/>
      <c r="V53" s="271"/>
      <c r="W53" s="271"/>
      <c r="X53" s="271"/>
      <c r="Z53" s="271"/>
      <c r="AA53" s="271"/>
      <c r="AB53" s="271"/>
      <c r="AC53" s="271"/>
      <c r="AD53" s="271"/>
    </row>
    <row r="54" spans="1:31">
      <c r="F54" s="271"/>
      <c r="G54" s="300"/>
      <c r="H54" s="300"/>
      <c r="J54" s="271"/>
      <c r="K54" s="300"/>
      <c r="L54" s="300"/>
      <c r="N54" s="271"/>
      <c r="O54" s="300"/>
      <c r="P54" s="300"/>
      <c r="R54" s="271"/>
      <c r="S54" s="300"/>
      <c r="T54" s="300"/>
      <c r="V54" s="271"/>
      <c r="W54" s="300"/>
      <c r="X54" s="300"/>
      <c r="Z54" s="271"/>
      <c r="AA54" s="300"/>
      <c r="AB54" s="300"/>
      <c r="AC54" s="300"/>
      <c r="AD54" s="271"/>
      <c r="AE54" s="88"/>
    </row>
    <row r="55" spans="1:31">
      <c r="F55" s="271"/>
      <c r="G55" s="286"/>
      <c r="H55" s="286"/>
      <c r="J55" s="271"/>
      <c r="K55" s="286"/>
      <c r="N55" s="271"/>
      <c r="R55" s="271"/>
      <c r="V55" s="271"/>
      <c r="Z55" s="271"/>
      <c r="AD55" s="271"/>
    </row>
    <row r="56" spans="1:31">
      <c r="F56" s="271"/>
      <c r="G56" s="286"/>
      <c r="H56" s="286"/>
      <c r="J56" s="271"/>
      <c r="K56" s="286"/>
      <c r="N56" s="271"/>
      <c r="R56" s="271"/>
      <c r="V56" s="271"/>
      <c r="Z56" s="271"/>
      <c r="AD56" s="271"/>
    </row>
  </sheetData>
  <mergeCells count="1">
    <mergeCell ref="A49:B49"/>
  </mergeCells>
  <phoneticPr fontId="18" type="noConversion"/>
  <pageMargins left="0.39370078740157483" right="0" top="0.98425196850393704" bottom="0.98425196850393704" header="0" footer="0"/>
  <pageSetup paperSize="14" scale="69" orientation="portrait"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D56"/>
  <sheetViews>
    <sheetView workbookViewId="0">
      <selection activeCell="C7" sqref="C7"/>
    </sheetView>
  </sheetViews>
  <sheetFormatPr baseColWidth="10" defaultColWidth="11.42578125" defaultRowHeight="12.75"/>
  <cols>
    <col min="1" max="1" width="12.42578125" customWidth="1"/>
    <col min="2" max="2" width="19.7109375" customWidth="1"/>
    <col min="3" max="3" width="8.28515625" customWidth="1"/>
    <col min="4" max="5" width="8" customWidth="1"/>
    <col min="6" max="6" width="7.7109375" customWidth="1"/>
    <col min="7" max="8" width="8.28515625" customWidth="1"/>
    <col min="9" max="9" width="8" customWidth="1"/>
    <col min="10" max="10" width="7.7109375" customWidth="1"/>
    <col min="11" max="12" width="7.28515625" customWidth="1"/>
    <col min="13" max="13" width="8" customWidth="1"/>
    <col min="14" max="14" width="7.7109375" customWidth="1"/>
    <col min="15" max="16" width="8.28515625" customWidth="1"/>
    <col min="17" max="17" width="8" customWidth="1"/>
    <col min="18" max="18" width="7.7109375" customWidth="1"/>
    <col min="19" max="20" width="7.28515625" customWidth="1"/>
    <col min="21" max="21" width="8" customWidth="1"/>
    <col min="22" max="22" width="7.7109375" customWidth="1"/>
    <col min="23" max="24" width="7.28515625" customWidth="1"/>
    <col min="25" max="25" width="8" customWidth="1"/>
    <col min="26" max="26" width="7.7109375" customWidth="1"/>
    <col min="27" max="27" width="8.7109375" customWidth="1"/>
    <col min="28" max="29" width="8.5703125" customWidth="1"/>
    <col min="30" max="30" width="9.28515625" customWidth="1"/>
    <col min="31" max="61" width="7.28515625" style="277" customWidth="1"/>
    <col min="62" max="16384" width="11.42578125" style="277"/>
  </cols>
  <sheetData>
    <row r="1" spans="1:30" ht="12">
      <c r="A1" s="1504" t="s">
        <v>857</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row>
    <row r="2" spans="1:30" ht="12">
      <c r="A2" s="1504" t="s">
        <v>871</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row>
    <row r="3" spans="1:30" ht="12">
      <c r="A3" s="1504" t="s">
        <v>814</v>
      </c>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row>
    <row r="4" spans="1:30" ht="12">
      <c r="A4" s="1504" t="str">
        <f>+'41'!A4:AC4</f>
        <v>2020 - 2023</v>
      </c>
      <c r="B4" s="1504"/>
      <c r="C4" s="1504"/>
      <c r="D4" s="1504"/>
      <c r="E4" s="1504"/>
      <c r="F4" s="1504"/>
      <c r="G4" s="1504"/>
      <c r="H4" s="1504"/>
      <c r="I4" s="1504"/>
      <c r="J4" s="1504"/>
      <c r="K4" s="1504"/>
      <c r="L4" s="1504"/>
      <c r="M4" s="1504"/>
      <c r="N4" s="1504"/>
      <c r="O4" s="1504"/>
      <c r="P4" s="1504"/>
      <c r="Q4" s="1504"/>
      <c r="R4" s="1504"/>
      <c r="S4" s="1504"/>
      <c r="T4" s="1504"/>
      <c r="U4" s="1504"/>
      <c r="V4" s="1504"/>
      <c r="W4" s="1504"/>
      <c r="X4" s="1504"/>
      <c r="Y4" s="1504"/>
      <c r="Z4" s="1504"/>
      <c r="AA4" s="1504"/>
      <c r="AB4" s="1504"/>
      <c r="AC4" s="1504"/>
      <c r="AD4" s="1504"/>
    </row>
    <row r="5" spans="1:30" ht="12">
      <c r="A5" s="277"/>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row>
    <row r="6" spans="1:30" ht="12">
      <c r="A6" s="277"/>
      <c r="B6" s="277"/>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row>
    <row r="7" spans="1:30" s="332" customFormat="1" ht="22.5" customHeight="1">
      <c r="A7" s="1266" t="s">
        <v>493</v>
      </c>
      <c r="B7" s="1267" t="s">
        <v>770</v>
      </c>
      <c r="C7" s="1105" t="s">
        <v>859</v>
      </c>
      <c r="D7" s="1259"/>
      <c r="E7" s="1259"/>
      <c r="F7" s="1117"/>
      <c r="G7" s="1105" t="s">
        <v>860</v>
      </c>
      <c r="H7" s="1259"/>
      <c r="I7" s="1259"/>
      <c r="J7" s="1117"/>
      <c r="K7" s="1105" t="s">
        <v>861</v>
      </c>
      <c r="L7" s="1259"/>
      <c r="M7" s="1259"/>
      <c r="N7" s="1117"/>
      <c r="O7" s="1105" t="s">
        <v>862</v>
      </c>
      <c r="P7" s="1259"/>
      <c r="Q7" s="1259"/>
      <c r="R7" s="1117"/>
      <c r="S7" s="1105" t="s">
        <v>863</v>
      </c>
      <c r="T7" s="1259"/>
      <c r="U7" s="1259"/>
      <c r="V7" s="1117"/>
      <c r="W7" s="1105" t="s">
        <v>1272</v>
      </c>
      <c r="X7" s="1259"/>
      <c r="Y7" s="1259"/>
      <c r="Z7" s="1117"/>
      <c r="AA7" s="1105" t="s">
        <v>594</v>
      </c>
      <c r="AB7" s="1259"/>
      <c r="AC7" s="1259"/>
      <c r="AD7" s="1117"/>
    </row>
    <row r="8" spans="1:30" s="332" customFormat="1" ht="22.5" customHeight="1">
      <c r="A8" s="1269"/>
      <c r="B8" s="1270"/>
      <c r="C8" s="1145">
        <f>+'41'!C8</f>
        <v>2020</v>
      </c>
      <c r="D8" s="1268">
        <f>+'41'!D8</f>
        <v>2021</v>
      </c>
      <c r="E8" s="1268">
        <f>+'41'!E8</f>
        <v>2022</v>
      </c>
      <c r="F8" s="1146">
        <f>+'41'!F8</f>
        <v>2023</v>
      </c>
      <c r="G8" s="1145">
        <f>+'41'!G8</f>
        <v>2020</v>
      </c>
      <c r="H8" s="1268">
        <f>+'41'!H8</f>
        <v>2021</v>
      </c>
      <c r="I8" s="1268">
        <f>+'41'!I8</f>
        <v>2022</v>
      </c>
      <c r="J8" s="1146">
        <f>+'41'!J8</f>
        <v>2023</v>
      </c>
      <c r="K8" s="1145">
        <f>+'41'!K8</f>
        <v>2020</v>
      </c>
      <c r="L8" s="1268">
        <f>+'41'!L8</f>
        <v>2021</v>
      </c>
      <c r="M8" s="1268">
        <f>+'41'!M8</f>
        <v>2022</v>
      </c>
      <c r="N8" s="1146">
        <f>+'41'!N8</f>
        <v>2023</v>
      </c>
      <c r="O8" s="1145">
        <f>+'41'!O8</f>
        <v>2020</v>
      </c>
      <c r="P8" s="1268">
        <f>+'41'!P8</f>
        <v>2021</v>
      </c>
      <c r="Q8" s="1268">
        <f>+'41'!Q8</f>
        <v>2022</v>
      </c>
      <c r="R8" s="1146">
        <f>+'41'!R8</f>
        <v>2023</v>
      </c>
      <c r="S8" s="1145">
        <f>+'41'!S8</f>
        <v>2020</v>
      </c>
      <c r="T8" s="1268">
        <f>+'41'!T8</f>
        <v>2021</v>
      </c>
      <c r="U8" s="1268">
        <f>+'41'!U8</f>
        <v>2022</v>
      </c>
      <c r="V8" s="1146">
        <f>+'41'!V8</f>
        <v>2023</v>
      </c>
      <c r="W8" s="1145">
        <f>+'41'!W8</f>
        <v>2020</v>
      </c>
      <c r="X8" s="1268">
        <f>+'41'!X8</f>
        <v>2021</v>
      </c>
      <c r="Y8" s="1268">
        <f>+'41'!Y8</f>
        <v>2022</v>
      </c>
      <c r="Z8" s="1146">
        <f>+'41'!Z8</f>
        <v>2023</v>
      </c>
      <c r="AA8" s="1145">
        <f>+'41'!AA8</f>
        <v>2020</v>
      </c>
      <c r="AB8" s="1268">
        <f>+'41'!AB8</f>
        <v>2021</v>
      </c>
      <c r="AC8" s="1268">
        <f>+'41'!AC8</f>
        <v>2022</v>
      </c>
      <c r="AD8" s="1146">
        <f>+'41'!AD8</f>
        <v>2023</v>
      </c>
    </row>
    <row r="9" spans="1:30" s="332" customFormat="1" ht="22.5" customHeight="1">
      <c r="A9" s="322" t="s">
        <v>864</v>
      </c>
      <c r="B9" s="211" t="s">
        <v>1173</v>
      </c>
      <c r="C9" s="255">
        <v>1092</v>
      </c>
      <c r="D9" s="255">
        <v>1849</v>
      </c>
      <c r="E9" s="255">
        <v>2131</v>
      </c>
      <c r="F9" s="340">
        <v>2185</v>
      </c>
      <c r="G9" s="255">
        <v>7</v>
      </c>
      <c r="H9" s="255">
        <v>45</v>
      </c>
      <c r="I9" s="255">
        <v>37</v>
      </c>
      <c r="J9" s="340">
        <v>81</v>
      </c>
      <c r="K9" s="255">
        <v>102</v>
      </c>
      <c r="L9" s="255">
        <v>209</v>
      </c>
      <c r="M9" s="255">
        <v>221</v>
      </c>
      <c r="N9" s="323">
        <v>421</v>
      </c>
      <c r="O9" s="255">
        <v>52</v>
      </c>
      <c r="P9" s="255">
        <v>174</v>
      </c>
      <c r="Q9" s="255">
        <v>242</v>
      </c>
      <c r="R9" s="323">
        <v>355</v>
      </c>
      <c r="S9" s="255">
        <v>59</v>
      </c>
      <c r="T9" s="255">
        <v>97</v>
      </c>
      <c r="U9" s="255">
        <v>143</v>
      </c>
      <c r="V9" s="323">
        <v>219</v>
      </c>
      <c r="W9" s="255"/>
      <c r="X9" s="255"/>
      <c r="Y9" s="255"/>
      <c r="Z9" s="323">
        <v>0</v>
      </c>
      <c r="AA9" s="254">
        <f t="shared" ref="AA9:AD13" si="0">+W9+S9+O9+K9+G9+C9</f>
        <v>1312</v>
      </c>
      <c r="AB9" s="255">
        <f t="shared" si="0"/>
        <v>2374</v>
      </c>
      <c r="AC9" s="255">
        <f t="shared" si="0"/>
        <v>2774</v>
      </c>
      <c r="AD9" s="323">
        <f t="shared" si="0"/>
        <v>3261</v>
      </c>
    </row>
    <row r="10" spans="1:30" s="332" customFormat="1" ht="22.5" customHeight="1">
      <c r="A10" s="322"/>
      <c r="B10" s="211" t="s">
        <v>1174</v>
      </c>
      <c r="C10" s="255">
        <v>1192</v>
      </c>
      <c r="D10" s="255">
        <v>657</v>
      </c>
      <c r="E10" s="255">
        <v>1525</v>
      </c>
      <c r="F10" s="340">
        <v>1749</v>
      </c>
      <c r="G10" s="255">
        <v>3</v>
      </c>
      <c r="H10" s="255"/>
      <c r="I10" s="255">
        <v>0</v>
      </c>
      <c r="J10" s="340">
        <v>1</v>
      </c>
      <c r="K10" s="255">
        <v>137</v>
      </c>
      <c r="L10" s="255">
        <v>375</v>
      </c>
      <c r="M10" s="255">
        <v>385</v>
      </c>
      <c r="N10" s="323">
        <v>491</v>
      </c>
      <c r="O10" s="255">
        <v>5</v>
      </c>
      <c r="P10" s="352">
        <v>1</v>
      </c>
      <c r="Q10" s="255">
        <v>155</v>
      </c>
      <c r="R10" s="323">
        <v>228</v>
      </c>
      <c r="S10" s="255">
        <v>72</v>
      </c>
      <c r="T10" s="255">
        <v>180</v>
      </c>
      <c r="U10" s="255">
        <v>289</v>
      </c>
      <c r="V10" s="323">
        <v>103</v>
      </c>
      <c r="W10" s="255"/>
      <c r="X10" s="255">
        <v>1</v>
      </c>
      <c r="Y10" s="255">
        <v>10</v>
      </c>
      <c r="Z10" s="323">
        <v>0</v>
      </c>
      <c r="AA10" s="254">
        <f t="shared" si="0"/>
        <v>1409</v>
      </c>
      <c r="AB10" s="255">
        <f t="shared" si="0"/>
        <v>1214</v>
      </c>
      <c r="AC10" s="255">
        <f t="shared" si="0"/>
        <v>2364</v>
      </c>
      <c r="AD10" s="323">
        <f t="shared" si="0"/>
        <v>2572</v>
      </c>
    </row>
    <row r="11" spans="1:30" s="332" customFormat="1" ht="22.5" customHeight="1">
      <c r="A11" s="322"/>
      <c r="B11" s="243" t="s">
        <v>739</v>
      </c>
      <c r="C11" s="255">
        <v>229</v>
      </c>
      <c r="D11" s="255">
        <v>172</v>
      </c>
      <c r="E11" s="255">
        <v>236</v>
      </c>
      <c r="F11" s="340">
        <v>340</v>
      </c>
      <c r="G11" s="255">
        <v>14</v>
      </c>
      <c r="H11" s="255">
        <v>113</v>
      </c>
      <c r="I11" s="255">
        <v>2</v>
      </c>
      <c r="J11" s="340">
        <v>1</v>
      </c>
      <c r="K11" s="255">
        <v>25</v>
      </c>
      <c r="L11" s="255">
        <v>15</v>
      </c>
      <c r="M11" s="255">
        <v>62</v>
      </c>
      <c r="N11" s="323">
        <v>90</v>
      </c>
      <c r="O11" s="255">
        <v>17</v>
      </c>
      <c r="P11" s="255">
        <v>115</v>
      </c>
      <c r="Q11" s="255">
        <v>65</v>
      </c>
      <c r="R11" s="323">
        <v>120</v>
      </c>
      <c r="S11" s="255">
        <v>95</v>
      </c>
      <c r="T11" s="255">
        <v>73</v>
      </c>
      <c r="U11" s="255">
        <v>47</v>
      </c>
      <c r="V11" s="323">
        <v>52</v>
      </c>
      <c r="W11" s="255"/>
      <c r="X11" s="255"/>
      <c r="Y11" s="255"/>
      <c r="Z11" s="323">
        <v>0</v>
      </c>
      <c r="AA11" s="254">
        <f t="shared" si="0"/>
        <v>380</v>
      </c>
      <c r="AB11" s="255">
        <f t="shared" si="0"/>
        <v>488</v>
      </c>
      <c r="AC11" s="255">
        <f t="shared" si="0"/>
        <v>412</v>
      </c>
      <c r="AD11" s="323">
        <f t="shared" si="0"/>
        <v>603</v>
      </c>
    </row>
    <row r="12" spans="1:30" s="332" customFormat="1" ht="22.5" customHeight="1">
      <c r="A12" s="322"/>
      <c r="B12" s="211" t="s">
        <v>1410</v>
      </c>
      <c r="C12" s="255"/>
      <c r="D12" s="255"/>
      <c r="E12" s="255"/>
      <c r="F12" s="340">
        <v>0</v>
      </c>
      <c r="G12" s="255">
        <v>185</v>
      </c>
      <c r="H12" s="255">
        <v>456</v>
      </c>
      <c r="I12" s="255">
        <v>430</v>
      </c>
      <c r="J12" s="340">
        <v>691</v>
      </c>
      <c r="K12" s="255"/>
      <c r="L12" s="255"/>
      <c r="M12" s="255"/>
      <c r="N12" s="323">
        <v>0</v>
      </c>
      <c r="O12" s="255"/>
      <c r="P12" s="255"/>
      <c r="Q12" s="255"/>
      <c r="R12" s="323">
        <v>0</v>
      </c>
      <c r="S12" s="255">
        <v>125</v>
      </c>
      <c r="T12" s="255">
        <v>431</v>
      </c>
      <c r="U12" s="255">
        <v>603</v>
      </c>
      <c r="V12" s="323">
        <v>786</v>
      </c>
      <c r="W12" s="255">
        <v>232</v>
      </c>
      <c r="X12" s="255">
        <v>171</v>
      </c>
      <c r="Y12" s="255">
        <v>53</v>
      </c>
      <c r="Z12" s="323">
        <v>0</v>
      </c>
      <c r="AA12" s="254">
        <f t="shared" si="0"/>
        <v>542</v>
      </c>
      <c r="AB12" s="255">
        <f t="shared" si="0"/>
        <v>1058</v>
      </c>
      <c r="AC12" s="255">
        <f t="shared" si="0"/>
        <v>1086</v>
      </c>
      <c r="AD12" s="323">
        <f t="shared" si="0"/>
        <v>1477</v>
      </c>
    </row>
    <row r="13" spans="1:30" s="332" customFormat="1" ht="22.5" customHeight="1">
      <c r="A13" s="322"/>
      <c r="B13" s="211" t="s">
        <v>1056</v>
      </c>
      <c r="C13" s="352">
        <v>54</v>
      </c>
      <c r="D13" s="352">
        <v>63</v>
      </c>
      <c r="E13" s="352">
        <v>82</v>
      </c>
      <c r="F13" s="340">
        <v>118</v>
      </c>
      <c r="G13" s="255">
        <v>3</v>
      </c>
      <c r="H13" s="255">
        <v>19</v>
      </c>
      <c r="I13" s="352">
        <v>10</v>
      </c>
      <c r="J13" s="340">
        <v>10</v>
      </c>
      <c r="K13" s="255">
        <v>3</v>
      </c>
      <c r="L13" s="255">
        <v>1</v>
      </c>
      <c r="M13" s="352">
        <v>6</v>
      </c>
      <c r="N13" s="340">
        <v>9</v>
      </c>
      <c r="O13" s="255">
        <v>9</v>
      </c>
      <c r="P13" s="255">
        <v>40</v>
      </c>
      <c r="Q13" s="352">
        <v>9</v>
      </c>
      <c r="R13" s="340">
        <v>25</v>
      </c>
      <c r="S13" s="255">
        <v>6</v>
      </c>
      <c r="T13" s="255">
        <v>6</v>
      </c>
      <c r="U13" s="352">
        <v>2</v>
      </c>
      <c r="V13" s="340">
        <v>2</v>
      </c>
      <c r="W13" s="255"/>
      <c r="X13" s="255"/>
      <c r="Y13" s="352"/>
      <c r="Z13" s="340">
        <v>0</v>
      </c>
      <c r="AA13" s="254">
        <f t="shared" si="0"/>
        <v>75</v>
      </c>
      <c r="AB13" s="255">
        <f t="shared" si="0"/>
        <v>129</v>
      </c>
      <c r="AC13" s="255">
        <f t="shared" si="0"/>
        <v>109</v>
      </c>
      <c r="AD13" s="323">
        <f t="shared" si="0"/>
        <v>164</v>
      </c>
    </row>
    <row r="14" spans="1:30" s="332" customFormat="1" ht="22.5" customHeight="1">
      <c r="A14" s="322"/>
      <c r="B14" s="1271" t="s">
        <v>582</v>
      </c>
      <c r="C14" s="1272">
        <v>2567</v>
      </c>
      <c r="D14" s="1272">
        <f>SUM(D9:D13)</f>
        <v>2741</v>
      </c>
      <c r="E14" s="1272">
        <f>SUM(E9:E13)</f>
        <v>3974</v>
      </c>
      <c r="F14" s="1273">
        <f t="shared" ref="F14:Z14" si="1">SUM(F9:F13)</f>
        <v>4392</v>
      </c>
      <c r="G14" s="1272">
        <f t="shared" si="1"/>
        <v>212</v>
      </c>
      <c r="H14" s="1272">
        <f t="shared" si="1"/>
        <v>633</v>
      </c>
      <c r="I14" s="1272">
        <f t="shared" si="1"/>
        <v>479</v>
      </c>
      <c r="J14" s="1273">
        <f t="shared" si="1"/>
        <v>784</v>
      </c>
      <c r="K14" s="1272">
        <f t="shared" si="1"/>
        <v>267</v>
      </c>
      <c r="L14" s="1272">
        <f t="shared" si="1"/>
        <v>600</v>
      </c>
      <c r="M14" s="1272">
        <f t="shared" si="1"/>
        <v>674</v>
      </c>
      <c r="N14" s="1274">
        <f t="shared" si="1"/>
        <v>1011</v>
      </c>
      <c r="O14" s="1272">
        <f t="shared" si="1"/>
        <v>83</v>
      </c>
      <c r="P14" s="1272">
        <f t="shared" si="1"/>
        <v>330</v>
      </c>
      <c r="Q14" s="1272">
        <f t="shared" si="1"/>
        <v>471</v>
      </c>
      <c r="R14" s="1274">
        <f t="shared" si="1"/>
        <v>728</v>
      </c>
      <c r="S14" s="1272">
        <f t="shared" si="1"/>
        <v>357</v>
      </c>
      <c r="T14" s="1272">
        <f t="shared" si="1"/>
        <v>787</v>
      </c>
      <c r="U14" s="1272">
        <f t="shared" si="1"/>
        <v>1084</v>
      </c>
      <c r="V14" s="1274">
        <f t="shared" si="1"/>
        <v>1162</v>
      </c>
      <c r="W14" s="1272">
        <f t="shared" si="1"/>
        <v>232</v>
      </c>
      <c r="X14" s="1272">
        <f t="shared" si="1"/>
        <v>172</v>
      </c>
      <c r="Y14" s="1272">
        <f t="shared" si="1"/>
        <v>63</v>
      </c>
      <c r="Z14" s="1274">
        <f t="shared" si="1"/>
        <v>0</v>
      </c>
      <c r="AA14" s="1275">
        <f t="shared" ref="AA14:AD14" si="2">SUM(AA9:AA13)</f>
        <v>3718</v>
      </c>
      <c r="AB14" s="1272">
        <f t="shared" si="2"/>
        <v>5263</v>
      </c>
      <c r="AC14" s="1272">
        <f t="shared" si="2"/>
        <v>6745</v>
      </c>
      <c r="AD14" s="1274">
        <f t="shared" si="2"/>
        <v>8077</v>
      </c>
    </row>
    <row r="15" spans="1:30" s="332" customFormat="1" ht="22.5" customHeight="1">
      <c r="A15" s="322" t="s">
        <v>479</v>
      </c>
      <c r="B15" s="211" t="s">
        <v>740</v>
      </c>
      <c r="C15" s="255">
        <v>1163</v>
      </c>
      <c r="D15" s="255">
        <v>1488</v>
      </c>
      <c r="E15" s="255">
        <v>1927</v>
      </c>
      <c r="F15" s="340">
        <v>1766</v>
      </c>
      <c r="G15" s="255">
        <v>5</v>
      </c>
      <c r="H15" s="255">
        <v>1</v>
      </c>
      <c r="I15" s="255">
        <v>17</v>
      </c>
      <c r="J15" s="340">
        <v>92</v>
      </c>
      <c r="K15" s="255">
        <v>221</v>
      </c>
      <c r="L15" s="255">
        <v>435</v>
      </c>
      <c r="M15" s="255">
        <v>212</v>
      </c>
      <c r="N15" s="323">
        <v>217</v>
      </c>
      <c r="O15" s="255">
        <v>26</v>
      </c>
      <c r="P15" s="255">
        <v>118</v>
      </c>
      <c r="Q15" s="255">
        <v>194</v>
      </c>
      <c r="R15" s="323">
        <v>327</v>
      </c>
      <c r="S15" s="255">
        <v>123</v>
      </c>
      <c r="T15" s="255">
        <v>253</v>
      </c>
      <c r="U15" s="255">
        <v>107</v>
      </c>
      <c r="V15" s="323">
        <v>218</v>
      </c>
      <c r="W15" s="255"/>
      <c r="X15" s="255"/>
      <c r="Y15" s="255"/>
      <c r="Z15" s="323">
        <v>0</v>
      </c>
      <c r="AA15" s="254">
        <f t="shared" ref="AA15:AD17" si="3">+W15+S15+O15+K15+G15+C15</f>
        <v>1538</v>
      </c>
      <c r="AB15" s="255">
        <f t="shared" si="3"/>
        <v>2295</v>
      </c>
      <c r="AC15" s="255">
        <f t="shared" si="3"/>
        <v>2457</v>
      </c>
      <c r="AD15" s="323">
        <f t="shared" si="3"/>
        <v>2620</v>
      </c>
    </row>
    <row r="16" spans="1:30" s="332" customFormat="1" ht="22.5" customHeight="1">
      <c r="A16" s="322"/>
      <c r="B16" s="211" t="s">
        <v>1061</v>
      </c>
      <c r="C16" s="255">
        <v>155</v>
      </c>
      <c r="D16" s="255">
        <v>86</v>
      </c>
      <c r="E16" s="255">
        <v>196</v>
      </c>
      <c r="F16" s="340">
        <v>266</v>
      </c>
      <c r="G16" s="255">
        <v>0</v>
      </c>
      <c r="H16" s="255"/>
      <c r="I16" s="255">
        <v>4</v>
      </c>
      <c r="J16" s="340">
        <v>5</v>
      </c>
      <c r="K16" s="255">
        <v>56</v>
      </c>
      <c r="L16" s="255">
        <v>36</v>
      </c>
      <c r="M16" s="255">
        <v>27</v>
      </c>
      <c r="N16" s="323">
        <v>39</v>
      </c>
      <c r="O16" s="255">
        <v>1</v>
      </c>
      <c r="P16" s="255">
        <v>8</v>
      </c>
      <c r="Q16" s="255">
        <v>21</v>
      </c>
      <c r="R16" s="323">
        <v>53</v>
      </c>
      <c r="S16" s="255">
        <v>26</v>
      </c>
      <c r="T16" s="255">
        <v>6</v>
      </c>
      <c r="U16" s="255">
        <v>24</v>
      </c>
      <c r="V16" s="323">
        <v>25</v>
      </c>
      <c r="W16" s="255"/>
      <c r="X16" s="255"/>
      <c r="Y16" s="255"/>
      <c r="Z16" s="323">
        <v>0</v>
      </c>
      <c r="AA16" s="254">
        <f t="shared" si="3"/>
        <v>238</v>
      </c>
      <c r="AB16" s="255">
        <f t="shared" si="3"/>
        <v>136</v>
      </c>
      <c r="AC16" s="255">
        <f t="shared" si="3"/>
        <v>272</v>
      </c>
      <c r="AD16" s="323">
        <f t="shared" si="3"/>
        <v>388</v>
      </c>
    </row>
    <row r="17" spans="1:30" s="332" customFormat="1" ht="22.5" customHeight="1">
      <c r="A17" s="322"/>
      <c r="B17" s="211" t="s">
        <v>1058</v>
      </c>
      <c r="C17" s="255">
        <v>83</v>
      </c>
      <c r="D17" s="255">
        <v>86</v>
      </c>
      <c r="E17" s="255">
        <v>117</v>
      </c>
      <c r="F17" s="340">
        <v>198</v>
      </c>
      <c r="G17" s="255">
        <v>1</v>
      </c>
      <c r="H17" s="255"/>
      <c r="I17" s="255">
        <v>0</v>
      </c>
      <c r="J17" s="340">
        <v>20</v>
      </c>
      <c r="K17" s="255">
        <v>31</v>
      </c>
      <c r="L17" s="255">
        <v>21</v>
      </c>
      <c r="M17" s="255">
        <v>23</v>
      </c>
      <c r="N17" s="323">
        <v>31</v>
      </c>
      <c r="O17" s="255">
        <v>4</v>
      </c>
      <c r="P17" s="255">
        <v>16</v>
      </c>
      <c r="Q17" s="255">
        <v>16</v>
      </c>
      <c r="R17" s="323">
        <v>22</v>
      </c>
      <c r="S17" s="255">
        <v>4</v>
      </c>
      <c r="T17" s="255">
        <v>4</v>
      </c>
      <c r="U17" s="255">
        <v>5</v>
      </c>
      <c r="V17" s="323">
        <v>0</v>
      </c>
      <c r="W17" s="255"/>
      <c r="X17" s="255"/>
      <c r="Y17" s="255">
        <v>1</v>
      </c>
      <c r="Z17" s="323">
        <v>0</v>
      </c>
      <c r="AA17" s="254">
        <f t="shared" si="3"/>
        <v>123</v>
      </c>
      <c r="AB17" s="255">
        <f t="shared" si="3"/>
        <v>127</v>
      </c>
      <c r="AC17" s="255">
        <f t="shared" si="3"/>
        <v>162</v>
      </c>
      <c r="AD17" s="323">
        <f t="shared" si="3"/>
        <v>271</v>
      </c>
    </row>
    <row r="18" spans="1:30" s="332" customFormat="1" ht="22.5" customHeight="1">
      <c r="A18" s="322"/>
      <c r="B18" s="1271" t="s">
        <v>582</v>
      </c>
      <c r="C18" s="1272">
        <v>1401</v>
      </c>
      <c r="D18" s="1272">
        <f>SUM(D15:D17)</f>
        <v>1660</v>
      </c>
      <c r="E18" s="1272">
        <f>SUM(E15:E17)</f>
        <v>2240</v>
      </c>
      <c r="F18" s="1273">
        <f t="shared" ref="F18:Z18" si="4">SUM(F15:F17)</f>
        <v>2230</v>
      </c>
      <c r="G18" s="1272">
        <f t="shared" si="4"/>
        <v>6</v>
      </c>
      <c r="H18" s="1272">
        <f t="shared" si="4"/>
        <v>1</v>
      </c>
      <c r="I18" s="1272">
        <f t="shared" si="4"/>
        <v>21</v>
      </c>
      <c r="J18" s="1273">
        <f t="shared" si="4"/>
        <v>117</v>
      </c>
      <c r="K18" s="1272">
        <f t="shared" si="4"/>
        <v>308</v>
      </c>
      <c r="L18" s="1272">
        <f t="shared" si="4"/>
        <v>492</v>
      </c>
      <c r="M18" s="1272">
        <f t="shared" si="4"/>
        <v>262</v>
      </c>
      <c r="N18" s="1274">
        <f t="shared" si="4"/>
        <v>287</v>
      </c>
      <c r="O18" s="1272">
        <f t="shared" si="4"/>
        <v>31</v>
      </c>
      <c r="P18" s="1272">
        <f t="shared" si="4"/>
        <v>142</v>
      </c>
      <c r="Q18" s="1272">
        <f t="shared" si="4"/>
        <v>231</v>
      </c>
      <c r="R18" s="1274">
        <f t="shared" si="4"/>
        <v>402</v>
      </c>
      <c r="S18" s="1272">
        <f t="shared" si="4"/>
        <v>153</v>
      </c>
      <c r="T18" s="1272">
        <f t="shared" si="4"/>
        <v>263</v>
      </c>
      <c r="U18" s="1272">
        <f t="shared" si="4"/>
        <v>136</v>
      </c>
      <c r="V18" s="1274">
        <f t="shared" si="4"/>
        <v>243</v>
      </c>
      <c r="W18" s="1272">
        <f t="shared" si="4"/>
        <v>0</v>
      </c>
      <c r="X18" s="1272">
        <f t="shared" si="4"/>
        <v>0</v>
      </c>
      <c r="Y18" s="1272">
        <f t="shared" si="4"/>
        <v>1</v>
      </c>
      <c r="Z18" s="1274">
        <f t="shared" si="4"/>
        <v>0</v>
      </c>
      <c r="AA18" s="1275">
        <f>SUM(AA15:AA17)</f>
        <v>1899</v>
      </c>
      <c r="AB18" s="1272">
        <f>SUM(AB15:AB17)</f>
        <v>2558</v>
      </c>
      <c r="AC18" s="1272">
        <f>SUM(AC15:AC17)</f>
        <v>2891</v>
      </c>
      <c r="AD18" s="1274">
        <f>SUM(AD15:AD17)</f>
        <v>3279</v>
      </c>
    </row>
    <row r="19" spans="1:30" s="332" customFormat="1" ht="22.5" customHeight="1">
      <c r="A19" s="322" t="s">
        <v>865</v>
      </c>
      <c r="B19" s="243" t="s">
        <v>742</v>
      </c>
      <c r="C19" s="255">
        <v>864</v>
      </c>
      <c r="D19" s="255">
        <v>1191</v>
      </c>
      <c r="E19" s="255">
        <v>2181</v>
      </c>
      <c r="F19" s="340">
        <v>2107</v>
      </c>
      <c r="G19" s="255">
        <v>16</v>
      </c>
      <c r="H19" s="255">
        <v>18</v>
      </c>
      <c r="I19" s="255">
        <v>12</v>
      </c>
      <c r="J19" s="340">
        <v>79</v>
      </c>
      <c r="K19" s="255">
        <v>345</v>
      </c>
      <c r="L19" s="255">
        <v>383</v>
      </c>
      <c r="M19" s="255">
        <v>127</v>
      </c>
      <c r="N19" s="323">
        <v>370</v>
      </c>
      <c r="O19" s="255">
        <v>31</v>
      </c>
      <c r="P19" s="255">
        <v>71</v>
      </c>
      <c r="Q19" s="255">
        <v>88</v>
      </c>
      <c r="R19" s="323">
        <v>50</v>
      </c>
      <c r="S19" s="255">
        <v>99</v>
      </c>
      <c r="T19" s="255">
        <v>125</v>
      </c>
      <c r="U19" s="255">
        <v>156</v>
      </c>
      <c r="V19" s="323">
        <v>110</v>
      </c>
      <c r="W19" s="255"/>
      <c r="X19" s="255"/>
      <c r="Y19" s="255"/>
      <c r="Z19" s="323">
        <v>0</v>
      </c>
      <c r="AA19" s="254">
        <f t="shared" ref="AA19:AD20" si="5">+W19+S19+O19+K19+G19+C19</f>
        <v>1355</v>
      </c>
      <c r="AB19" s="255">
        <f t="shared" si="5"/>
        <v>1788</v>
      </c>
      <c r="AC19" s="255">
        <f t="shared" si="5"/>
        <v>2564</v>
      </c>
      <c r="AD19" s="323">
        <f t="shared" si="5"/>
        <v>2716</v>
      </c>
    </row>
    <row r="20" spans="1:30" s="332" customFormat="1" ht="22.5" customHeight="1">
      <c r="A20" s="322"/>
      <c r="B20" s="211" t="s">
        <v>1060</v>
      </c>
      <c r="C20" s="255">
        <v>20</v>
      </c>
      <c r="D20" s="255">
        <v>57</v>
      </c>
      <c r="E20" s="255">
        <v>87</v>
      </c>
      <c r="F20" s="340">
        <v>114</v>
      </c>
      <c r="G20" s="255"/>
      <c r="H20" s="255">
        <v>1</v>
      </c>
      <c r="I20" s="255">
        <v>0</v>
      </c>
      <c r="J20" s="340">
        <v>0</v>
      </c>
      <c r="K20" s="255"/>
      <c r="L20" s="255">
        <v>26</v>
      </c>
      <c r="M20" s="255">
        <v>8</v>
      </c>
      <c r="N20" s="323">
        <v>56</v>
      </c>
      <c r="O20" s="255">
        <v>4</v>
      </c>
      <c r="P20" s="255">
        <v>12</v>
      </c>
      <c r="Q20" s="255">
        <v>19</v>
      </c>
      <c r="R20" s="323">
        <v>4</v>
      </c>
      <c r="S20" s="255"/>
      <c r="T20" s="255"/>
      <c r="U20" s="255">
        <v>5</v>
      </c>
      <c r="V20" s="323">
        <v>0</v>
      </c>
      <c r="W20" s="255"/>
      <c r="X20" s="255"/>
      <c r="Y20" s="255"/>
      <c r="Z20" s="323">
        <v>0</v>
      </c>
      <c r="AA20" s="254">
        <f t="shared" si="5"/>
        <v>24</v>
      </c>
      <c r="AB20" s="255">
        <f t="shared" si="5"/>
        <v>96</v>
      </c>
      <c r="AC20" s="255">
        <f t="shared" si="5"/>
        <v>119</v>
      </c>
      <c r="AD20" s="323">
        <f t="shared" si="5"/>
        <v>174</v>
      </c>
    </row>
    <row r="21" spans="1:30" s="332" customFormat="1" ht="22.5" customHeight="1">
      <c r="A21" s="322"/>
      <c r="B21" s="1271" t="s">
        <v>582</v>
      </c>
      <c r="C21" s="1272">
        <v>884</v>
      </c>
      <c r="D21" s="1272">
        <f>SUM(D19:D20)</f>
        <v>1248</v>
      </c>
      <c r="E21" s="1272">
        <f>SUM(E19:E20)</f>
        <v>2268</v>
      </c>
      <c r="F21" s="1273">
        <f t="shared" ref="F21:Z21" si="6">SUM(F19:F20)</f>
        <v>2221</v>
      </c>
      <c r="G21" s="1272">
        <f t="shared" si="6"/>
        <v>16</v>
      </c>
      <c r="H21" s="1272">
        <f t="shared" si="6"/>
        <v>19</v>
      </c>
      <c r="I21" s="1272">
        <f t="shared" si="6"/>
        <v>12</v>
      </c>
      <c r="J21" s="1273">
        <f t="shared" si="6"/>
        <v>79</v>
      </c>
      <c r="K21" s="1272">
        <f t="shared" si="6"/>
        <v>345</v>
      </c>
      <c r="L21" s="1272">
        <f t="shared" si="6"/>
        <v>409</v>
      </c>
      <c r="M21" s="1272">
        <f t="shared" si="6"/>
        <v>135</v>
      </c>
      <c r="N21" s="1274">
        <f t="shared" si="6"/>
        <v>426</v>
      </c>
      <c r="O21" s="1272">
        <f t="shared" si="6"/>
        <v>35</v>
      </c>
      <c r="P21" s="1272">
        <f t="shared" si="6"/>
        <v>83</v>
      </c>
      <c r="Q21" s="1272">
        <f t="shared" si="6"/>
        <v>107</v>
      </c>
      <c r="R21" s="1274">
        <f t="shared" si="6"/>
        <v>54</v>
      </c>
      <c r="S21" s="1272">
        <f t="shared" si="6"/>
        <v>99</v>
      </c>
      <c r="T21" s="1272">
        <f t="shared" si="6"/>
        <v>125</v>
      </c>
      <c r="U21" s="1272">
        <f t="shared" si="6"/>
        <v>161</v>
      </c>
      <c r="V21" s="1274">
        <f t="shared" si="6"/>
        <v>110</v>
      </c>
      <c r="W21" s="1272">
        <f t="shared" si="6"/>
        <v>0</v>
      </c>
      <c r="X21" s="1272">
        <f t="shared" si="6"/>
        <v>0</v>
      </c>
      <c r="Y21" s="1272">
        <f t="shared" si="6"/>
        <v>0</v>
      </c>
      <c r="Z21" s="1274">
        <f t="shared" si="6"/>
        <v>0</v>
      </c>
      <c r="AA21" s="1275">
        <f>SUM(AA19:AA20)</f>
        <v>1379</v>
      </c>
      <c r="AB21" s="1272">
        <f>SUM(AB19:AB20)</f>
        <v>1884</v>
      </c>
      <c r="AC21" s="1272">
        <f>SUM(AC19:AC20)</f>
        <v>2683</v>
      </c>
      <c r="AD21" s="1274">
        <f>SUM(AD19:AD20)</f>
        <v>2890</v>
      </c>
    </row>
    <row r="22" spans="1:30" s="332" customFormat="1" ht="22.5" customHeight="1">
      <c r="A22" s="322" t="s">
        <v>481</v>
      </c>
      <c r="B22" s="243" t="s">
        <v>743</v>
      </c>
      <c r="C22" s="255">
        <v>993</v>
      </c>
      <c r="D22" s="255">
        <v>1151</v>
      </c>
      <c r="E22" s="255">
        <v>1754</v>
      </c>
      <c r="F22" s="340">
        <v>2367</v>
      </c>
      <c r="G22" s="255">
        <v>7</v>
      </c>
      <c r="H22" s="255">
        <v>5</v>
      </c>
      <c r="I22" s="255">
        <v>42</v>
      </c>
      <c r="J22" s="340">
        <v>199</v>
      </c>
      <c r="K22" s="255">
        <v>166</v>
      </c>
      <c r="L22" s="255">
        <v>506</v>
      </c>
      <c r="M22" s="255">
        <v>221</v>
      </c>
      <c r="N22" s="323">
        <v>149</v>
      </c>
      <c r="O22" s="255">
        <v>83</v>
      </c>
      <c r="P22" s="255">
        <v>28</v>
      </c>
      <c r="Q22" s="255">
        <v>218</v>
      </c>
      <c r="R22" s="323">
        <v>296</v>
      </c>
      <c r="S22" s="255">
        <v>49</v>
      </c>
      <c r="T22" s="255">
        <v>27</v>
      </c>
      <c r="U22" s="255">
        <v>45</v>
      </c>
      <c r="V22" s="323">
        <v>34</v>
      </c>
      <c r="W22" s="255"/>
      <c r="X22" s="255"/>
      <c r="Y22" s="255"/>
      <c r="Z22" s="323">
        <v>1</v>
      </c>
      <c r="AA22" s="254">
        <f>+W22+S22+O22+K22+G22+C22</f>
        <v>1298</v>
      </c>
      <c r="AB22" s="255">
        <f>+X22+T22+P22+L22+H22+D22</f>
        <v>1717</v>
      </c>
      <c r="AC22" s="255">
        <f>+Y22+U22+Q22+M22+I22+E22</f>
        <v>2280</v>
      </c>
      <c r="AD22" s="323">
        <f>+Z22+V22+R22+N22+J22+F22</f>
        <v>3046</v>
      </c>
    </row>
    <row r="23" spans="1:30" s="332" customFormat="1" ht="22.5" customHeight="1">
      <c r="A23" s="1026" t="s">
        <v>866</v>
      </c>
      <c r="B23" s="1045"/>
      <c r="C23" s="1276">
        <v>5845</v>
      </c>
      <c r="D23" s="1276">
        <f>+D14+D18+D21+D22</f>
        <v>6800</v>
      </c>
      <c r="E23" s="1276">
        <f>+E14+E18+E21+E22</f>
        <v>10236</v>
      </c>
      <c r="F23" s="1277">
        <f t="shared" ref="F23:Z23" si="7">+F14+F18+F21+F22</f>
        <v>11210</v>
      </c>
      <c r="G23" s="1276">
        <f t="shared" si="7"/>
        <v>241</v>
      </c>
      <c r="H23" s="1276">
        <f t="shared" si="7"/>
        <v>658</v>
      </c>
      <c r="I23" s="1276">
        <f t="shared" si="7"/>
        <v>554</v>
      </c>
      <c r="J23" s="1277">
        <f t="shared" si="7"/>
        <v>1179</v>
      </c>
      <c r="K23" s="1276">
        <f t="shared" si="7"/>
        <v>1086</v>
      </c>
      <c r="L23" s="1276">
        <f t="shared" si="7"/>
        <v>2007</v>
      </c>
      <c r="M23" s="1276">
        <f t="shared" si="7"/>
        <v>1292</v>
      </c>
      <c r="N23" s="1277">
        <f t="shared" si="7"/>
        <v>1873</v>
      </c>
      <c r="O23" s="1276">
        <f t="shared" si="7"/>
        <v>232</v>
      </c>
      <c r="P23" s="1276">
        <f t="shared" si="7"/>
        <v>583</v>
      </c>
      <c r="Q23" s="1276">
        <f t="shared" si="7"/>
        <v>1027</v>
      </c>
      <c r="R23" s="1277">
        <f t="shared" si="7"/>
        <v>1480</v>
      </c>
      <c r="S23" s="1276">
        <f t="shared" si="7"/>
        <v>658</v>
      </c>
      <c r="T23" s="1276">
        <f t="shared" si="7"/>
        <v>1202</v>
      </c>
      <c r="U23" s="1276">
        <f t="shared" si="7"/>
        <v>1426</v>
      </c>
      <c r="V23" s="1277">
        <f t="shared" si="7"/>
        <v>1549</v>
      </c>
      <c r="W23" s="1276">
        <f t="shared" si="7"/>
        <v>232</v>
      </c>
      <c r="X23" s="1276">
        <f t="shared" si="7"/>
        <v>172</v>
      </c>
      <c r="Y23" s="1276">
        <f t="shared" si="7"/>
        <v>64</v>
      </c>
      <c r="Z23" s="1277">
        <f t="shared" si="7"/>
        <v>1</v>
      </c>
      <c r="AA23" s="1278">
        <f>+AA14+AA18+AA21+AA22</f>
        <v>8294</v>
      </c>
      <c r="AB23" s="1276">
        <f>+AB14+AB18+AB21+AB22</f>
        <v>11422</v>
      </c>
      <c r="AC23" s="1276">
        <f>+AC14+AC18+AC21+AC22</f>
        <v>14599</v>
      </c>
      <c r="AD23" s="1277">
        <f>+AD14+AD18+AD21+AD22</f>
        <v>17292</v>
      </c>
    </row>
    <row r="24" spans="1:30" s="332" customFormat="1" ht="22.5" customHeight="1">
      <c r="A24" s="322" t="s">
        <v>867</v>
      </c>
      <c r="B24" s="211" t="s">
        <v>1176</v>
      </c>
      <c r="C24" s="255">
        <v>1005</v>
      </c>
      <c r="D24" s="255">
        <v>1450</v>
      </c>
      <c r="E24" s="255">
        <v>2499</v>
      </c>
      <c r="F24" s="340">
        <v>1952</v>
      </c>
      <c r="G24" s="255">
        <v>24</v>
      </c>
      <c r="H24" s="255">
        <v>40</v>
      </c>
      <c r="I24" s="255">
        <v>65</v>
      </c>
      <c r="J24" s="340">
        <v>107</v>
      </c>
      <c r="K24" s="255">
        <v>208</v>
      </c>
      <c r="L24" s="255">
        <v>345</v>
      </c>
      <c r="M24" s="255">
        <v>491</v>
      </c>
      <c r="N24" s="323">
        <v>392</v>
      </c>
      <c r="O24" s="255">
        <v>107</v>
      </c>
      <c r="P24" s="255">
        <v>250</v>
      </c>
      <c r="Q24" s="255">
        <v>603</v>
      </c>
      <c r="R24" s="323">
        <v>384</v>
      </c>
      <c r="S24" s="255">
        <v>27</v>
      </c>
      <c r="T24" s="255">
        <v>57</v>
      </c>
      <c r="U24" s="255">
        <v>62</v>
      </c>
      <c r="V24" s="323">
        <v>56</v>
      </c>
      <c r="W24" s="255"/>
      <c r="X24" s="255"/>
      <c r="Y24" s="255"/>
      <c r="Z24" s="323">
        <v>0</v>
      </c>
      <c r="AA24" s="254">
        <f t="shared" ref="AA24:AD30" si="8">+W24+S24+O24+K24+G24+C24</f>
        <v>1371</v>
      </c>
      <c r="AB24" s="255">
        <f t="shared" si="8"/>
        <v>2142</v>
      </c>
      <c r="AC24" s="255">
        <f t="shared" si="8"/>
        <v>3720</v>
      </c>
      <c r="AD24" s="323">
        <f t="shared" si="8"/>
        <v>2891</v>
      </c>
    </row>
    <row r="25" spans="1:30" s="332" customFormat="1" ht="22.5" customHeight="1">
      <c r="A25" s="322"/>
      <c r="B25" s="211" t="s">
        <v>1175</v>
      </c>
      <c r="C25" s="255">
        <v>1717</v>
      </c>
      <c r="D25" s="255">
        <v>1908</v>
      </c>
      <c r="E25" s="255">
        <v>2487</v>
      </c>
      <c r="F25" s="340">
        <v>2814</v>
      </c>
      <c r="G25" s="255">
        <v>7</v>
      </c>
      <c r="H25" s="255">
        <v>5</v>
      </c>
      <c r="I25" s="255">
        <v>18</v>
      </c>
      <c r="J25" s="340">
        <v>462</v>
      </c>
      <c r="K25" s="255">
        <v>492</v>
      </c>
      <c r="L25" s="255">
        <v>345</v>
      </c>
      <c r="M25" s="255">
        <v>994</v>
      </c>
      <c r="N25" s="323">
        <v>1402</v>
      </c>
      <c r="O25" s="255">
        <v>97</v>
      </c>
      <c r="P25" s="255">
        <v>103</v>
      </c>
      <c r="Q25" s="255">
        <v>256</v>
      </c>
      <c r="R25" s="323">
        <v>213</v>
      </c>
      <c r="S25" s="255">
        <v>101</v>
      </c>
      <c r="T25" s="255">
        <v>134</v>
      </c>
      <c r="U25" s="255">
        <v>168</v>
      </c>
      <c r="V25" s="323">
        <v>183</v>
      </c>
      <c r="W25" s="255"/>
      <c r="X25" s="255"/>
      <c r="Y25" s="255"/>
      <c r="Z25" s="323">
        <v>0</v>
      </c>
      <c r="AA25" s="254">
        <f t="shared" si="8"/>
        <v>2414</v>
      </c>
      <c r="AB25" s="255">
        <f t="shared" si="8"/>
        <v>2495</v>
      </c>
      <c r="AC25" s="255">
        <f t="shared" si="8"/>
        <v>3923</v>
      </c>
      <c r="AD25" s="323">
        <f t="shared" si="8"/>
        <v>5074</v>
      </c>
    </row>
    <row r="26" spans="1:30" s="332" customFormat="1" ht="22.5" customHeight="1">
      <c r="A26" s="322"/>
      <c r="B26" s="243" t="s">
        <v>489</v>
      </c>
      <c r="C26" s="255">
        <v>262</v>
      </c>
      <c r="D26" s="255">
        <v>283</v>
      </c>
      <c r="E26" s="255">
        <v>613</v>
      </c>
      <c r="F26" s="340">
        <v>443</v>
      </c>
      <c r="G26" s="255">
        <v>8</v>
      </c>
      <c r="H26" s="255">
        <v>10</v>
      </c>
      <c r="I26" s="255">
        <v>5</v>
      </c>
      <c r="J26" s="340">
        <v>17</v>
      </c>
      <c r="K26" s="255">
        <v>42</v>
      </c>
      <c r="L26" s="255">
        <v>14</v>
      </c>
      <c r="M26" s="255">
        <v>139</v>
      </c>
      <c r="N26" s="323">
        <v>62</v>
      </c>
      <c r="O26" s="255">
        <v>6</v>
      </c>
      <c r="P26" s="255">
        <v>42</v>
      </c>
      <c r="Q26" s="255">
        <v>56</v>
      </c>
      <c r="R26" s="323">
        <v>32</v>
      </c>
      <c r="S26" s="255">
        <v>5</v>
      </c>
      <c r="T26" s="255">
        <v>12</v>
      </c>
      <c r="U26" s="255">
        <v>17</v>
      </c>
      <c r="V26" s="323">
        <v>37</v>
      </c>
      <c r="W26" s="255"/>
      <c r="X26" s="255"/>
      <c r="Y26" s="255"/>
      <c r="Z26" s="323">
        <v>0</v>
      </c>
      <c r="AA26" s="254">
        <f t="shared" si="8"/>
        <v>323</v>
      </c>
      <c r="AB26" s="255">
        <f t="shared" si="8"/>
        <v>361</v>
      </c>
      <c r="AC26" s="255">
        <f t="shared" si="8"/>
        <v>830</v>
      </c>
      <c r="AD26" s="323">
        <f t="shared" si="8"/>
        <v>591</v>
      </c>
    </row>
    <row r="27" spans="1:30" s="332" customFormat="1" ht="22.5" customHeight="1">
      <c r="A27" s="322"/>
      <c r="B27" s="211" t="s">
        <v>1338</v>
      </c>
      <c r="C27" s="255"/>
      <c r="D27" s="255"/>
      <c r="E27" s="255">
        <v>2</v>
      </c>
      <c r="F27" s="340">
        <v>0</v>
      </c>
      <c r="G27" s="255"/>
      <c r="H27" s="255"/>
      <c r="I27" s="255"/>
      <c r="J27" s="340">
        <v>0</v>
      </c>
      <c r="K27" s="255"/>
      <c r="L27" s="255"/>
      <c r="M27" s="255"/>
      <c r="N27" s="323">
        <v>0</v>
      </c>
      <c r="O27" s="255"/>
      <c r="P27" s="255"/>
      <c r="Q27" s="255"/>
      <c r="R27" s="323">
        <v>0</v>
      </c>
      <c r="S27" s="255"/>
      <c r="T27" s="255"/>
      <c r="U27" s="255"/>
      <c r="V27" s="323">
        <v>0</v>
      </c>
      <c r="W27" s="255"/>
      <c r="X27" s="255"/>
      <c r="Y27" s="255"/>
      <c r="Z27" s="323">
        <v>0</v>
      </c>
      <c r="AA27" s="254">
        <f t="shared" si="8"/>
        <v>0</v>
      </c>
      <c r="AB27" s="255">
        <f t="shared" si="8"/>
        <v>0</v>
      </c>
      <c r="AC27" s="255">
        <f t="shared" si="8"/>
        <v>2</v>
      </c>
      <c r="AD27" s="323">
        <f t="shared" si="8"/>
        <v>0</v>
      </c>
    </row>
    <row r="28" spans="1:30" s="332" customFormat="1" ht="22.5" customHeight="1">
      <c r="A28" s="322"/>
      <c r="B28" s="211" t="s">
        <v>1059</v>
      </c>
      <c r="C28" s="255"/>
      <c r="D28" s="255"/>
      <c r="E28" s="255"/>
      <c r="F28" s="340">
        <v>0</v>
      </c>
      <c r="G28" s="255"/>
      <c r="H28" s="255"/>
      <c r="I28" s="255"/>
      <c r="J28" s="340">
        <v>0</v>
      </c>
      <c r="K28" s="255"/>
      <c r="L28" s="255"/>
      <c r="M28" s="255"/>
      <c r="N28" s="323">
        <v>0</v>
      </c>
      <c r="O28" s="255"/>
      <c r="P28" s="255"/>
      <c r="Q28" s="255"/>
      <c r="R28" s="323">
        <v>0</v>
      </c>
      <c r="S28" s="255">
        <v>2</v>
      </c>
      <c r="T28" s="255"/>
      <c r="U28" s="255">
        <v>6</v>
      </c>
      <c r="V28" s="323">
        <v>5</v>
      </c>
      <c r="W28" s="255"/>
      <c r="X28" s="255"/>
      <c r="Y28" s="255"/>
      <c r="Z28" s="323">
        <v>0</v>
      </c>
      <c r="AA28" s="254">
        <f t="shared" si="8"/>
        <v>2</v>
      </c>
      <c r="AB28" s="255">
        <f t="shared" si="8"/>
        <v>0</v>
      </c>
      <c r="AC28" s="255">
        <f t="shared" si="8"/>
        <v>6</v>
      </c>
      <c r="AD28" s="323">
        <f t="shared" si="8"/>
        <v>5</v>
      </c>
    </row>
    <row r="29" spans="1:30" s="332" customFormat="1" ht="22.5" customHeight="1">
      <c r="A29" s="322"/>
      <c r="B29" s="211" t="s">
        <v>1337</v>
      </c>
      <c r="C29" s="255"/>
      <c r="D29" s="255">
        <v>1</v>
      </c>
      <c r="E29" s="255"/>
      <c r="F29" s="340">
        <v>0</v>
      </c>
      <c r="G29" s="255">
        <v>194</v>
      </c>
      <c r="H29" s="255">
        <v>224</v>
      </c>
      <c r="I29" s="255">
        <v>485</v>
      </c>
      <c r="J29" s="340">
        <v>602</v>
      </c>
      <c r="K29" s="255"/>
      <c r="L29" s="255"/>
      <c r="M29" s="255"/>
      <c r="N29" s="323">
        <v>0</v>
      </c>
      <c r="O29" s="255"/>
      <c r="P29" s="255"/>
      <c r="Q29" s="255"/>
      <c r="R29" s="323">
        <v>0</v>
      </c>
      <c r="S29" s="255">
        <v>99</v>
      </c>
      <c r="T29" s="255">
        <v>286</v>
      </c>
      <c r="U29" s="255">
        <v>375</v>
      </c>
      <c r="V29" s="323">
        <v>321</v>
      </c>
      <c r="W29" s="255">
        <v>274</v>
      </c>
      <c r="X29" s="255">
        <v>403</v>
      </c>
      <c r="Y29" s="255">
        <v>399</v>
      </c>
      <c r="Z29" s="323">
        <v>0</v>
      </c>
      <c r="AA29" s="254">
        <f t="shared" si="8"/>
        <v>567</v>
      </c>
      <c r="AB29" s="255">
        <f t="shared" si="8"/>
        <v>914</v>
      </c>
      <c r="AC29" s="255">
        <f t="shared" si="8"/>
        <v>1259</v>
      </c>
      <c r="AD29" s="323">
        <f t="shared" si="8"/>
        <v>923</v>
      </c>
    </row>
    <row r="30" spans="1:30" s="332" customFormat="1" ht="22.5" customHeight="1">
      <c r="A30" s="322"/>
      <c r="B30" s="243" t="s">
        <v>747</v>
      </c>
      <c r="C30" s="255">
        <v>375</v>
      </c>
      <c r="D30" s="255">
        <v>580</v>
      </c>
      <c r="E30" s="255">
        <v>1100</v>
      </c>
      <c r="F30" s="340">
        <v>693</v>
      </c>
      <c r="G30" s="255">
        <v>58</v>
      </c>
      <c r="H30" s="255">
        <v>222</v>
      </c>
      <c r="I30" s="255">
        <v>185</v>
      </c>
      <c r="J30" s="340">
        <v>145</v>
      </c>
      <c r="K30" s="255">
        <v>126</v>
      </c>
      <c r="L30" s="255">
        <v>72</v>
      </c>
      <c r="M30" s="255">
        <v>91</v>
      </c>
      <c r="N30" s="323">
        <v>229</v>
      </c>
      <c r="O30" s="255">
        <v>21</v>
      </c>
      <c r="P30" s="255">
        <v>66</v>
      </c>
      <c r="Q30" s="255">
        <v>95</v>
      </c>
      <c r="R30" s="323">
        <v>97</v>
      </c>
      <c r="S30" s="255">
        <v>30</v>
      </c>
      <c r="T30" s="255">
        <v>40</v>
      </c>
      <c r="U30" s="255">
        <v>44</v>
      </c>
      <c r="V30" s="323">
        <v>37</v>
      </c>
      <c r="W30" s="255"/>
      <c r="X30" s="255"/>
      <c r="Y30" s="255"/>
      <c r="Z30" s="323">
        <v>0</v>
      </c>
      <c r="AA30" s="254">
        <f t="shared" si="8"/>
        <v>610</v>
      </c>
      <c r="AB30" s="255">
        <f t="shared" si="8"/>
        <v>980</v>
      </c>
      <c r="AC30" s="255">
        <f t="shared" si="8"/>
        <v>1515</v>
      </c>
      <c r="AD30" s="323">
        <f t="shared" si="8"/>
        <v>1201</v>
      </c>
    </row>
    <row r="31" spans="1:30" s="332" customFormat="1" ht="22.5" customHeight="1">
      <c r="A31" s="322"/>
      <c r="B31" s="1271" t="s">
        <v>582</v>
      </c>
      <c r="C31" s="1272">
        <v>3359</v>
      </c>
      <c r="D31" s="1272">
        <f>SUM(D24:D30)</f>
        <v>4222</v>
      </c>
      <c r="E31" s="1272">
        <f>SUM(E24:E30)</f>
        <v>6701</v>
      </c>
      <c r="F31" s="1273">
        <f t="shared" ref="F31:Z31" si="9">SUM(F24:F30)</f>
        <v>5902</v>
      </c>
      <c r="G31" s="1272">
        <f t="shared" si="9"/>
        <v>291</v>
      </c>
      <c r="H31" s="1272">
        <f t="shared" si="9"/>
        <v>501</v>
      </c>
      <c r="I31" s="1272">
        <f t="shared" si="9"/>
        <v>758</v>
      </c>
      <c r="J31" s="1273">
        <f t="shared" si="9"/>
        <v>1333</v>
      </c>
      <c r="K31" s="1272">
        <f t="shared" si="9"/>
        <v>868</v>
      </c>
      <c r="L31" s="1272">
        <f t="shared" si="9"/>
        <v>776</v>
      </c>
      <c r="M31" s="1272">
        <f t="shared" si="9"/>
        <v>1715</v>
      </c>
      <c r="N31" s="1274">
        <f t="shared" si="9"/>
        <v>2085</v>
      </c>
      <c r="O31" s="1272">
        <f t="shared" si="9"/>
        <v>231</v>
      </c>
      <c r="P31" s="1272">
        <f t="shared" si="9"/>
        <v>461</v>
      </c>
      <c r="Q31" s="1272">
        <f t="shared" si="9"/>
        <v>1010</v>
      </c>
      <c r="R31" s="1274">
        <f t="shared" si="9"/>
        <v>726</v>
      </c>
      <c r="S31" s="1272">
        <f t="shared" si="9"/>
        <v>264</v>
      </c>
      <c r="T31" s="1272">
        <f t="shared" si="9"/>
        <v>529</v>
      </c>
      <c r="U31" s="1272">
        <f t="shared" si="9"/>
        <v>672</v>
      </c>
      <c r="V31" s="1274">
        <f t="shared" si="9"/>
        <v>639</v>
      </c>
      <c r="W31" s="1272">
        <f t="shared" si="9"/>
        <v>274</v>
      </c>
      <c r="X31" s="1272">
        <f t="shared" si="9"/>
        <v>403</v>
      </c>
      <c r="Y31" s="1272">
        <f t="shared" si="9"/>
        <v>399</v>
      </c>
      <c r="Z31" s="1274">
        <f t="shared" si="9"/>
        <v>0</v>
      </c>
      <c r="AA31" s="1275">
        <f t="shared" ref="AA31:AC31" si="10">SUM(AA24:AA30)</f>
        <v>5287</v>
      </c>
      <c r="AB31" s="1272">
        <f t="shared" si="10"/>
        <v>6892</v>
      </c>
      <c r="AC31" s="1272">
        <f t="shared" si="10"/>
        <v>11255</v>
      </c>
      <c r="AD31" s="1274">
        <f t="shared" ref="AD31" si="11">SUM(AD24:AD30)</f>
        <v>10685</v>
      </c>
    </row>
    <row r="32" spans="1:30" s="332" customFormat="1" ht="22.5" customHeight="1">
      <c r="A32" s="322" t="s">
        <v>484</v>
      </c>
      <c r="B32" s="243" t="s">
        <v>748</v>
      </c>
      <c r="C32" s="255">
        <v>769</v>
      </c>
      <c r="D32" s="255">
        <v>840</v>
      </c>
      <c r="E32" s="255">
        <v>1776</v>
      </c>
      <c r="F32" s="340">
        <v>2381</v>
      </c>
      <c r="G32" s="255">
        <v>18</v>
      </c>
      <c r="H32" s="255">
        <v>33</v>
      </c>
      <c r="I32" s="255">
        <v>30</v>
      </c>
      <c r="J32" s="340">
        <v>145</v>
      </c>
      <c r="K32" s="255">
        <v>325</v>
      </c>
      <c r="L32" s="255">
        <v>244</v>
      </c>
      <c r="M32" s="255">
        <v>167</v>
      </c>
      <c r="N32" s="323">
        <v>194</v>
      </c>
      <c r="O32" s="255">
        <v>69</v>
      </c>
      <c r="P32" s="255">
        <v>46</v>
      </c>
      <c r="Q32" s="255">
        <v>130</v>
      </c>
      <c r="R32" s="323">
        <v>132</v>
      </c>
      <c r="S32" s="255">
        <v>95</v>
      </c>
      <c r="T32" s="255">
        <v>47</v>
      </c>
      <c r="U32" s="255">
        <v>66</v>
      </c>
      <c r="V32" s="323">
        <v>105</v>
      </c>
      <c r="W32" s="255"/>
      <c r="X32" s="255"/>
      <c r="Y32" s="255"/>
      <c r="Z32" s="323">
        <v>0</v>
      </c>
      <c r="AA32" s="254">
        <f t="shared" ref="AA32:AD36" si="12">+W32+S32+O32+K32+G32+C32</f>
        <v>1276</v>
      </c>
      <c r="AB32" s="255">
        <f t="shared" si="12"/>
        <v>1210</v>
      </c>
      <c r="AC32" s="255">
        <f t="shared" si="12"/>
        <v>2169</v>
      </c>
      <c r="AD32" s="323">
        <f t="shared" si="12"/>
        <v>2957</v>
      </c>
    </row>
    <row r="33" spans="1:30" s="332" customFormat="1" ht="22.5" customHeight="1">
      <c r="A33" s="322"/>
      <c r="B33" s="211" t="s">
        <v>1296</v>
      </c>
      <c r="C33" s="255">
        <v>236</v>
      </c>
      <c r="D33" s="255">
        <v>232</v>
      </c>
      <c r="E33" s="255">
        <v>444</v>
      </c>
      <c r="F33" s="340">
        <v>351</v>
      </c>
      <c r="G33" s="255">
        <v>1</v>
      </c>
      <c r="H33" s="255">
        <v>10</v>
      </c>
      <c r="I33" s="255">
        <v>10</v>
      </c>
      <c r="J33" s="340">
        <v>62</v>
      </c>
      <c r="K33" s="255">
        <v>27</v>
      </c>
      <c r="L33" s="255">
        <v>15</v>
      </c>
      <c r="M33" s="255">
        <v>12</v>
      </c>
      <c r="N33" s="323">
        <v>9</v>
      </c>
      <c r="O33" s="255">
        <v>6</v>
      </c>
      <c r="P33" s="255">
        <v>11</v>
      </c>
      <c r="Q33" s="255">
        <v>24</v>
      </c>
      <c r="R33" s="323">
        <v>50</v>
      </c>
      <c r="S33" s="255">
        <v>25</v>
      </c>
      <c r="T33" s="255">
        <v>13</v>
      </c>
      <c r="U33" s="255">
        <v>7</v>
      </c>
      <c r="V33" s="323">
        <v>49</v>
      </c>
      <c r="W33" s="255"/>
      <c r="X33" s="255"/>
      <c r="Y33" s="255"/>
      <c r="Z33" s="323">
        <v>0</v>
      </c>
      <c r="AA33" s="254">
        <f t="shared" si="12"/>
        <v>295</v>
      </c>
      <c r="AB33" s="255">
        <f t="shared" si="12"/>
        <v>281</v>
      </c>
      <c r="AC33" s="255">
        <f t="shared" si="12"/>
        <v>497</v>
      </c>
      <c r="AD33" s="323">
        <f t="shared" si="12"/>
        <v>521</v>
      </c>
    </row>
    <row r="34" spans="1:30" s="332" customFormat="1" ht="22.5" customHeight="1">
      <c r="A34" s="322"/>
      <c r="B34" s="211" t="s">
        <v>1050</v>
      </c>
      <c r="C34" s="255">
        <v>140</v>
      </c>
      <c r="D34" s="255">
        <v>172</v>
      </c>
      <c r="E34" s="255">
        <v>179</v>
      </c>
      <c r="F34" s="340">
        <v>306</v>
      </c>
      <c r="G34" s="255"/>
      <c r="H34" s="255">
        <v>3</v>
      </c>
      <c r="I34" s="255">
        <v>25</v>
      </c>
      <c r="J34" s="340">
        <v>69</v>
      </c>
      <c r="K34" s="255">
        <v>30</v>
      </c>
      <c r="L34" s="255">
        <v>5</v>
      </c>
      <c r="M34" s="255">
        <v>69</v>
      </c>
      <c r="N34" s="323">
        <v>43</v>
      </c>
      <c r="O34" s="255">
        <v>18</v>
      </c>
      <c r="P34" s="255">
        <v>38</v>
      </c>
      <c r="Q34" s="255">
        <v>46</v>
      </c>
      <c r="R34" s="323">
        <v>64</v>
      </c>
      <c r="S34" s="255">
        <v>6</v>
      </c>
      <c r="T34" s="255">
        <v>5</v>
      </c>
      <c r="U34" s="255">
        <v>11</v>
      </c>
      <c r="V34" s="323">
        <v>15</v>
      </c>
      <c r="W34" s="255"/>
      <c r="X34" s="255"/>
      <c r="Y34" s="255"/>
      <c r="Z34" s="323">
        <v>0</v>
      </c>
      <c r="AA34" s="254">
        <f t="shared" si="12"/>
        <v>194</v>
      </c>
      <c r="AB34" s="255">
        <f t="shared" si="12"/>
        <v>223</v>
      </c>
      <c r="AC34" s="255">
        <f t="shared" si="12"/>
        <v>330</v>
      </c>
      <c r="AD34" s="323">
        <f t="shared" si="12"/>
        <v>497</v>
      </c>
    </row>
    <row r="35" spans="1:30" s="332" customFormat="1" ht="22.5" customHeight="1">
      <c r="A35" s="322"/>
      <c r="B35" s="211" t="s">
        <v>1094</v>
      </c>
      <c r="C35" s="255"/>
      <c r="D35" s="255"/>
      <c r="E35" s="255"/>
      <c r="F35" s="340">
        <v>0</v>
      </c>
      <c r="G35" s="255"/>
      <c r="H35" s="255"/>
      <c r="I35" s="255"/>
      <c r="J35" s="340">
        <v>1</v>
      </c>
      <c r="K35" s="255"/>
      <c r="L35" s="255"/>
      <c r="M35" s="255"/>
      <c r="N35" s="323">
        <v>0</v>
      </c>
      <c r="O35" s="255"/>
      <c r="P35" s="255"/>
      <c r="Q35" s="255"/>
      <c r="R35" s="323">
        <v>0</v>
      </c>
      <c r="S35" s="255">
        <v>3</v>
      </c>
      <c r="T35" s="255"/>
      <c r="U35" s="255">
        <v>7</v>
      </c>
      <c r="V35" s="323">
        <v>0</v>
      </c>
      <c r="W35" s="255"/>
      <c r="X35" s="255"/>
      <c r="Y35" s="255"/>
      <c r="Z35" s="323">
        <v>0</v>
      </c>
      <c r="AA35" s="254">
        <f t="shared" si="12"/>
        <v>3</v>
      </c>
      <c r="AB35" s="255">
        <f t="shared" si="12"/>
        <v>0</v>
      </c>
      <c r="AC35" s="255">
        <f t="shared" si="12"/>
        <v>7</v>
      </c>
      <c r="AD35" s="323">
        <f t="shared" si="12"/>
        <v>1</v>
      </c>
    </row>
    <row r="36" spans="1:30" s="332" customFormat="1" ht="22.5" customHeight="1">
      <c r="A36" s="322"/>
      <c r="B36" s="243" t="s">
        <v>868</v>
      </c>
      <c r="C36" s="255"/>
      <c r="D36" s="255"/>
      <c r="E36" s="255"/>
      <c r="F36" s="340">
        <v>0</v>
      </c>
      <c r="G36" s="255"/>
      <c r="H36" s="255"/>
      <c r="I36" s="255"/>
      <c r="J36" s="340">
        <v>0</v>
      </c>
      <c r="K36" s="255"/>
      <c r="L36" s="255"/>
      <c r="M36" s="255"/>
      <c r="N36" s="323">
        <v>0</v>
      </c>
      <c r="O36" s="255"/>
      <c r="P36" s="255"/>
      <c r="Q36" s="255"/>
      <c r="R36" s="323">
        <v>0</v>
      </c>
      <c r="S36" s="255"/>
      <c r="T36" s="255"/>
      <c r="U36" s="255"/>
      <c r="V36" s="323">
        <v>0</v>
      </c>
      <c r="W36" s="255"/>
      <c r="X36" s="255"/>
      <c r="Y36" s="255"/>
      <c r="Z36" s="323">
        <v>0</v>
      </c>
      <c r="AA36" s="254">
        <f t="shared" si="12"/>
        <v>0</v>
      </c>
      <c r="AB36" s="255">
        <f t="shared" si="12"/>
        <v>0</v>
      </c>
      <c r="AC36" s="255">
        <f t="shared" si="12"/>
        <v>0</v>
      </c>
      <c r="AD36" s="323">
        <f t="shared" si="12"/>
        <v>0</v>
      </c>
    </row>
    <row r="37" spans="1:30" s="332" customFormat="1" ht="22.5" customHeight="1">
      <c r="A37" s="322"/>
      <c r="B37" s="1271" t="s">
        <v>582</v>
      </c>
      <c r="C37" s="1272">
        <v>1145</v>
      </c>
      <c r="D37" s="1272">
        <f>SUM(D32:D36)</f>
        <v>1244</v>
      </c>
      <c r="E37" s="1272">
        <f>SUM(E32:E36)</f>
        <v>2399</v>
      </c>
      <c r="F37" s="1273">
        <f t="shared" ref="F37:Z37" si="13">SUM(F32:F36)</f>
        <v>3038</v>
      </c>
      <c r="G37" s="1272">
        <f t="shared" si="13"/>
        <v>19</v>
      </c>
      <c r="H37" s="1272">
        <f t="shared" si="13"/>
        <v>46</v>
      </c>
      <c r="I37" s="1272">
        <f t="shared" si="13"/>
        <v>65</v>
      </c>
      <c r="J37" s="1273">
        <f t="shared" si="13"/>
        <v>277</v>
      </c>
      <c r="K37" s="1272">
        <f t="shared" si="13"/>
        <v>382</v>
      </c>
      <c r="L37" s="1272">
        <f t="shared" si="13"/>
        <v>264</v>
      </c>
      <c r="M37" s="1272">
        <f t="shared" si="13"/>
        <v>248</v>
      </c>
      <c r="N37" s="1274">
        <f t="shared" si="13"/>
        <v>246</v>
      </c>
      <c r="O37" s="1272">
        <f t="shared" si="13"/>
        <v>93</v>
      </c>
      <c r="P37" s="1272">
        <f t="shared" si="13"/>
        <v>95</v>
      </c>
      <c r="Q37" s="1272">
        <f t="shared" si="13"/>
        <v>200</v>
      </c>
      <c r="R37" s="1274">
        <f t="shared" si="13"/>
        <v>246</v>
      </c>
      <c r="S37" s="1272">
        <f t="shared" si="13"/>
        <v>129</v>
      </c>
      <c r="T37" s="1272">
        <f t="shared" si="13"/>
        <v>65</v>
      </c>
      <c r="U37" s="1272">
        <f t="shared" si="13"/>
        <v>91</v>
      </c>
      <c r="V37" s="1274">
        <f t="shared" si="13"/>
        <v>169</v>
      </c>
      <c r="W37" s="1272">
        <f t="shared" si="13"/>
        <v>0</v>
      </c>
      <c r="X37" s="1272">
        <f t="shared" si="13"/>
        <v>0</v>
      </c>
      <c r="Y37" s="1272">
        <f t="shared" si="13"/>
        <v>0</v>
      </c>
      <c r="Z37" s="1274">
        <f t="shared" si="13"/>
        <v>0</v>
      </c>
      <c r="AA37" s="1275">
        <f>SUM(AA32:AA36)</f>
        <v>1768</v>
      </c>
      <c r="AB37" s="1272">
        <f>SUM(AB32:AB36)</f>
        <v>1714</v>
      </c>
      <c r="AC37" s="1272">
        <f>SUM(AC32:AC36)</f>
        <v>3003</v>
      </c>
      <c r="AD37" s="1274">
        <f>SUM(AD32:AD36)</f>
        <v>3976</v>
      </c>
    </row>
    <row r="38" spans="1:30" s="332" customFormat="1" ht="22.5" customHeight="1">
      <c r="A38" s="322" t="s">
        <v>485</v>
      </c>
      <c r="B38" s="211" t="s">
        <v>586</v>
      </c>
      <c r="C38" s="255">
        <v>764</v>
      </c>
      <c r="D38" s="255">
        <v>1191</v>
      </c>
      <c r="E38" s="255">
        <v>1856</v>
      </c>
      <c r="F38" s="340">
        <v>1844</v>
      </c>
      <c r="G38" s="255">
        <v>4</v>
      </c>
      <c r="H38" s="255">
        <v>4</v>
      </c>
      <c r="I38" s="255">
        <v>127</v>
      </c>
      <c r="J38" s="340">
        <v>14</v>
      </c>
      <c r="K38" s="255">
        <v>128</v>
      </c>
      <c r="L38" s="255">
        <v>294</v>
      </c>
      <c r="M38" s="255">
        <v>240</v>
      </c>
      <c r="N38" s="323">
        <v>355</v>
      </c>
      <c r="O38" s="255">
        <v>34</v>
      </c>
      <c r="P38" s="255">
        <v>47</v>
      </c>
      <c r="Q38" s="255">
        <v>207</v>
      </c>
      <c r="R38" s="323">
        <v>191</v>
      </c>
      <c r="S38" s="255">
        <v>12</v>
      </c>
      <c r="T38" s="255">
        <v>21</v>
      </c>
      <c r="U38" s="255">
        <v>72</v>
      </c>
      <c r="V38" s="323">
        <v>72</v>
      </c>
      <c r="W38" s="255"/>
      <c r="X38" s="255"/>
      <c r="Y38" s="255"/>
      <c r="Z38" s="323">
        <v>0</v>
      </c>
      <c r="AA38" s="254">
        <f t="shared" ref="AA38:AD40" si="14">+W38+S38+O38+K38+G38+C38</f>
        <v>942</v>
      </c>
      <c r="AB38" s="255">
        <f t="shared" si="14"/>
        <v>1557</v>
      </c>
      <c r="AC38" s="255">
        <f t="shared" si="14"/>
        <v>2502</v>
      </c>
      <c r="AD38" s="323">
        <f t="shared" si="14"/>
        <v>2476</v>
      </c>
    </row>
    <row r="39" spans="1:30" s="332" customFormat="1" ht="22.5" customHeight="1">
      <c r="A39" s="322"/>
      <c r="B39" s="243" t="s">
        <v>750</v>
      </c>
      <c r="C39" s="255">
        <v>61</v>
      </c>
      <c r="D39" s="255">
        <v>170</v>
      </c>
      <c r="E39" s="255">
        <v>249</v>
      </c>
      <c r="F39" s="340">
        <v>278</v>
      </c>
      <c r="G39" s="255">
        <v>0</v>
      </c>
      <c r="H39" s="255">
        <v>1</v>
      </c>
      <c r="I39" s="255">
        <v>0</v>
      </c>
      <c r="J39" s="340">
        <v>3</v>
      </c>
      <c r="K39" s="255">
        <v>22</v>
      </c>
      <c r="L39" s="255">
        <v>26</v>
      </c>
      <c r="M39" s="255">
        <v>45</v>
      </c>
      <c r="N39" s="323">
        <v>58</v>
      </c>
      <c r="O39" s="255">
        <v>10</v>
      </c>
      <c r="P39" s="255">
        <v>10</v>
      </c>
      <c r="Q39" s="255">
        <v>37</v>
      </c>
      <c r="R39" s="323">
        <v>41</v>
      </c>
      <c r="S39" s="255">
        <v>3</v>
      </c>
      <c r="T39" s="255">
        <v>6</v>
      </c>
      <c r="U39" s="255">
        <v>14</v>
      </c>
      <c r="V39" s="323">
        <v>16</v>
      </c>
      <c r="W39" s="255"/>
      <c r="X39" s="255"/>
      <c r="Y39" s="255"/>
      <c r="Z39" s="323">
        <v>0</v>
      </c>
      <c r="AA39" s="254">
        <f t="shared" si="14"/>
        <v>96</v>
      </c>
      <c r="AB39" s="255">
        <f t="shared" si="14"/>
        <v>213</v>
      </c>
      <c r="AC39" s="255">
        <f t="shared" si="14"/>
        <v>345</v>
      </c>
      <c r="AD39" s="323">
        <f t="shared" si="14"/>
        <v>396</v>
      </c>
    </row>
    <row r="40" spans="1:30" s="332" customFormat="1" ht="22.5" customHeight="1">
      <c r="A40" s="322"/>
      <c r="B40" s="211" t="s">
        <v>1051</v>
      </c>
      <c r="C40" s="255">
        <v>82</v>
      </c>
      <c r="D40" s="255">
        <v>94</v>
      </c>
      <c r="E40" s="255">
        <v>116</v>
      </c>
      <c r="F40" s="340">
        <v>221</v>
      </c>
      <c r="G40" s="255">
        <v>0</v>
      </c>
      <c r="H40" s="255"/>
      <c r="I40" s="255">
        <v>0</v>
      </c>
      <c r="J40" s="340">
        <v>0</v>
      </c>
      <c r="K40" s="255">
        <v>6</v>
      </c>
      <c r="L40" s="255">
        <v>8</v>
      </c>
      <c r="M40" s="255">
        <v>28</v>
      </c>
      <c r="N40" s="323">
        <v>20</v>
      </c>
      <c r="O40" s="255">
        <v>3</v>
      </c>
      <c r="P40" s="255">
        <v>3</v>
      </c>
      <c r="Q40" s="255">
        <v>29</v>
      </c>
      <c r="R40" s="323">
        <v>14</v>
      </c>
      <c r="S40" s="255"/>
      <c r="T40" s="255">
        <v>2</v>
      </c>
      <c r="U40" s="255">
        <v>1</v>
      </c>
      <c r="V40" s="323">
        <v>2</v>
      </c>
      <c r="W40" s="255"/>
      <c r="X40" s="255"/>
      <c r="Y40" s="255"/>
      <c r="Z40" s="323">
        <v>0</v>
      </c>
      <c r="AA40" s="254">
        <f t="shared" si="14"/>
        <v>91</v>
      </c>
      <c r="AB40" s="255">
        <f t="shared" si="14"/>
        <v>107</v>
      </c>
      <c r="AC40" s="255">
        <f t="shared" si="14"/>
        <v>174</v>
      </c>
      <c r="AD40" s="323">
        <f t="shared" si="14"/>
        <v>257</v>
      </c>
    </row>
    <row r="41" spans="1:30" s="332" customFormat="1" ht="22.5" customHeight="1">
      <c r="A41" s="322"/>
      <c r="B41" s="1271" t="s">
        <v>582</v>
      </c>
      <c r="C41" s="1272">
        <v>907</v>
      </c>
      <c r="D41" s="1272">
        <f>SUM(D38:D40)</f>
        <v>1455</v>
      </c>
      <c r="E41" s="1272">
        <f>SUM(E38:E40)</f>
        <v>2221</v>
      </c>
      <c r="F41" s="1273">
        <f t="shared" ref="F41:Z41" si="15">SUM(F38:F40)</f>
        <v>2343</v>
      </c>
      <c r="G41" s="1272">
        <f t="shared" si="15"/>
        <v>4</v>
      </c>
      <c r="H41" s="1272">
        <f t="shared" si="15"/>
        <v>5</v>
      </c>
      <c r="I41" s="1272">
        <f t="shared" si="15"/>
        <v>127</v>
      </c>
      <c r="J41" s="1273">
        <f t="shared" si="15"/>
        <v>17</v>
      </c>
      <c r="K41" s="1272">
        <f t="shared" si="15"/>
        <v>156</v>
      </c>
      <c r="L41" s="1272">
        <f t="shared" si="15"/>
        <v>328</v>
      </c>
      <c r="M41" s="1272">
        <f t="shared" si="15"/>
        <v>313</v>
      </c>
      <c r="N41" s="1274">
        <f t="shared" si="15"/>
        <v>433</v>
      </c>
      <c r="O41" s="1272">
        <f t="shared" si="15"/>
        <v>47</v>
      </c>
      <c r="P41" s="1272">
        <f t="shared" si="15"/>
        <v>60</v>
      </c>
      <c r="Q41" s="1272">
        <f t="shared" si="15"/>
        <v>273</v>
      </c>
      <c r="R41" s="1274">
        <f t="shared" si="15"/>
        <v>246</v>
      </c>
      <c r="S41" s="1272">
        <f t="shared" si="15"/>
        <v>15</v>
      </c>
      <c r="T41" s="1272">
        <f t="shared" si="15"/>
        <v>29</v>
      </c>
      <c r="U41" s="1272">
        <f t="shared" si="15"/>
        <v>87</v>
      </c>
      <c r="V41" s="1274">
        <f t="shared" si="15"/>
        <v>90</v>
      </c>
      <c r="W41" s="1272">
        <f t="shared" si="15"/>
        <v>0</v>
      </c>
      <c r="X41" s="1272">
        <f t="shared" si="15"/>
        <v>0</v>
      </c>
      <c r="Y41" s="1272">
        <f t="shared" si="15"/>
        <v>0</v>
      </c>
      <c r="Z41" s="1274">
        <f t="shared" si="15"/>
        <v>0</v>
      </c>
      <c r="AA41" s="1275">
        <f>SUM(AA38:AA40)</f>
        <v>1129</v>
      </c>
      <c r="AB41" s="1272">
        <f>SUM(AB38:AB40)</f>
        <v>1877</v>
      </c>
      <c r="AC41" s="1272">
        <f>SUM(AC38:AC40)</f>
        <v>3021</v>
      </c>
      <c r="AD41" s="1274">
        <f>SUM(AD38:AD40)</f>
        <v>3129</v>
      </c>
    </row>
    <row r="42" spans="1:30" s="332" customFormat="1" ht="22.5" customHeight="1">
      <c r="A42" s="322" t="s">
        <v>486</v>
      </c>
      <c r="B42" s="243" t="s">
        <v>751</v>
      </c>
      <c r="C42" s="255">
        <v>982</v>
      </c>
      <c r="D42" s="255">
        <v>1429</v>
      </c>
      <c r="E42" s="255">
        <v>2868</v>
      </c>
      <c r="F42" s="340">
        <v>2297</v>
      </c>
      <c r="G42" s="255">
        <v>11</v>
      </c>
      <c r="H42" s="255">
        <v>104</v>
      </c>
      <c r="I42" s="255">
        <v>130</v>
      </c>
      <c r="J42" s="340">
        <v>59</v>
      </c>
      <c r="K42" s="255">
        <v>87</v>
      </c>
      <c r="L42" s="255">
        <v>205</v>
      </c>
      <c r="M42" s="255">
        <v>192</v>
      </c>
      <c r="N42" s="323">
        <v>207</v>
      </c>
      <c r="O42" s="255">
        <v>39</v>
      </c>
      <c r="P42" s="255">
        <v>121</v>
      </c>
      <c r="Q42" s="255">
        <v>195</v>
      </c>
      <c r="R42" s="323">
        <v>228</v>
      </c>
      <c r="S42" s="255">
        <v>112</v>
      </c>
      <c r="T42" s="255">
        <v>96</v>
      </c>
      <c r="U42" s="255">
        <v>106</v>
      </c>
      <c r="V42" s="323">
        <v>230</v>
      </c>
      <c r="W42" s="255"/>
      <c r="X42" s="255"/>
      <c r="Y42" s="255"/>
      <c r="Z42" s="323">
        <v>0</v>
      </c>
      <c r="AA42" s="254">
        <f t="shared" ref="AA42:AD46" si="16">+W42+S42+O42+K42+G42+C42</f>
        <v>1231</v>
      </c>
      <c r="AB42" s="255">
        <f t="shared" si="16"/>
        <v>1955</v>
      </c>
      <c r="AC42" s="255">
        <f t="shared" si="16"/>
        <v>3491</v>
      </c>
      <c r="AD42" s="323">
        <f t="shared" si="16"/>
        <v>3021</v>
      </c>
    </row>
    <row r="43" spans="1:30" s="332" customFormat="1" ht="22.5" customHeight="1">
      <c r="A43" s="322" t="s">
        <v>869</v>
      </c>
      <c r="B43" s="211" t="s">
        <v>752</v>
      </c>
      <c r="C43" s="255">
        <v>1019</v>
      </c>
      <c r="D43" s="255">
        <v>1295</v>
      </c>
      <c r="E43" s="255">
        <v>1743</v>
      </c>
      <c r="F43" s="340">
        <v>1537</v>
      </c>
      <c r="G43" s="255">
        <v>41</v>
      </c>
      <c r="H43" s="255">
        <v>9</v>
      </c>
      <c r="I43" s="255">
        <v>84</v>
      </c>
      <c r="J43" s="340">
        <v>185</v>
      </c>
      <c r="K43" s="255">
        <v>4</v>
      </c>
      <c r="L43" s="255">
        <v>101</v>
      </c>
      <c r="M43" s="255">
        <v>21</v>
      </c>
      <c r="N43" s="323">
        <v>106</v>
      </c>
      <c r="O43" s="255">
        <v>49</v>
      </c>
      <c r="P43" s="255">
        <v>80</v>
      </c>
      <c r="Q43" s="255">
        <v>128</v>
      </c>
      <c r="R43" s="323">
        <v>67</v>
      </c>
      <c r="S43" s="255">
        <v>31</v>
      </c>
      <c r="T43" s="255">
        <v>35</v>
      </c>
      <c r="U43" s="255">
        <v>27</v>
      </c>
      <c r="V43" s="323">
        <v>126</v>
      </c>
      <c r="W43" s="255"/>
      <c r="X43" s="255"/>
      <c r="Y43" s="255"/>
      <c r="Z43" s="323">
        <v>2</v>
      </c>
      <c r="AA43" s="254">
        <f t="shared" si="16"/>
        <v>1144</v>
      </c>
      <c r="AB43" s="255">
        <f t="shared" si="16"/>
        <v>1520</v>
      </c>
      <c r="AC43" s="255">
        <f t="shared" si="16"/>
        <v>2003</v>
      </c>
      <c r="AD43" s="323">
        <f t="shared" si="16"/>
        <v>2023</v>
      </c>
    </row>
    <row r="44" spans="1:30" s="332" customFormat="1" ht="22.5" customHeight="1">
      <c r="A44" s="322"/>
      <c r="B44" s="211" t="s">
        <v>902</v>
      </c>
      <c r="C44" s="255">
        <v>12</v>
      </c>
      <c r="D44" s="255">
        <v>42</v>
      </c>
      <c r="E44" s="255">
        <v>69</v>
      </c>
      <c r="F44" s="340">
        <v>26</v>
      </c>
      <c r="G44" s="255">
        <v>70</v>
      </c>
      <c r="H44" s="255">
        <v>249</v>
      </c>
      <c r="I44" s="255">
        <v>192</v>
      </c>
      <c r="J44" s="340">
        <v>230</v>
      </c>
      <c r="K44" s="255"/>
      <c r="L44" s="255"/>
      <c r="M44" s="255"/>
      <c r="N44" s="323">
        <v>0</v>
      </c>
      <c r="O44" s="255"/>
      <c r="P44" s="255"/>
      <c r="Q44" s="255"/>
      <c r="R44" s="323">
        <v>0</v>
      </c>
      <c r="S44" s="255">
        <v>251</v>
      </c>
      <c r="T44" s="255">
        <v>378</v>
      </c>
      <c r="U44" s="255">
        <v>599</v>
      </c>
      <c r="V44" s="323">
        <v>700</v>
      </c>
      <c r="W44" s="255">
        <v>37</v>
      </c>
      <c r="X44" s="255">
        <v>25</v>
      </c>
      <c r="Y44" s="255"/>
      <c r="Z44" s="323">
        <v>0</v>
      </c>
      <c r="AA44" s="254">
        <f t="shared" si="16"/>
        <v>370</v>
      </c>
      <c r="AB44" s="255">
        <f t="shared" si="16"/>
        <v>694</v>
      </c>
      <c r="AC44" s="255">
        <f t="shared" si="16"/>
        <v>860</v>
      </c>
      <c r="AD44" s="323">
        <f t="shared" si="16"/>
        <v>956</v>
      </c>
    </row>
    <row r="45" spans="1:30" s="332" customFormat="1" ht="22.5" customHeight="1">
      <c r="A45" s="322" t="s">
        <v>488</v>
      </c>
      <c r="B45" s="211" t="s">
        <v>753</v>
      </c>
      <c r="C45" s="255">
        <v>1336</v>
      </c>
      <c r="D45" s="255">
        <v>1557</v>
      </c>
      <c r="E45" s="255">
        <v>2641</v>
      </c>
      <c r="F45" s="340">
        <v>2588</v>
      </c>
      <c r="G45" s="255">
        <v>11</v>
      </c>
      <c r="H45" s="255">
        <v>9</v>
      </c>
      <c r="I45" s="255">
        <v>19</v>
      </c>
      <c r="J45" s="340">
        <v>25</v>
      </c>
      <c r="K45" s="255">
        <v>116</v>
      </c>
      <c r="L45" s="255">
        <v>158</v>
      </c>
      <c r="M45" s="255">
        <v>286</v>
      </c>
      <c r="N45" s="323">
        <v>290</v>
      </c>
      <c r="O45" s="255">
        <v>32</v>
      </c>
      <c r="P45" s="255">
        <v>147</v>
      </c>
      <c r="Q45" s="255">
        <v>240</v>
      </c>
      <c r="R45" s="323">
        <v>119</v>
      </c>
      <c r="S45" s="255">
        <v>36</v>
      </c>
      <c r="T45" s="255">
        <v>64</v>
      </c>
      <c r="U45" s="255">
        <v>57</v>
      </c>
      <c r="V45" s="323">
        <v>108</v>
      </c>
      <c r="W45" s="255"/>
      <c r="X45" s="255"/>
      <c r="Y45" s="255"/>
      <c r="Z45" s="323">
        <v>0</v>
      </c>
      <c r="AA45" s="254">
        <f t="shared" si="16"/>
        <v>1531</v>
      </c>
      <c r="AB45" s="255">
        <f t="shared" si="16"/>
        <v>1935</v>
      </c>
      <c r="AC45" s="255">
        <f t="shared" si="16"/>
        <v>3243</v>
      </c>
      <c r="AD45" s="323">
        <f t="shared" si="16"/>
        <v>3130</v>
      </c>
    </row>
    <row r="46" spans="1:30" s="332" customFormat="1" ht="22.5" customHeight="1">
      <c r="A46" s="322"/>
      <c r="B46" s="211" t="s">
        <v>1045</v>
      </c>
      <c r="C46" s="255">
        <v>135</v>
      </c>
      <c r="D46" s="255">
        <v>218</v>
      </c>
      <c r="E46" s="255">
        <v>361</v>
      </c>
      <c r="F46" s="340">
        <v>332</v>
      </c>
      <c r="G46" s="255">
        <v>1</v>
      </c>
      <c r="H46" s="255">
        <v>12</v>
      </c>
      <c r="I46" s="255">
        <v>5</v>
      </c>
      <c r="J46" s="340">
        <v>1</v>
      </c>
      <c r="K46" s="255">
        <v>0</v>
      </c>
      <c r="L46" s="255">
        <v>72</v>
      </c>
      <c r="M46" s="255">
        <v>6</v>
      </c>
      <c r="N46" s="323">
        <v>2</v>
      </c>
      <c r="O46" s="255">
        <v>10</v>
      </c>
      <c r="P46" s="255">
        <v>45</v>
      </c>
      <c r="Q46" s="255">
        <v>17</v>
      </c>
      <c r="R46" s="323">
        <v>12</v>
      </c>
      <c r="S46" s="255">
        <v>2</v>
      </c>
      <c r="T46" s="255">
        <v>14</v>
      </c>
      <c r="U46" s="255">
        <v>0</v>
      </c>
      <c r="V46" s="323">
        <v>3</v>
      </c>
      <c r="W46" s="255"/>
      <c r="X46" s="255"/>
      <c r="Y46" s="255"/>
      <c r="Z46" s="323">
        <v>0</v>
      </c>
      <c r="AA46" s="254">
        <f t="shared" si="16"/>
        <v>148</v>
      </c>
      <c r="AB46" s="255">
        <f t="shared" si="16"/>
        <v>361</v>
      </c>
      <c r="AC46" s="255">
        <f t="shared" si="16"/>
        <v>389</v>
      </c>
      <c r="AD46" s="323">
        <f t="shared" si="16"/>
        <v>350</v>
      </c>
    </row>
    <row r="47" spans="1:30" s="332" customFormat="1" ht="22.5" customHeight="1">
      <c r="A47" s="322"/>
      <c r="B47" s="1279" t="s">
        <v>582</v>
      </c>
      <c r="C47" s="1272">
        <v>1471</v>
      </c>
      <c r="D47" s="1272">
        <f>SUM(D45:D46)</f>
        <v>1775</v>
      </c>
      <c r="E47" s="1272">
        <f>SUM(E45:E46)</f>
        <v>3002</v>
      </c>
      <c r="F47" s="1273">
        <f t="shared" ref="F47:Z47" si="17">SUM(F45:F46)</f>
        <v>2920</v>
      </c>
      <c r="G47" s="1272">
        <f t="shared" si="17"/>
        <v>12</v>
      </c>
      <c r="H47" s="1272">
        <f t="shared" si="17"/>
        <v>21</v>
      </c>
      <c r="I47" s="1272">
        <f t="shared" si="17"/>
        <v>24</v>
      </c>
      <c r="J47" s="1273">
        <f t="shared" si="17"/>
        <v>26</v>
      </c>
      <c r="K47" s="1272">
        <f t="shared" si="17"/>
        <v>116</v>
      </c>
      <c r="L47" s="1272">
        <f t="shared" si="17"/>
        <v>230</v>
      </c>
      <c r="M47" s="1272">
        <f t="shared" si="17"/>
        <v>292</v>
      </c>
      <c r="N47" s="1274">
        <f t="shared" si="17"/>
        <v>292</v>
      </c>
      <c r="O47" s="1272">
        <f t="shared" si="17"/>
        <v>42</v>
      </c>
      <c r="P47" s="1272">
        <f t="shared" si="17"/>
        <v>192</v>
      </c>
      <c r="Q47" s="1272">
        <f t="shared" si="17"/>
        <v>257</v>
      </c>
      <c r="R47" s="1274">
        <f t="shared" si="17"/>
        <v>131</v>
      </c>
      <c r="S47" s="1272">
        <f t="shared" si="17"/>
        <v>38</v>
      </c>
      <c r="T47" s="1272">
        <f t="shared" si="17"/>
        <v>78</v>
      </c>
      <c r="U47" s="1272">
        <f t="shared" si="17"/>
        <v>57</v>
      </c>
      <c r="V47" s="1274">
        <f t="shared" si="17"/>
        <v>111</v>
      </c>
      <c r="W47" s="1272">
        <f t="shared" si="17"/>
        <v>0</v>
      </c>
      <c r="X47" s="1272">
        <f t="shared" si="17"/>
        <v>0</v>
      </c>
      <c r="Y47" s="1272">
        <f t="shared" si="17"/>
        <v>0</v>
      </c>
      <c r="Z47" s="1274">
        <f t="shared" si="17"/>
        <v>0</v>
      </c>
      <c r="AA47" s="1275">
        <f>SUM(AA45:AA46)</f>
        <v>1679</v>
      </c>
      <c r="AB47" s="1272">
        <f>SUM(AB45:AB46)</f>
        <v>2296</v>
      </c>
      <c r="AC47" s="1272">
        <f>SUM(AC45:AC46)</f>
        <v>3632</v>
      </c>
      <c r="AD47" s="1274">
        <f>SUM(AD45:AD46)</f>
        <v>3480</v>
      </c>
    </row>
    <row r="48" spans="1:30" s="6" customFormat="1" ht="22.5" customHeight="1">
      <c r="A48" s="1280" t="s">
        <v>870</v>
      </c>
      <c r="B48" s="1281"/>
      <c r="C48" s="1282">
        <f>+C31+C37+C41+C42+C43+C47+C44</f>
        <v>8895</v>
      </c>
      <c r="D48" s="1282">
        <f>+D31+D37+D41+D42+D43+D47+D44</f>
        <v>11462</v>
      </c>
      <c r="E48" s="1282">
        <f>+E31+E37+E41+E42+E43+E47+E44</f>
        <v>19003</v>
      </c>
      <c r="F48" s="1283">
        <f t="shared" ref="F48:Z48" si="18">+F31+F37+F41+F42+F43+F47+F44</f>
        <v>18063</v>
      </c>
      <c r="G48" s="1282">
        <f t="shared" si="18"/>
        <v>448</v>
      </c>
      <c r="H48" s="1282">
        <f t="shared" si="18"/>
        <v>935</v>
      </c>
      <c r="I48" s="1282">
        <f t="shared" si="18"/>
        <v>1380</v>
      </c>
      <c r="J48" s="1283">
        <f t="shared" si="18"/>
        <v>2127</v>
      </c>
      <c r="K48" s="1282">
        <f t="shared" si="18"/>
        <v>1613</v>
      </c>
      <c r="L48" s="1282">
        <f t="shared" si="18"/>
        <v>1904</v>
      </c>
      <c r="M48" s="1282">
        <f t="shared" si="18"/>
        <v>2781</v>
      </c>
      <c r="N48" s="1283">
        <f t="shared" si="18"/>
        <v>3369</v>
      </c>
      <c r="O48" s="1282">
        <f t="shared" si="18"/>
        <v>501</v>
      </c>
      <c r="P48" s="1282">
        <f t="shared" si="18"/>
        <v>1009</v>
      </c>
      <c r="Q48" s="1282">
        <f t="shared" si="18"/>
        <v>2063</v>
      </c>
      <c r="R48" s="1283">
        <f t="shared" si="18"/>
        <v>1644</v>
      </c>
      <c r="S48" s="1282">
        <f t="shared" si="18"/>
        <v>840</v>
      </c>
      <c r="T48" s="1282">
        <f t="shared" si="18"/>
        <v>1210</v>
      </c>
      <c r="U48" s="1282">
        <f t="shared" si="18"/>
        <v>1639</v>
      </c>
      <c r="V48" s="1283">
        <f t="shared" si="18"/>
        <v>2065</v>
      </c>
      <c r="W48" s="1282">
        <f t="shared" si="18"/>
        <v>311</v>
      </c>
      <c r="X48" s="1282">
        <f t="shared" si="18"/>
        <v>428</v>
      </c>
      <c r="Y48" s="1282">
        <f t="shared" si="18"/>
        <v>399</v>
      </c>
      <c r="Z48" s="1283">
        <f t="shared" si="18"/>
        <v>2</v>
      </c>
      <c r="AA48" s="1284">
        <f>+AA31+AA37+AA41+AA42+AA43+AA47+AA44</f>
        <v>12608</v>
      </c>
      <c r="AB48" s="1282">
        <f>+AB31+AB37+AB41+AB42+AB43+AB47+AB44</f>
        <v>16948</v>
      </c>
      <c r="AC48" s="1282">
        <f>+AC31+AC37+AC41+AC42+AC43+AC47+AC44</f>
        <v>27265</v>
      </c>
      <c r="AD48" s="1283">
        <f>+AD31+AD37+AD41+AD42+AD43+AD47+AD44</f>
        <v>27270</v>
      </c>
    </row>
    <row r="49" spans="1:30" s="332" customFormat="1" ht="22.5" customHeight="1">
      <c r="A49" s="1578" t="s">
        <v>594</v>
      </c>
      <c r="B49" s="1579"/>
      <c r="C49" s="1285">
        <f>+C23+C48</f>
        <v>14740</v>
      </c>
      <c r="D49" s="1285">
        <f>+D23+D48</f>
        <v>18262</v>
      </c>
      <c r="E49" s="1285">
        <f>+E23+E48</f>
        <v>29239</v>
      </c>
      <c r="F49" s="1286">
        <f t="shared" ref="F49:Z49" si="19">+F23+F48</f>
        <v>29273</v>
      </c>
      <c r="G49" s="1285">
        <f t="shared" si="19"/>
        <v>689</v>
      </c>
      <c r="H49" s="1285">
        <f t="shared" si="19"/>
        <v>1593</v>
      </c>
      <c r="I49" s="1285">
        <f t="shared" si="19"/>
        <v>1934</v>
      </c>
      <c r="J49" s="1286">
        <f t="shared" si="19"/>
        <v>3306</v>
      </c>
      <c r="K49" s="1285">
        <f t="shared" si="19"/>
        <v>2699</v>
      </c>
      <c r="L49" s="1285">
        <f t="shared" si="19"/>
        <v>3911</v>
      </c>
      <c r="M49" s="1285">
        <f t="shared" si="19"/>
        <v>4073</v>
      </c>
      <c r="N49" s="1286">
        <f t="shared" si="19"/>
        <v>5242</v>
      </c>
      <c r="O49" s="1285">
        <f t="shared" si="19"/>
        <v>733</v>
      </c>
      <c r="P49" s="1285">
        <f t="shared" si="19"/>
        <v>1592</v>
      </c>
      <c r="Q49" s="1285">
        <f t="shared" si="19"/>
        <v>3090</v>
      </c>
      <c r="R49" s="1286">
        <f t="shared" si="19"/>
        <v>3124</v>
      </c>
      <c r="S49" s="1285">
        <f t="shared" si="19"/>
        <v>1498</v>
      </c>
      <c r="T49" s="1285">
        <f t="shared" si="19"/>
        <v>2412</v>
      </c>
      <c r="U49" s="1285">
        <f t="shared" si="19"/>
        <v>3065</v>
      </c>
      <c r="V49" s="1286">
        <f t="shared" si="19"/>
        <v>3614</v>
      </c>
      <c r="W49" s="1285">
        <f t="shared" si="19"/>
        <v>543</v>
      </c>
      <c r="X49" s="1285">
        <f t="shared" si="19"/>
        <v>600</v>
      </c>
      <c r="Y49" s="1285">
        <f t="shared" si="19"/>
        <v>463</v>
      </c>
      <c r="Z49" s="1286">
        <f t="shared" si="19"/>
        <v>3</v>
      </c>
      <c r="AA49" s="1287">
        <f>+AA23+AA48</f>
        <v>20902</v>
      </c>
      <c r="AB49" s="1285">
        <f>+AB23+AB48</f>
        <v>28370</v>
      </c>
      <c r="AC49" s="1285">
        <f>+AC23+AC48</f>
        <v>41864</v>
      </c>
      <c r="AD49" s="1286">
        <f>+AD23+AD48</f>
        <v>44562</v>
      </c>
    </row>
    <row r="51" spans="1:30">
      <c r="F51" s="842"/>
      <c r="G51" s="271"/>
      <c r="H51" s="271"/>
      <c r="J51" s="842"/>
      <c r="K51" s="271"/>
      <c r="L51" s="271"/>
      <c r="N51" s="842"/>
      <c r="O51" s="271"/>
      <c r="P51" s="271"/>
      <c r="R51" s="842"/>
      <c r="S51" s="271"/>
      <c r="T51" s="271"/>
      <c r="V51" s="842"/>
      <c r="W51" s="271"/>
      <c r="X51" s="271"/>
      <c r="Z51" s="842"/>
      <c r="AA51" s="271"/>
      <c r="AB51" s="271"/>
      <c r="AC51" s="271"/>
      <c r="AD51" s="842"/>
    </row>
    <row r="52" spans="1:30">
      <c r="F52" s="271"/>
      <c r="G52" s="271"/>
      <c r="H52" s="271"/>
      <c r="J52" s="271"/>
      <c r="K52" s="271"/>
      <c r="L52" s="271"/>
      <c r="N52" s="271"/>
      <c r="O52" s="271"/>
      <c r="P52" s="271"/>
      <c r="R52" s="271"/>
      <c r="S52" s="271"/>
      <c r="T52" s="271"/>
      <c r="V52" s="271"/>
      <c r="W52" s="271"/>
      <c r="X52" s="271"/>
      <c r="Z52" s="271"/>
      <c r="AA52" s="271"/>
      <c r="AB52" s="271"/>
      <c r="AC52" s="271"/>
      <c r="AD52" s="271"/>
    </row>
    <row r="53" spans="1:30">
      <c r="F53" s="271"/>
      <c r="G53" s="271"/>
      <c r="H53" s="271"/>
      <c r="J53" s="271"/>
      <c r="K53" s="271"/>
      <c r="L53" s="271"/>
      <c r="N53" s="271"/>
      <c r="O53" s="271"/>
      <c r="P53" s="271"/>
      <c r="R53" s="271"/>
      <c r="S53" s="271"/>
      <c r="T53" s="271"/>
      <c r="V53" s="271"/>
      <c r="W53" s="271"/>
      <c r="X53" s="271"/>
      <c r="Z53" s="271"/>
      <c r="AA53" s="271"/>
      <c r="AB53" s="271"/>
      <c r="AC53" s="271"/>
      <c r="AD53" s="271"/>
    </row>
    <row r="54" spans="1:30">
      <c r="F54" s="271"/>
      <c r="G54" s="300"/>
      <c r="H54" s="300"/>
      <c r="J54" s="271"/>
      <c r="K54" s="300"/>
      <c r="L54" s="300"/>
      <c r="N54" s="271"/>
      <c r="O54" s="300"/>
      <c r="P54" s="300"/>
      <c r="R54" s="271"/>
      <c r="S54" s="300"/>
      <c r="T54" s="300"/>
      <c r="V54" s="271"/>
      <c r="W54" s="300"/>
      <c r="X54" s="300"/>
      <c r="Z54" s="271"/>
      <c r="AA54" s="300"/>
      <c r="AB54" s="300"/>
      <c r="AC54" s="300"/>
      <c r="AD54" s="271"/>
    </row>
    <row r="55" spans="1:30">
      <c r="F55" s="271"/>
      <c r="G55" s="286"/>
      <c r="H55" s="286"/>
      <c r="J55" s="271"/>
      <c r="K55" s="286"/>
      <c r="N55" s="271"/>
      <c r="R55" s="271"/>
      <c r="V55" s="271"/>
      <c r="Z55" s="271"/>
      <c r="AD55" s="271"/>
    </row>
    <row r="56" spans="1:30">
      <c r="F56" s="271"/>
      <c r="G56" s="286"/>
      <c r="H56" s="286"/>
      <c r="J56" s="271"/>
      <c r="K56" s="286"/>
      <c r="N56" s="271"/>
      <c r="R56" s="271"/>
      <c r="V56" s="271"/>
      <c r="Z56" s="271"/>
      <c r="AD56" s="271"/>
    </row>
  </sheetData>
  <mergeCells count="1">
    <mergeCell ref="A49:B49"/>
  </mergeCells>
  <phoneticPr fontId="18"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56"/>
  <sheetViews>
    <sheetView workbookViewId="0">
      <selection activeCell="C7" sqref="C7"/>
    </sheetView>
  </sheetViews>
  <sheetFormatPr baseColWidth="10" defaultColWidth="11.42578125" defaultRowHeight="12.75"/>
  <cols>
    <col min="1" max="1" width="12.42578125" customWidth="1"/>
    <col min="2" max="2" width="19.7109375" customWidth="1"/>
    <col min="3" max="3" width="8.28515625" customWidth="1"/>
    <col min="4" max="5" width="8" customWidth="1"/>
    <col min="6" max="6" width="7.7109375" customWidth="1"/>
    <col min="7" max="8" width="8.28515625" customWidth="1"/>
    <col min="9" max="9" width="8" customWidth="1"/>
    <col min="10" max="10" width="7.7109375" customWidth="1"/>
    <col min="11" max="12" width="7.28515625" customWidth="1"/>
    <col min="13" max="13" width="8" customWidth="1"/>
    <col min="14" max="14" width="7.7109375" customWidth="1"/>
    <col min="15" max="16" width="8.28515625" customWidth="1"/>
    <col min="17" max="17" width="8" customWidth="1"/>
    <col min="18" max="18" width="7.7109375" customWidth="1"/>
    <col min="19" max="20" width="7.28515625" customWidth="1"/>
    <col min="21" max="21" width="8" customWidth="1"/>
    <col min="22" max="22" width="7.7109375" customWidth="1"/>
    <col min="23" max="24" width="7.28515625" customWidth="1"/>
    <col min="25" max="25" width="8" customWidth="1"/>
    <col min="26" max="26" width="7.7109375" customWidth="1"/>
    <col min="27" max="27" width="8.7109375" customWidth="1"/>
    <col min="28" max="29" width="8.5703125" customWidth="1"/>
    <col min="30" max="30" width="9.28515625" customWidth="1"/>
    <col min="31" max="43" width="7.28515625" style="277" customWidth="1"/>
    <col min="44" max="16384" width="11.42578125" style="277"/>
  </cols>
  <sheetData>
    <row r="1" spans="1:30" ht="12">
      <c r="A1" s="1504" t="s">
        <v>857</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row>
    <row r="2" spans="1:30" ht="12">
      <c r="A2" s="1504" t="s">
        <v>872</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row>
    <row r="3" spans="1:30" ht="12">
      <c r="A3" s="1504" t="s">
        <v>814</v>
      </c>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row>
    <row r="4" spans="1:30" ht="12">
      <c r="A4" s="1504" t="str">
        <f>+'42'!A4:AC4</f>
        <v>2020 - 2023</v>
      </c>
      <c r="B4" s="1504"/>
      <c r="C4" s="1504"/>
      <c r="D4" s="1504"/>
      <c r="E4" s="1504"/>
      <c r="F4" s="1504"/>
      <c r="G4" s="1504"/>
      <c r="H4" s="1504"/>
      <c r="I4" s="1504"/>
      <c r="J4" s="1504"/>
      <c r="K4" s="1504"/>
      <c r="L4" s="1504"/>
      <c r="M4" s="1504"/>
      <c r="N4" s="1504"/>
      <c r="O4" s="1504"/>
      <c r="P4" s="1504"/>
      <c r="Q4" s="1504"/>
      <c r="R4" s="1504"/>
      <c r="S4" s="1504"/>
      <c r="T4" s="1504"/>
      <c r="U4" s="1504"/>
      <c r="V4" s="1504"/>
      <c r="W4" s="1504"/>
      <c r="X4" s="1504"/>
      <c r="Y4" s="1504"/>
      <c r="Z4" s="1504"/>
      <c r="AA4" s="1504"/>
      <c r="AB4" s="1504"/>
      <c r="AC4" s="1504"/>
      <c r="AD4" s="1504"/>
    </row>
    <row r="5" spans="1:30" ht="12">
      <c r="A5" s="277"/>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row>
    <row r="6" spans="1:30" ht="12">
      <c r="A6" s="277"/>
      <c r="B6" s="277"/>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row>
    <row r="7" spans="1:30" s="332" customFormat="1" ht="22.5" customHeight="1">
      <c r="A7" s="1266" t="s">
        <v>493</v>
      </c>
      <c r="B7" s="1267" t="s">
        <v>770</v>
      </c>
      <c r="C7" s="1105" t="s">
        <v>859</v>
      </c>
      <c r="D7" s="1259"/>
      <c r="E7" s="1259"/>
      <c r="F7" s="1117"/>
      <c r="G7" s="1105" t="s">
        <v>860</v>
      </c>
      <c r="H7" s="1259"/>
      <c r="I7" s="1259"/>
      <c r="J7" s="1117"/>
      <c r="K7" s="1105" t="s">
        <v>861</v>
      </c>
      <c r="L7" s="1259"/>
      <c r="M7" s="1259"/>
      <c r="N7" s="1117"/>
      <c r="O7" s="1105" t="s">
        <v>862</v>
      </c>
      <c r="P7" s="1259"/>
      <c r="Q7" s="1259"/>
      <c r="R7" s="1117"/>
      <c r="S7" s="1105" t="s">
        <v>863</v>
      </c>
      <c r="T7" s="1259"/>
      <c r="U7" s="1259"/>
      <c r="V7" s="1117"/>
      <c r="W7" s="1105" t="s">
        <v>1272</v>
      </c>
      <c r="X7" s="1259"/>
      <c r="Y7" s="1259"/>
      <c r="Z7" s="1117"/>
      <c r="AA7" s="1105" t="s">
        <v>594</v>
      </c>
      <c r="AB7" s="1259"/>
      <c r="AC7" s="1259"/>
      <c r="AD7" s="1117"/>
    </row>
    <row r="8" spans="1:30" s="332" customFormat="1" ht="22.5" customHeight="1">
      <c r="A8" s="1269"/>
      <c r="B8" s="1270"/>
      <c r="C8" s="1145">
        <f>+'41'!C8</f>
        <v>2020</v>
      </c>
      <c r="D8" s="1268">
        <f>+'41'!D8</f>
        <v>2021</v>
      </c>
      <c r="E8" s="1268">
        <f>+'41'!E8</f>
        <v>2022</v>
      </c>
      <c r="F8" s="1146">
        <f>+'41'!F8</f>
        <v>2023</v>
      </c>
      <c r="G8" s="1145">
        <f>+'41'!G8</f>
        <v>2020</v>
      </c>
      <c r="H8" s="1268">
        <f>+'41'!H8</f>
        <v>2021</v>
      </c>
      <c r="I8" s="1268">
        <f>+'41'!I8</f>
        <v>2022</v>
      </c>
      <c r="J8" s="1146">
        <f>+'41'!J8</f>
        <v>2023</v>
      </c>
      <c r="K8" s="1145">
        <f>+'41'!K8</f>
        <v>2020</v>
      </c>
      <c r="L8" s="1268">
        <f>+'41'!L8</f>
        <v>2021</v>
      </c>
      <c r="M8" s="1268">
        <f>+'41'!M8</f>
        <v>2022</v>
      </c>
      <c r="N8" s="1146">
        <f>+'41'!N8</f>
        <v>2023</v>
      </c>
      <c r="O8" s="1145">
        <f>+'41'!O8</f>
        <v>2020</v>
      </c>
      <c r="P8" s="1268">
        <f>+'41'!P8</f>
        <v>2021</v>
      </c>
      <c r="Q8" s="1268">
        <f>+'41'!Q8</f>
        <v>2022</v>
      </c>
      <c r="R8" s="1146">
        <f>+'41'!R8</f>
        <v>2023</v>
      </c>
      <c r="S8" s="1145">
        <f>+'41'!S8</f>
        <v>2020</v>
      </c>
      <c r="T8" s="1268">
        <f>+'41'!T8</f>
        <v>2021</v>
      </c>
      <c r="U8" s="1268">
        <f>+'41'!U8</f>
        <v>2022</v>
      </c>
      <c r="V8" s="1146">
        <f>+'41'!V8</f>
        <v>2023</v>
      </c>
      <c r="W8" s="1145">
        <f>+'41'!W8</f>
        <v>2020</v>
      </c>
      <c r="X8" s="1268">
        <f>+'41'!X8</f>
        <v>2021</v>
      </c>
      <c r="Y8" s="1268">
        <f>+'41'!Y8</f>
        <v>2022</v>
      </c>
      <c r="Z8" s="1146">
        <f>+'41'!Z8</f>
        <v>2023</v>
      </c>
      <c r="AA8" s="1145">
        <f>+'41'!AA8</f>
        <v>2020</v>
      </c>
      <c r="AB8" s="1268">
        <f>+'41'!AB8</f>
        <v>2021</v>
      </c>
      <c r="AC8" s="1268">
        <f>+'41'!AC8</f>
        <v>2022</v>
      </c>
      <c r="AD8" s="1146">
        <f>+'41'!AD8</f>
        <v>2023</v>
      </c>
    </row>
    <row r="9" spans="1:30" s="332" customFormat="1" ht="22.5" customHeight="1">
      <c r="A9" s="322" t="s">
        <v>864</v>
      </c>
      <c r="B9" s="211" t="s">
        <v>1173</v>
      </c>
      <c r="C9" s="255">
        <v>35</v>
      </c>
      <c r="D9" s="255"/>
      <c r="E9" s="255"/>
      <c r="F9" s="340">
        <v>11</v>
      </c>
      <c r="G9" s="255"/>
      <c r="H9" s="255"/>
      <c r="I9" s="255"/>
      <c r="J9" s="340"/>
      <c r="K9" s="255">
        <v>3503</v>
      </c>
      <c r="L9" s="255">
        <v>5571</v>
      </c>
      <c r="M9" s="255">
        <v>5325</v>
      </c>
      <c r="N9" s="323">
        <v>5854</v>
      </c>
      <c r="O9" s="255"/>
      <c r="P9" s="255"/>
      <c r="Q9" s="255"/>
      <c r="R9" s="323"/>
      <c r="S9" s="255"/>
      <c r="T9" s="255"/>
      <c r="U9" s="255"/>
      <c r="V9" s="323"/>
      <c r="W9" s="255"/>
      <c r="X9" s="255"/>
      <c r="Y9" s="255"/>
      <c r="Z9" s="323"/>
      <c r="AA9" s="254">
        <f t="shared" ref="AA9:AD13" si="0">+W9+S9+O9+K9+G9+C9</f>
        <v>3538</v>
      </c>
      <c r="AB9" s="255">
        <f t="shared" si="0"/>
        <v>5571</v>
      </c>
      <c r="AC9" s="255">
        <f t="shared" si="0"/>
        <v>5325</v>
      </c>
      <c r="AD9" s="323">
        <f t="shared" si="0"/>
        <v>5865</v>
      </c>
    </row>
    <row r="10" spans="1:30" s="332" customFormat="1" ht="22.5" customHeight="1">
      <c r="A10" s="322"/>
      <c r="B10" s="211" t="s">
        <v>1174</v>
      </c>
      <c r="C10" s="255">
        <v>108</v>
      </c>
      <c r="D10" s="255">
        <v>19</v>
      </c>
      <c r="E10" s="255">
        <v>95</v>
      </c>
      <c r="F10" s="340">
        <v>285</v>
      </c>
      <c r="G10" s="255"/>
      <c r="H10" s="255"/>
      <c r="I10" s="255"/>
      <c r="J10" s="340"/>
      <c r="K10" s="255">
        <v>5475</v>
      </c>
      <c r="L10" s="255">
        <v>6496</v>
      </c>
      <c r="M10" s="255">
        <v>7471</v>
      </c>
      <c r="N10" s="323">
        <v>7355</v>
      </c>
      <c r="O10" s="255"/>
      <c r="P10" s="352"/>
      <c r="Q10" s="255"/>
      <c r="R10" s="323"/>
      <c r="S10" s="255"/>
      <c r="T10" s="255"/>
      <c r="U10" s="255"/>
      <c r="V10" s="323"/>
      <c r="W10" s="255"/>
      <c r="X10" s="255"/>
      <c r="Y10" s="255"/>
      <c r="Z10" s="323"/>
      <c r="AA10" s="254">
        <f t="shared" si="0"/>
        <v>5583</v>
      </c>
      <c r="AB10" s="255">
        <f t="shared" si="0"/>
        <v>6515</v>
      </c>
      <c r="AC10" s="255">
        <f t="shared" si="0"/>
        <v>7566</v>
      </c>
      <c r="AD10" s="323">
        <f t="shared" si="0"/>
        <v>7640</v>
      </c>
    </row>
    <row r="11" spans="1:30" s="332" customFormat="1" ht="22.5" customHeight="1">
      <c r="A11" s="322"/>
      <c r="B11" s="243" t="s">
        <v>739</v>
      </c>
      <c r="C11" s="255"/>
      <c r="D11" s="255"/>
      <c r="E11" s="255"/>
      <c r="F11" s="340">
        <v>0</v>
      </c>
      <c r="G11" s="255"/>
      <c r="H11" s="255"/>
      <c r="I11" s="255"/>
      <c r="J11" s="340"/>
      <c r="K11" s="255">
        <v>598</v>
      </c>
      <c r="L11" s="255">
        <v>329</v>
      </c>
      <c r="M11" s="255">
        <v>700</v>
      </c>
      <c r="N11" s="323">
        <v>917</v>
      </c>
      <c r="O11" s="255"/>
      <c r="P11" s="255"/>
      <c r="Q11" s="255"/>
      <c r="R11" s="323"/>
      <c r="S11" s="255"/>
      <c r="T11" s="255"/>
      <c r="U11" s="255"/>
      <c r="V11" s="323"/>
      <c r="W11" s="255"/>
      <c r="X11" s="255"/>
      <c r="Y11" s="255"/>
      <c r="Z11" s="323"/>
      <c r="AA11" s="254">
        <f t="shared" si="0"/>
        <v>598</v>
      </c>
      <c r="AB11" s="255">
        <f t="shared" si="0"/>
        <v>329</v>
      </c>
      <c r="AC11" s="255">
        <f t="shared" si="0"/>
        <v>700</v>
      </c>
      <c r="AD11" s="323">
        <f t="shared" si="0"/>
        <v>917</v>
      </c>
    </row>
    <row r="12" spans="1:30" s="332" customFormat="1" ht="22.5" customHeight="1">
      <c r="A12" s="322"/>
      <c r="B12" s="211" t="s">
        <v>1410</v>
      </c>
      <c r="C12" s="255"/>
      <c r="D12" s="255"/>
      <c r="E12" s="255"/>
      <c r="F12" s="340">
        <v>0</v>
      </c>
      <c r="G12" s="255"/>
      <c r="H12" s="255"/>
      <c r="I12" s="255"/>
      <c r="J12" s="340"/>
      <c r="K12" s="255"/>
      <c r="L12" s="255"/>
      <c r="M12" s="255"/>
      <c r="N12" s="323">
        <v>0</v>
      </c>
      <c r="O12" s="255"/>
      <c r="P12" s="255"/>
      <c r="Q12" s="255"/>
      <c r="R12" s="323"/>
      <c r="S12" s="255"/>
      <c r="T12" s="255"/>
      <c r="U12" s="255"/>
      <c r="V12" s="323"/>
      <c r="W12" s="255"/>
      <c r="X12" s="255"/>
      <c r="Y12" s="255"/>
      <c r="Z12" s="323"/>
      <c r="AA12" s="254">
        <f t="shared" si="0"/>
        <v>0</v>
      </c>
      <c r="AB12" s="255">
        <f t="shared" si="0"/>
        <v>0</v>
      </c>
      <c r="AC12" s="255">
        <f t="shared" si="0"/>
        <v>0</v>
      </c>
      <c r="AD12" s="323">
        <f t="shared" si="0"/>
        <v>0</v>
      </c>
    </row>
    <row r="13" spans="1:30" s="332" customFormat="1" ht="22.5" customHeight="1">
      <c r="A13" s="322"/>
      <c r="B13" s="211" t="s">
        <v>1056</v>
      </c>
      <c r="C13" s="352">
        <v>2</v>
      </c>
      <c r="D13" s="352">
        <v>2</v>
      </c>
      <c r="E13" s="352"/>
      <c r="F13" s="340">
        <v>0</v>
      </c>
      <c r="G13" s="255"/>
      <c r="H13" s="255"/>
      <c r="I13" s="352"/>
      <c r="J13" s="340"/>
      <c r="K13" s="255">
        <v>97</v>
      </c>
      <c r="L13" s="255">
        <v>161</v>
      </c>
      <c r="M13" s="352">
        <v>203</v>
      </c>
      <c r="N13" s="340">
        <v>183</v>
      </c>
      <c r="O13" s="255"/>
      <c r="P13" s="255"/>
      <c r="Q13" s="352"/>
      <c r="R13" s="340"/>
      <c r="S13" s="255"/>
      <c r="T13" s="255"/>
      <c r="U13" s="352"/>
      <c r="V13" s="340"/>
      <c r="W13" s="255"/>
      <c r="X13" s="255"/>
      <c r="Y13" s="352"/>
      <c r="Z13" s="340"/>
      <c r="AA13" s="254">
        <f t="shared" si="0"/>
        <v>99</v>
      </c>
      <c r="AB13" s="255">
        <f t="shared" si="0"/>
        <v>163</v>
      </c>
      <c r="AC13" s="255">
        <f t="shared" si="0"/>
        <v>203</v>
      </c>
      <c r="AD13" s="323">
        <f t="shared" si="0"/>
        <v>183</v>
      </c>
    </row>
    <row r="14" spans="1:30" s="332" customFormat="1" ht="22.5" customHeight="1">
      <c r="A14" s="322"/>
      <c r="B14" s="1271" t="s">
        <v>582</v>
      </c>
      <c r="C14" s="1272">
        <v>145</v>
      </c>
      <c r="D14" s="1272">
        <v>21</v>
      </c>
      <c r="E14" s="1272">
        <f>SUM(E9:E13)</f>
        <v>95</v>
      </c>
      <c r="F14" s="1273">
        <f t="shared" ref="F14:Z14" si="1">SUM(F9:F13)</f>
        <v>296</v>
      </c>
      <c r="G14" s="1272">
        <f t="shared" si="1"/>
        <v>0</v>
      </c>
      <c r="H14" s="1272">
        <f t="shared" si="1"/>
        <v>0</v>
      </c>
      <c r="I14" s="1272">
        <f t="shared" si="1"/>
        <v>0</v>
      </c>
      <c r="J14" s="1273">
        <f t="shared" si="1"/>
        <v>0</v>
      </c>
      <c r="K14" s="1272">
        <f t="shared" si="1"/>
        <v>9673</v>
      </c>
      <c r="L14" s="1272">
        <f t="shared" si="1"/>
        <v>12557</v>
      </c>
      <c r="M14" s="1272">
        <f t="shared" si="1"/>
        <v>13699</v>
      </c>
      <c r="N14" s="1274">
        <f t="shared" si="1"/>
        <v>14309</v>
      </c>
      <c r="O14" s="1272">
        <f t="shared" si="1"/>
        <v>0</v>
      </c>
      <c r="P14" s="1272">
        <f t="shared" si="1"/>
        <v>0</v>
      </c>
      <c r="Q14" s="1272">
        <f t="shared" si="1"/>
        <v>0</v>
      </c>
      <c r="R14" s="1274">
        <f t="shared" si="1"/>
        <v>0</v>
      </c>
      <c r="S14" s="1272">
        <f t="shared" si="1"/>
        <v>0</v>
      </c>
      <c r="T14" s="1272">
        <f t="shared" si="1"/>
        <v>0</v>
      </c>
      <c r="U14" s="1272">
        <f t="shared" si="1"/>
        <v>0</v>
      </c>
      <c r="V14" s="1274">
        <f t="shared" si="1"/>
        <v>0</v>
      </c>
      <c r="W14" s="1272">
        <f t="shared" si="1"/>
        <v>0</v>
      </c>
      <c r="X14" s="1272">
        <f t="shared" si="1"/>
        <v>0</v>
      </c>
      <c r="Y14" s="1272">
        <f t="shared" si="1"/>
        <v>0</v>
      </c>
      <c r="Z14" s="1274">
        <f t="shared" si="1"/>
        <v>0</v>
      </c>
      <c r="AA14" s="1275">
        <f t="shared" ref="AA14:AC14" si="2">SUM(AA9:AA13)</f>
        <v>9818</v>
      </c>
      <c r="AB14" s="1272">
        <f t="shared" si="2"/>
        <v>12578</v>
      </c>
      <c r="AC14" s="1272">
        <f t="shared" si="2"/>
        <v>13794</v>
      </c>
      <c r="AD14" s="1274">
        <f t="shared" ref="AD14" si="3">SUM(AD9:AD13)</f>
        <v>14605</v>
      </c>
    </row>
    <row r="15" spans="1:30" s="332" customFormat="1" ht="22.5" customHeight="1">
      <c r="A15" s="322" t="s">
        <v>479</v>
      </c>
      <c r="B15" s="211" t="s">
        <v>740</v>
      </c>
      <c r="C15" s="255">
        <v>12</v>
      </c>
      <c r="D15" s="255">
        <v>1</v>
      </c>
      <c r="E15" s="255">
        <v>44</v>
      </c>
      <c r="F15" s="340">
        <v>45</v>
      </c>
      <c r="G15" s="255"/>
      <c r="H15" s="255"/>
      <c r="I15" s="255"/>
      <c r="J15" s="340"/>
      <c r="K15" s="255">
        <v>2178</v>
      </c>
      <c r="L15" s="255">
        <v>2545</v>
      </c>
      <c r="M15" s="255">
        <v>3936</v>
      </c>
      <c r="N15" s="323">
        <v>4209</v>
      </c>
      <c r="O15" s="255"/>
      <c r="P15" s="255"/>
      <c r="Q15" s="255"/>
      <c r="R15" s="323"/>
      <c r="S15" s="255"/>
      <c r="T15" s="255"/>
      <c r="U15" s="255"/>
      <c r="V15" s="323"/>
      <c r="W15" s="255"/>
      <c r="X15" s="255"/>
      <c r="Y15" s="255"/>
      <c r="Z15" s="323"/>
      <c r="AA15" s="254">
        <f t="shared" ref="AA15:AD17" si="4">+W15+S15+O15+K15+G15+C15</f>
        <v>2190</v>
      </c>
      <c r="AB15" s="255">
        <f t="shared" si="4"/>
        <v>2546</v>
      </c>
      <c r="AC15" s="255">
        <f t="shared" si="4"/>
        <v>3980</v>
      </c>
      <c r="AD15" s="323">
        <f t="shared" si="4"/>
        <v>4254</v>
      </c>
    </row>
    <row r="16" spans="1:30" s="332" customFormat="1" ht="22.5" customHeight="1">
      <c r="A16" s="322"/>
      <c r="B16" s="211" t="s">
        <v>1061</v>
      </c>
      <c r="C16" s="255"/>
      <c r="D16" s="255">
        <v>1</v>
      </c>
      <c r="E16" s="255"/>
      <c r="F16" s="340">
        <v>8</v>
      </c>
      <c r="G16" s="255"/>
      <c r="H16" s="255"/>
      <c r="I16" s="255"/>
      <c r="J16" s="340"/>
      <c r="K16" s="255">
        <v>406</v>
      </c>
      <c r="L16" s="255">
        <v>511</v>
      </c>
      <c r="M16" s="255">
        <v>789</v>
      </c>
      <c r="N16" s="323">
        <v>619</v>
      </c>
      <c r="O16" s="255"/>
      <c r="P16" s="255"/>
      <c r="Q16" s="255"/>
      <c r="R16" s="323"/>
      <c r="S16" s="255"/>
      <c r="T16" s="255"/>
      <c r="U16" s="255"/>
      <c r="V16" s="323"/>
      <c r="W16" s="255"/>
      <c r="X16" s="255"/>
      <c r="Y16" s="255"/>
      <c r="Z16" s="323"/>
      <c r="AA16" s="254">
        <f t="shared" si="4"/>
        <v>406</v>
      </c>
      <c r="AB16" s="255">
        <f t="shared" si="4"/>
        <v>512</v>
      </c>
      <c r="AC16" s="255">
        <f t="shared" si="4"/>
        <v>789</v>
      </c>
      <c r="AD16" s="323">
        <f t="shared" si="4"/>
        <v>627</v>
      </c>
    </row>
    <row r="17" spans="1:30" s="332" customFormat="1" ht="22.5" customHeight="1">
      <c r="A17" s="322"/>
      <c r="B17" s="211" t="s">
        <v>1058</v>
      </c>
      <c r="C17" s="255"/>
      <c r="D17" s="255"/>
      <c r="E17" s="255"/>
      <c r="F17" s="340">
        <v>1</v>
      </c>
      <c r="G17" s="255"/>
      <c r="H17" s="255"/>
      <c r="I17" s="255"/>
      <c r="J17" s="340"/>
      <c r="K17" s="255">
        <v>406</v>
      </c>
      <c r="L17" s="255">
        <v>549</v>
      </c>
      <c r="M17" s="255">
        <v>576</v>
      </c>
      <c r="N17" s="323">
        <v>677</v>
      </c>
      <c r="O17" s="255"/>
      <c r="P17" s="255"/>
      <c r="Q17" s="255"/>
      <c r="R17" s="323"/>
      <c r="S17" s="255"/>
      <c r="T17" s="255"/>
      <c r="U17" s="255"/>
      <c r="V17" s="323"/>
      <c r="W17" s="255"/>
      <c r="X17" s="255"/>
      <c r="Y17" s="255"/>
      <c r="Z17" s="323"/>
      <c r="AA17" s="254">
        <f t="shared" si="4"/>
        <v>406</v>
      </c>
      <c r="AB17" s="255">
        <f t="shared" si="4"/>
        <v>549</v>
      </c>
      <c r="AC17" s="255">
        <f t="shared" si="4"/>
        <v>576</v>
      </c>
      <c r="AD17" s="323">
        <f t="shared" si="4"/>
        <v>678</v>
      </c>
    </row>
    <row r="18" spans="1:30" s="332" customFormat="1" ht="22.5" customHeight="1">
      <c r="A18" s="322"/>
      <c r="B18" s="1271" t="s">
        <v>582</v>
      </c>
      <c r="C18" s="1272">
        <v>12</v>
      </c>
      <c r="D18" s="1272">
        <v>2</v>
      </c>
      <c r="E18" s="1272">
        <f>SUM(E15:E17)</f>
        <v>44</v>
      </c>
      <c r="F18" s="1273">
        <f t="shared" ref="F18:N18" si="5">SUM(F15:F17)</f>
        <v>54</v>
      </c>
      <c r="G18" s="1272">
        <f t="shared" si="5"/>
        <v>0</v>
      </c>
      <c r="H18" s="1272">
        <f t="shared" si="5"/>
        <v>0</v>
      </c>
      <c r="I18" s="1272">
        <f t="shared" si="5"/>
        <v>0</v>
      </c>
      <c r="J18" s="1273">
        <f t="shared" si="5"/>
        <v>0</v>
      </c>
      <c r="K18" s="1272">
        <f t="shared" si="5"/>
        <v>2990</v>
      </c>
      <c r="L18" s="1272">
        <f t="shared" si="5"/>
        <v>3605</v>
      </c>
      <c r="M18" s="1272">
        <f t="shared" si="5"/>
        <v>5301</v>
      </c>
      <c r="N18" s="1274">
        <f t="shared" si="5"/>
        <v>5505</v>
      </c>
      <c r="O18" s="1272">
        <f t="shared" ref="O18:Z18" si="6">SUM(O15:O17)</f>
        <v>0</v>
      </c>
      <c r="P18" s="1272">
        <f t="shared" si="6"/>
        <v>0</v>
      </c>
      <c r="Q18" s="1272">
        <f t="shared" si="6"/>
        <v>0</v>
      </c>
      <c r="R18" s="1274">
        <f t="shared" si="6"/>
        <v>0</v>
      </c>
      <c r="S18" s="1272">
        <f t="shared" si="6"/>
        <v>0</v>
      </c>
      <c r="T18" s="1272">
        <f t="shared" si="6"/>
        <v>0</v>
      </c>
      <c r="U18" s="1272">
        <f t="shared" si="6"/>
        <v>0</v>
      </c>
      <c r="V18" s="1274">
        <f t="shared" si="6"/>
        <v>0</v>
      </c>
      <c r="W18" s="1272">
        <f t="shared" si="6"/>
        <v>0</v>
      </c>
      <c r="X18" s="1272">
        <f t="shared" si="6"/>
        <v>0</v>
      </c>
      <c r="Y18" s="1272">
        <f t="shared" si="6"/>
        <v>0</v>
      </c>
      <c r="Z18" s="1274">
        <f t="shared" si="6"/>
        <v>0</v>
      </c>
      <c r="AA18" s="1275">
        <f t="shared" ref="AA18:AC18" si="7">SUM(AA15:AA17)</f>
        <v>3002</v>
      </c>
      <c r="AB18" s="1272">
        <f t="shared" si="7"/>
        <v>3607</v>
      </c>
      <c r="AC18" s="1272">
        <f t="shared" si="7"/>
        <v>5345</v>
      </c>
      <c r="AD18" s="1274">
        <f t="shared" ref="AD18" si="8">SUM(AD15:AD17)</f>
        <v>5559</v>
      </c>
    </row>
    <row r="19" spans="1:30" s="332" customFormat="1" ht="22.5" customHeight="1">
      <c r="A19" s="322" t="s">
        <v>865</v>
      </c>
      <c r="B19" s="243" t="s">
        <v>742</v>
      </c>
      <c r="C19" s="255">
        <v>52</v>
      </c>
      <c r="D19" s="255">
        <v>48</v>
      </c>
      <c r="E19" s="255">
        <v>67</v>
      </c>
      <c r="F19" s="340">
        <v>202</v>
      </c>
      <c r="G19" s="255"/>
      <c r="H19" s="255"/>
      <c r="I19" s="255"/>
      <c r="J19" s="340"/>
      <c r="K19" s="255">
        <v>2569</v>
      </c>
      <c r="L19" s="255">
        <v>3673</v>
      </c>
      <c r="M19" s="255">
        <v>3352</v>
      </c>
      <c r="N19" s="323">
        <v>3378</v>
      </c>
      <c r="O19" s="255"/>
      <c r="P19" s="255"/>
      <c r="Q19" s="255"/>
      <c r="R19" s="323"/>
      <c r="S19" s="255"/>
      <c r="T19" s="255"/>
      <c r="U19" s="255"/>
      <c r="V19" s="323"/>
      <c r="W19" s="255"/>
      <c r="X19" s="255"/>
      <c r="Y19" s="255"/>
      <c r="Z19" s="323"/>
      <c r="AA19" s="254">
        <f t="shared" ref="AA19:AD20" si="9">+W19+S19+O19+K19+G19+C19</f>
        <v>2621</v>
      </c>
      <c r="AB19" s="255">
        <f t="shared" si="9"/>
        <v>3721</v>
      </c>
      <c r="AC19" s="255">
        <f t="shared" si="9"/>
        <v>3419</v>
      </c>
      <c r="AD19" s="323">
        <f t="shared" si="9"/>
        <v>3580</v>
      </c>
    </row>
    <row r="20" spans="1:30" s="332" customFormat="1" ht="22.5" customHeight="1">
      <c r="A20" s="322"/>
      <c r="B20" s="211" t="s">
        <v>1060</v>
      </c>
      <c r="C20" s="255"/>
      <c r="D20" s="255"/>
      <c r="E20" s="255"/>
      <c r="F20" s="340">
        <v>0</v>
      </c>
      <c r="G20" s="255"/>
      <c r="H20" s="255"/>
      <c r="I20" s="255"/>
      <c r="J20" s="340"/>
      <c r="K20" s="255">
        <v>159</v>
      </c>
      <c r="L20" s="255">
        <v>324</v>
      </c>
      <c r="M20" s="255">
        <v>375</v>
      </c>
      <c r="N20" s="323">
        <v>324</v>
      </c>
      <c r="O20" s="255"/>
      <c r="P20" s="255"/>
      <c r="Q20" s="255"/>
      <c r="R20" s="323"/>
      <c r="S20" s="255"/>
      <c r="T20" s="255"/>
      <c r="U20" s="255"/>
      <c r="V20" s="323"/>
      <c r="W20" s="255"/>
      <c r="X20" s="255"/>
      <c r="Y20" s="255"/>
      <c r="Z20" s="323"/>
      <c r="AA20" s="254">
        <f t="shared" si="9"/>
        <v>159</v>
      </c>
      <c r="AB20" s="255">
        <f t="shared" si="9"/>
        <v>324</v>
      </c>
      <c r="AC20" s="255">
        <f t="shared" si="9"/>
        <v>375</v>
      </c>
      <c r="AD20" s="323">
        <f t="shared" si="9"/>
        <v>324</v>
      </c>
    </row>
    <row r="21" spans="1:30" s="332" customFormat="1" ht="22.5" customHeight="1">
      <c r="A21" s="322"/>
      <c r="B21" s="1271" t="s">
        <v>582</v>
      </c>
      <c r="C21" s="1272">
        <v>52</v>
      </c>
      <c r="D21" s="1272">
        <v>48</v>
      </c>
      <c r="E21" s="1272">
        <f>SUM(E19:E20)</f>
        <v>67</v>
      </c>
      <c r="F21" s="1273">
        <f t="shared" ref="F21:N21" si="10">SUM(F19:F20)</f>
        <v>202</v>
      </c>
      <c r="G21" s="1272">
        <f t="shared" si="10"/>
        <v>0</v>
      </c>
      <c r="H21" s="1272">
        <f t="shared" si="10"/>
        <v>0</v>
      </c>
      <c r="I21" s="1272">
        <f t="shared" si="10"/>
        <v>0</v>
      </c>
      <c r="J21" s="1273">
        <f t="shared" si="10"/>
        <v>0</v>
      </c>
      <c r="K21" s="1272">
        <f t="shared" si="10"/>
        <v>2728</v>
      </c>
      <c r="L21" s="1272">
        <f t="shared" si="10"/>
        <v>3997</v>
      </c>
      <c r="M21" s="1272">
        <f t="shared" si="10"/>
        <v>3727</v>
      </c>
      <c r="N21" s="1274">
        <f t="shared" si="10"/>
        <v>3702</v>
      </c>
      <c r="O21" s="1272">
        <f t="shared" ref="O21:Z21" si="11">SUM(O19:O20)</f>
        <v>0</v>
      </c>
      <c r="P21" s="1272">
        <f t="shared" si="11"/>
        <v>0</v>
      </c>
      <c r="Q21" s="1272">
        <f t="shared" si="11"/>
        <v>0</v>
      </c>
      <c r="R21" s="1274">
        <f t="shared" si="11"/>
        <v>0</v>
      </c>
      <c r="S21" s="1272">
        <f t="shared" si="11"/>
        <v>0</v>
      </c>
      <c r="T21" s="1272">
        <f t="shared" si="11"/>
        <v>0</v>
      </c>
      <c r="U21" s="1272">
        <f t="shared" si="11"/>
        <v>0</v>
      </c>
      <c r="V21" s="1274">
        <f t="shared" si="11"/>
        <v>0</v>
      </c>
      <c r="W21" s="1272">
        <f t="shared" si="11"/>
        <v>0</v>
      </c>
      <c r="X21" s="1272">
        <f t="shared" si="11"/>
        <v>0</v>
      </c>
      <c r="Y21" s="1272">
        <f t="shared" si="11"/>
        <v>0</v>
      </c>
      <c r="Z21" s="1274">
        <f t="shared" si="11"/>
        <v>0</v>
      </c>
      <c r="AA21" s="1275">
        <f t="shared" ref="AA21:AC21" si="12">SUM(AA19:AA20)</f>
        <v>2780</v>
      </c>
      <c r="AB21" s="1272">
        <f t="shared" si="12"/>
        <v>4045</v>
      </c>
      <c r="AC21" s="1272">
        <f t="shared" si="12"/>
        <v>3794</v>
      </c>
      <c r="AD21" s="1274">
        <f t="shared" ref="AD21" si="13">SUM(AD19:AD20)</f>
        <v>3904</v>
      </c>
    </row>
    <row r="22" spans="1:30" s="332" customFormat="1" ht="22.5" customHeight="1">
      <c r="A22" s="322" t="s">
        <v>481</v>
      </c>
      <c r="B22" s="243" t="s">
        <v>743</v>
      </c>
      <c r="C22" s="255">
        <v>5</v>
      </c>
      <c r="D22" s="255"/>
      <c r="E22" s="255">
        <v>41</v>
      </c>
      <c r="F22" s="340">
        <v>34</v>
      </c>
      <c r="G22" s="255"/>
      <c r="H22" s="255"/>
      <c r="I22" s="255"/>
      <c r="J22" s="340"/>
      <c r="K22" s="255">
        <v>2581</v>
      </c>
      <c r="L22" s="255">
        <v>3522</v>
      </c>
      <c r="M22" s="255">
        <v>3524</v>
      </c>
      <c r="N22" s="323">
        <v>3816</v>
      </c>
      <c r="O22" s="255"/>
      <c r="P22" s="255"/>
      <c r="Q22" s="255"/>
      <c r="R22" s="323"/>
      <c r="S22" s="255"/>
      <c r="T22" s="255"/>
      <c r="U22" s="255"/>
      <c r="V22" s="323"/>
      <c r="W22" s="255"/>
      <c r="X22" s="255"/>
      <c r="Y22" s="255"/>
      <c r="Z22" s="323"/>
      <c r="AA22" s="254">
        <f>+W22+S22+O22+K22+G22+C22</f>
        <v>2586</v>
      </c>
      <c r="AB22" s="255">
        <f>+X22+T22+P22+L22+H22+D22</f>
        <v>3522</v>
      </c>
      <c r="AC22" s="255">
        <f>+Y22+U22+Q22+M22+I22+E22</f>
        <v>3565</v>
      </c>
      <c r="AD22" s="323">
        <f>+Z22+V22+R22+N22+J22+F22</f>
        <v>3850</v>
      </c>
    </row>
    <row r="23" spans="1:30" s="332" customFormat="1" ht="22.5" customHeight="1">
      <c r="A23" s="1026" t="s">
        <v>866</v>
      </c>
      <c r="B23" s="1045"/>
      <c r="C23" s="1276">
        <v>214</v>
      </c>
      <c r="D23" s="1276">
        <v>71</v>
      </c>
      <c r="E23" s="1276">
        <f>+E14+E18+E21+E22</f>
        <v>247</v>
      </c>
      <c r="F23" s="1277">
        <f t="shared" ref="F23:N23" si="14">+F14+F18+F21+F22</f>
        <v>586</v>
      </c>
      <c r="G23" s="1276">
        <f t="shared" si="14"/>
        <v>0</v>
      </c>
      <c r="H23" s="1276">
        <f t="shared" si="14"/>
        <v>0</v>
      </c>
      <c r="I23" s="1276">
        <f t="shared" si="14"/>
        <v>0</v>
      </c>
      <c r="J23" s="1277">
        <f t="shared" si="14"/>
        <v>0</v>
      </c>
      <c r="K23" s="1276">
        <f t="shared" si="14"/>
        <v>17972</v>
      </c>
      <c r="L23" s="1276">
        <f t="shared" si="14"/>
        <v>23681</v>
      </c>
      <c r="M23" s="1276">
        <f t="shared" si="14"/>
        <v>26251</v>
      </c>
      <c r="N23" s="1277">
        <f t="shared" si="14"/>
        <v>27332</v>
      </c>
      <c r="O23" s="1276">
        <f t="shared" ref="O23:Z23" si="15">+O14+O18+O21+O22</f>
        <v>0</v>
      </c>
      <c r="P23" s="1276">
        <f t="shared" si="15"/>
        <v>0</v>
      </c>
      <c r="Q23" s="1276">
        <f t="shared" si="15"/>
        <v>0</v>
      </c>
      <c r="R23" s="1277">
        <f t="shared" si="15"/>
        <v>0</v>
      </c>
      <c r="S23" s="1276">
        <f t="shared" si="15"/>
        <v>0</v>
      </c>
      <c r="T23" s="1276">
        <f t="shared" si="15"/>
        <v>0</v>
      </c>
      <c r="U23" s="1276">
        <f t="shared" si="15"/>
        <v>0</v>
      </c>
      <c r="V23" s="1277">
        <f t="shared" si="15"/>
        <v>0</v>
      </c>
      <c r="W23" s="1276">
        <f t="shared" si="15"/>
        <v>0</v>
      </c>
      <c r="X23" s="1276">
        <f t="shared" si="15"/>
        <v>0</v>
      </c>
      <c r="Y23" s="1276">
        <f t="shared" si="15"/>
        <v>0</v>
      </c>
      <c r="Z23" s="1277">
        <f t="shared" si="15"/>
        <v>0</v>
      </c>
      <c r="AA23" s="1278">
        <f t="shared" ref="AA23:AC23" si="16">+AA14+AA18+AA21+AA22</f>
        <v>18186</v>
      </c>
      <c r="AB23" s="1276">
        <f t="shared" si="16"/>
        <v>23752</v>
      </c>
      <c r="AC23" s="1276">
        <f t="shared" si="16"/>
        <v>26498</v>
      </c>
      <c r="AD23" s="1277">
        <f t="shared" ref="AD23" si="17">+AD14+AD18+AD21+AD22</f>
        <v>27918</v>
      </c>
    </row>
    <row r="24" spans="1:30" s="332" customFormat="1" ht="22.5" customHeight="1">
      <c r="A24" s="322" t="s">
        <v>867</v>
      </c>
      <c r="B24" s="211" t="s">
        <v>1176</v>
      </c>
      <c r="C24" s="255">
        <v>114</v>
      </c>
      <c r="D24" s="255">
        <v>345</v>
      </c>
      <c r="E24" s="255">
        <v>188</v>
      </c>
      <c r="F24" s="340">
        <v>291</v>
      </c>
      <c r="G24" s="255"/>
      <c r="H24" s="255"/>
      <c r="I24" s="255"/>
      <c r="J24" s="340"/>
      <c r="K24" s="255">
        <v>3726</v>
      </c>
      <c r="L24" s="255">
        <v>6066</v>
      </c>
      <c r="M24" s="255">
        <v>7801</v>
      </c>
      <c r="N24" s="323">
        <v>7853</v>
      </c>
      <c r="O24" s="255"/>
      <c r="P24" s="255"/>
      <c r="Q24" s="255"/>
      <c r="R24" s="323"/>
      <c r="S24" s="255"/>
      <c r="T24" s="255"/>
      <c r="U24" s="255"/>
      <c r="V24" s="323"/>
      <c r="W24" s="255"/>
      <c r="X24" s="255"/>
      <c r="Y24" s="255"/>
      <c r="Z24" s="323"/>
      <c r="AA24" s="254">
        <f t="shared" ref="AA24:AD30" si="18">+W24+S24+O24+K24+G24+C24</f>
        <v>3840</v>
      </c>
      <c r="AB24" s="255">
        <f t="shared" si="18"/>
        <v>6411</v>
      </c>
      <c r="AC24" s="255">
        <f t="shared" si="18"/>
        <v>7989</v>
      </c>
      <c r="AD24" s="323">
        <f t="shared" si="18"/>
        <v>8144</v>
      </c>
    </row>
    <row r="25" spans="1:30" s="332" customFormat="1" ht="22.5" customHeight="1">
      <c r="A25" s="322"/>
      <c r="B25" s="211" t="s">
        <v>1175</v>
      </c>
      <c r="C25" s="255"/>
      <c r="D25" s="255"/>
      <c r="E25" s="255">
        <v>49</v>
      </c>
      <c r="F25" s="340">
        <v>57</v>
      </c>
      <c r="G25" s="255"/>
      <c r="H25" s="255"/>
      <c r="I25" s="255"/>
      <c r="J25" s="340"/>
      <c r="K25" s="255">
        <v>4610</v>
      </c>
      <c r="L25" s="255">
        <v>5767</v>
      </c>
      <c r="M25" s="255">
        <v>7116</v>
      </c>
      <c r="N25" s="323">
        <v>8010</v>
      </c>
      <c r="O25" s="255"/>
      <c r="P25" s="255"/>
      <c r="Q25" s="255"/>
      <c r="R25" s="323"/>
      <c r="S25" s="255"/>
      <c r="T25" s="255"/>
      <c r="U25" s="255"/>
      <c r="V25" s="323"/>
      <c r="W25" s="255"/>
      <c r="X25" s="255"/>
      <c r="Y25" s="255"/>
      <c r="Z25" s="323"/>
      <c r="AA25" s="254">
        <f t="shared" si="18"/>
        <v>4610</v>
      </c>
      <c r="AB25" s="255">
        <f t="shared" si="18"/>
        <v>5767</v>
      </c>
      <c r="AC25" s="255">
        <f t="shared" si="18"/>
        <v>7165</v>
      </c>
      <c r="AD25" s="323">
        <f t="shared" si="18"/>
        <v>8067</v>
      </c>
    </row>
    <row r="26" spans="1:30" s="332" customFormat="1" ht="22.5" customHeight="1">
      <c r="A26" s="322"/>
      <c r="B26" s="243" t="s">
        <v>489</v>
      </c>
      <c r="C26" s="255"/>
      <c r="D26" s="255"/>
      <c r="E26" s="255">
        <v>2</v>
      </c>
      <c r="F26" s="340">
        <v>3</v>
      </c>
      <c r="G26" s="255"/>
      <c r="H26" s="255"/>
      <c r="I26" s="255"/>
      <c r="J26" s="340"/>
      <c r="K26" s="255">
        <v>338</v>
      </c>
      <c r="L26" s="255">
        <v>742</v>
      </c>
      <c r="M26" s="255">
        <v>817</v>
      </c>
      <c r="N26" s="323">
        <v>992</v>
      </c>
      <c r="O26" s="255"/>
      <c r="P26" s="255"/>
      <c r="Q26" s="255"/>
      <c r="R26" s="323"/>
      <c r="S26" s="255"/>
      <c r="T26" s="255"/>
      <c r="U26" s="255"/>
      <c r="V26" s="323"/>
      <c r="W26" s="255"/>
      <c r="X26" s="255"/>
      <c r="Y26" s="255"/>
      <c r="Z26" s="323"/>
      <c r="AA26" s="254">
        <f t="shared" si="18"/>
        <v>338</v>
      </c>
      <c r="AB26" s="255">
        <f t="shared" si="18"/>
        <v>742</v>
      </c>
      <c r="AC26" s="255">
        <f t="shared" si="18"/>
        <v>819</v>
      </c>
      <c r="AD26" s="323">
        <f t="shared" si="18"/>
        <v>995</v>
      </c>
    </row>
    <row r="27" spans="1:30" s="332" customFormat="1" ht="22.5" customHeight="1">
      <c r="A27" s="322"/>
      <c r="B27" s="211" t="s">
        <v>1338</v>
      </c>
      <c r="C27" s="255"/>
      <c r="D27" s="255"/>
      <c r="E27" s="255"/>
      <c r="F27" s="340">
        <v>0</v>
      </c>
      <c r="G27" s="255"/>
      <c r="H27" s="255"/>
      <c r="I27" s="255"/>
      <c r="J27" s="340"/>
      <c r="K27" s="255"/>
      <c r="L27" s="255"/>
      <c r="M27" s="255"/>
      <c r="N27" s="323">
        <v>0</v>
      </c>
      <c r="O27" s="255"/>
      <c r="P27" s="255"/>
      <c r="Q27" s="255"/>
      <c r="R27" s="323"/>
      <c r="S27" s="255"/>
      <c r="T27" s="255"/>
      <c r="U27" s="255"/>
      <c r="V27" s="323"/>
      <c r="W27" s="255"/>
      <c r="X27" s="255"/>
      <c r="Y27" s="255"/>
      <c r="Z27" s="323"/>
      <c r="AA27" s="254">
        <f t="shared" si="18"/>
        <v>0</v>
      </c>
      <c r="AB27" s="255">
        <f t="shared" si="18"/>
        <v>0</v>
      </c>
      <c r="AC27" s="255">
        <f t="shared" si="18"/>
        <v>0</v>
      </c>
      <c r="AD27" s="323">
        <f t="shared" si="18"/>
        <v>0</v>
      </c>
    </row>
    <row r="28" spans="1:30" s="332" customFormat="1" ht="22.5" customHeight="1">
      <c r="A28" s="322"/>
      <c r="B28" s="211" t="s">
        <v>1059</v>
      </c>
      <c r="C28" s="255"/>
      <c r="D28" s="255"/>
      <c r="E28" s="255"/>
      <c r="F28" s="340">
        <v>0</v>
      </c>
      <c r="G28" s="255"/>
      <c r="H28" s="255"/>
      <c r="I28" s="255"/>
      <c r="J28" s="340"/>
      <c r="K28" s="255"/>
      <c r="L28" s="255"/>
      <c r="M28" s="255"/>
      <c r="N28" s="323">
        <v>0</v>
      </c>
      <c r="O28" s="255"/>
      <c r="P28" s="255"/>
      <c r="Q28" s="255"/>
      <c r="R28" s="323"/>
      <c r="S28" s="255"/>
      <c r="T28" s="255"/>
      <c r="U28" s="255"/>
      <c r="V28" s="323"/>
      <c r="W28" s="255"/>
      <c r="X28" s="255"/>
      <c r="Y28" s="255"/>
      <c r="Z28" s="323"/>
      <c r="AA28" s="254">
        <f t="shared" si="18"/>
        <v>0</v>
      </c>
      <c r="AB28" s="255">
        <f t="shared" si="18"/>
        <v>0</v>
      </c>
      <c r="AC28" s="255">
        <f t="shared" si="18"/>
        <v>0</v>
      </c>
      <c r="AD28" s="323">
        <f t="shared" si="18"/>
        <v>0</v>
      </c>
    </row>
    <row r="29" spans="1:30" s="332" customFormat="1" ht="22.5" customHeight="1">
      <c r="A29" s="322"/>
      <c r="B29" s="211" t="s">
        <v>1337</v>
      </c>
      <c r="C29" s="255"/>
      <c r="D29" s="255"/>
      <c r="E29" s="255"/>
      <c r="F29" s="340">
        <v>0</v>
      </c>
      <c r="G29" s="255"/>
      <c r="H29" s="255"/>
      <c r="I29" s="255"/>
      <c r="J29" s="340"/>
      <c r="K29" s="255"/>
      <c r="L29" s="255"/>
      <c r="M29" s="255"/>
      <c r="N29" s="323">
        <v>0</v>
      </c>
      <c r="O29" s="255"/>
      <c r="P29" s="255"/>
      <c r="Q29" s="255"/>
      <c r="R29" s="323"/>
      <c r="S29" s="255"/>
      <c r="T29" s="255"/>
      <c r="U29" s="255"/>
      <c r="V29" s="323"/>
      <c r="W29" s="255"/>
      <c r="X29" s="255"/>
      <c r="Y29" s="255"/>
      <c r="Z29" s="323"/>
      <c r="AA29" s="254">
        <f t="shared" si="18"/>
        <v>0</v>
      </c>
      <c r="AB29" s="255">
        <f t="shared" si="18"/>
        <v>0</v>
      </c>
      <c r="AC29" s="255">
        <f t="shared" si="18"/>
        <v>0</v>
      </c>
      <c r="AD29" s="323">
        <f t="shared" si="18"/>
        <v>0</v>
      </c>
    </row>
    <row r="30" spans="1:30" s="332" customFormat="1" ht="22.5" customHeight="1">
      <c r="A30" s="322"/>
      <c r="B30" s="243" t="s">
        <v>747</v>
      </c>
      <c r="C30" s="255">
        <v>7</v>
      </c>
      <c r="D30" s="255">
        <v>57</v>
      </c>
      <c r="E30" s="255">
        <v>28</v>
      </c>
      <c r="F30" s="340">
        <v>54</v>
      </c>
      <c r="G30" s="255"/>
      <c r="H30" s="255"/>
      <c r="I30" s="255"/>
      <c r="J30" s="340"/>
      <c r="K30" s="255">
        <v>1151</v>
      </c>
      <c r="L30" s="255">
        <v>2233</v>
      </c>
      <c r="M30" s="255">
        <v>2429</v>
      </c>
      <c r="N30" s="323">
        <v>2680</v>
      </c>
      <c r="O30" s="255"/>
      <c r="P30" s="255"/>
      <c r="Q30" s="255"/>
      <c r="R30" s="323"/>
      <c r="S30" s="255"/>
      <c r="T30" s="255"/>
      <c r="U30" s="255"/>
      <c r="V30" s="323"/>
      <c r="W30" s="255"/>
      <c r="X30" s="255"/>
      <c r="Y30" s="255"/>
      <c r="Z30" s="323"/>
      <c r="AA30" s="254">
        <f t="shared" si="18"/>
        <v>1158</v>
      </c>
      <c r="AB30" s="255">
        <f t="shared" si="18"/>
        <v>2290</v>
      </c>
      <c r="AC30" s="255">
        <f t="shared" si="18"/>
        <v>2457</v>
      </c>
      <c r="AD30" s="323">
        <f t="shared" si="18"/>
        <v>2734</v>
      </c>
    </row>
    <row r="31" spans="1:30" s="332" customFormat="1" ht="22.5" customHeight="1">
      <c r="A31" s="322"/>
      <c r="B31" s="1271" t="s">
        <v>582</v>
      </c>
      <c r="C31" s="1272">
        <v>121</v>
      </c>
      <c r="D31" s="1272">
        <v>402</v>
      </c>
      <c r="E31" s="1272">
        <f>SUM(E24:E30)</f>
        <v>267</v>
      </c>
      <c r="F31" s="1273">
        <f t="shared" ref="F31:N31" si="19">SUM(F24:F30)</f>
        <v>405</v>
      </c>
      <c r="G31" s="1272">
        <f t="shared" si="19"/>
        <v>0</v>
      </c>
      <c r="H31" s="1272">
        <f t="shared" si="19"/>
        <v>0</v>
      </c>
      <c r="I31" s="1272">
        <f t="shared" si="19"/>
        <v>0</v>
      </c>
      <c r="J31" s="1273">
        <f t="shared" si="19"/>
        <v>0</v>
      </c>
      <c r="K31" s="1272">
        <f t="shared" si="19"/>
        <v>9825</v>
      </c>
      <c r="L31" s="1272">
        <f t="shared" si="19"/>
        <v>14808</v>
      </c>
      <c r="M31" s="1272">
        <f t="shared" si="19"/>
        <v>18163</v>
      </c>
      <c r="N31" s="1274">
        <f t="shared" si="19"/>
        <v>19535</v>
      </c>
      <c r="O31" s="1272">
        <f t="shared" ref="O31:Z31" si="20">SUM(O24:O30)</f>
        <v>0</v>
      </c>
      <c r="P31" s="1272">
        <f t="shared" si="20"/>
        <v>0</v>
      </c>
      <c r="Q31" s="1272">
        <f t="shared" si="20"/>
        <v>0</v>
      </c>
      <c r="R31" s="1274">
        <f t="shared" si="20"/>
        <v>0</v>
      </c>
      <c r="S31" s="1272">
        <f t="shared" si="20"/>
        <v>0</v>
      </c>
      <c r="T31" s="1272">
        <f t="shared" si="20"/>
        <v>0</v>
      </c>
      <c r="U31" s="1272">
        <f t="shared" si="20"/>
        <v>0</v>
      </c>
      <c r="V31" s="1274">
        <f t="shared" si="20"/>
        <v>0</v>
      </c>
      <c r="W31" s="1272">
        <f t="shared" si="20"/>
        <v>0</v>
      </c>
      <c r="X31" s="1272">
        <f t="shared" si="20"/>
        <v>0</v>
      </c>
      <c r="Y31" s="1272">
        <f t="shared" si="20"/>
        <v>0</v>
      </c>
      <c r="Z31" s="1274">
        <f t="shared" si="20"/>
        <v>0</v>
      </c>
      <c r="AA31" s="1275">
        <f t="shared" ref="AA31:AC31" si="21">SUM(AA24:AA30)</f>
        <v>9946</v>
      </c>
      <c r="AB31" s="1272">
        <f t="shared" si="21"/>
        <v>15210</v>
      </c>
      <c r="AC31" s="1272">
        <f t="shared" si="21"/>
        <v>18430</v>
      </c>
      <c r="AD31" s="1274">
        <f t="shared" ref="AD31" si="22">SUM(AD24:AD30)</f>
        <v>19940</v>
      </c>
    </row>
    <row r="32" spans="1:30" s="332" customFormat="1" ht="22.5" customHeight="1">
      <c r="A32" s="322" t="s">
        <v>484</v>
      </c>
      <c r="B32" s="243" t="s">
        <v>748</v>
      </c>
      <c r="C32" s="255">
        <v>51</v>
      </c>
      <c r="D32" s="255">
        <v>74</v>
      </c>
      <c r="E32" s="255">
        <v>69</v>
      </c>
      <c r="F32" s="340">
        <v>134</v>
      </c>
      <c r="G32" s="255"/>
      <c r="H32" s="255"/>
      <c r="I32" s="255"/>
      <c r="J32" s="340"/>
      <c r="K32" s="255">
        <v>2591</v>
      </c>
      <c r="L32" s="255">
        <v>3663</v>
      </c>
      <c r="M32" s="255">
        <v>3577</v>
      </c>
      <c r="N32" s="323">
        <v>3982</v>
      </c>
      <c r="O32" s="255"/>
      <c r="P32" s="255"/>
      <c r="Q32" s="255"/>
      <c r="R32" s="323"/>
      <c r="S32" s="255"/>
      <c r="T32" s="255"/>
      <c r="U32" s="255"/>
      <c r="V32" s="323"/>
      <c r="W32" s="255"/>
      <c r="X32" s="255"/>
      <c r="Y32" s="255"/>
      <c r="Z32" s="323"/>
      <c r="AA32" s="254">
        <f t="shared" ref="AA32:AD36" si="23">+W32+S32+O32+K32+G32+C32</f>
        <v>2642</v>
      </c>
      <c r="AB32" s="255">
        <f t="shared" si="23"/>
        <v>3737</v>
      </c>
      <c r="AC32" s="255">
        <f t="shared" si="23"/>
        <v>3646</v>
      </c>
      <c r="AD32" s="323">
        <f t="shared" si="23"/>
        <v>4116</v>
      </c>
    </row>
    <row r="33" spans="1:30" s="332" customFormat="1" ht="22.5" customHeight="1">
      <c r="A33" s="322"/>
      <c r="B33" s="211" t="s">
        <v>1296</v>
      </c>
      <c r="C33" s="255">
        <v>5</v>
      </c>
      <c r="D33" s="255"/>
      <c r="E33" s="255"/>
      <c r="F33" s="340">
        <v>0</v>
      </c>
      <c r="G33" s="255"/>
      <c r="H33" s="255"/>
      <c r="I33" s="255"/>
      <c r="J33" s="340"/>
      <c r="K33" s="255">
        <v>339</v>
      </c>
      <c r="L33" s="255">
        <v>689</v>
      </c>
      <c r="M33" s="255">
        <v>650</v>
      </c>
      <c r="N33" s="323">
        <v>749</v>
      </c>
      <c r="O33" s="255"/>
      <c r="P33" s="255"/>
      <c r="Q33" s="255"/>
      <c r="R33" s="323"/>
      <c r="S33" s="255"/>
      <c r="T33" s="255"/>
      <c r="U33" s="255"/>
      <c r="V33" s="323"/>
      <c r="W33" s="255"/>
      <c r="X33" s="255"/>
      <c r="Y33" s="255"/>
      <c r="Z33" s="323"/>
      <c r="AA33" s="254">
        <f t="shared" si="23"/>
        <v>344</v>
      </c>
      <c r="AB33" s="255">
        <f t="shared" si="23"/>
        <v>689</v>
      </c>
      <c r="AC33" s="255">
        <f t="shared" si="23"/>
        <v>650</v>
      </c>
      <c r="AD33" s="323">
        <f t="shared" si="23"/>
        <v>749</v>
      </c>
    </row>
    <row r="34" spans="1:30" s="332" customFormat="1" ht="22.5" customHeight="1">
      <c r="A34" s="322"/>
      <c r="B34" s="211" t="s">
        <v>1050</v>
      </c>
      <c r="C34" s="255">
        <v>4</v>
      </c>
      <c r="D34" s="255"/>
      <c r="E34" s="255"/>
      <c r="F34" s="340">
        <v>5</v>
      </c>
      <c r="G34" s="255"/>
      <c r="H34" s="255"/>
      <c r="I34" s="255"/>
      <c r="J34" s="340"/>
      <c r="K34" s="255">
        <v>554</v>
      </c>
      <c r="L34" s="255">
        <v>732</v>
      </c>
      <c r="M34" s="255">
        <v>631</v>
      </c>
      <c r="N34" s="323">
        <v>596</v>
      </c>
      <c r="O34" s="255"/>
      <c r="P34" s="255"/>
      <c r="Q34" s="255"/>
      <c r="R34" s="323"/>
      <c r="S34" s="255"/>
      <c r="T34" s="255"/>
      <c r="U34" s="255"/>
      <c r="V34" s="323"/>
      <c r="W34" s="255"/>
      <c r="X34" s="255"/>
      <c r="Y34" s="255"/>
      <c r="Z34" s="323"/>
      <c r="AA34" s="254">
        <f t="shared" si="23"/>
        <v>558</v>
      </c>
      <c r="AB34" s="255">
        <f t="shared" si="23"/>
        <v>732</v>
      </c>
      <c r="AC34" s="255">
        <f t="shared" si="23"/>
        <v>631</v>
      </c>
      <c r="AD34" s="323">
        <f t="shared" si="23"/>
        <v>601</v>
      </c>
    </row>
    <row r="35" spans="1:30" s="332" customFormat="1" ht="22.5" customHeight="1">
      <c r="A35" s="322"/>
      <c r="B35" s="211" t="s">
        <v>1094</v>
      </c>
      <c r="C35" s="255"/>
      <c r="D35" s="255"/>
      <c r="E35" s="255"/>
      <c r="F35" s="340">
        <v>0</v>
      </c>
      <c r="G35" s="255"/>
      <c r="H35" s="255"/>
      <c r="I35" s="255"/>
      <c r="J35" s="340"/>
      <c r="K35" s="255"/>
      <c r="L35" s="255"/>
      <c r="M35" s="255"/>
      <c r="N35" s="323">
        <v>0</v>
      </c>
      <c r="O35" s="255"/>
      <c r="P35" s="255"/>
      <c r="Q35" s="255"/>
      <c r="R35" s="323"/>
      <c r="S35" s="255"/>
      <c r="T35" s="255"/>
      <c r="U35" s="255"/>
      <c r="V35" s="323"/>
      <c r="W35" s="255"/>
      <c r="X35" s="255"/>
      <c r="Y35" s="255"/>
      <c r="Z35" s="323"/>
      <c r="AA35" s="254">
        <f t="shared" si="23"/>
        <v>0</v>
      </c>
      <c r="AB35" s="255">
        <f t="shared" si="23"/>
        <v>0</v>
      </c>
      <c r="AC35" s="255">
        <f t="shared" si="23"/>
        <v>0</v>
      </c>
      <c r="AD35" s="323">
        <f t="shared" si="23"/>
        <v>0</v>
      </c>
    </row>
    <row r="36" spans="1:30" s="332" customFormat="1" ht="22.5" customHeight="1">
      <c r="A36" s="322"/>
      <c r="B36" s="243" t="s">
        <v>868</v>
      </c>
      <c r="C36" s="255"/>
      <c r="D36" s="255"/>
      <c r="E36" s="255"/>
      <c r="F36" s="340">
        <v>0</v>
      </c>
      <c r="G36" s="255"/>
      <c r="H36" s="255"/>
      <c r="I36" s="255"/>
      <c r="J36" s="340"/>
      <c r="K36" s="255"/>
      <c r="L36" s="255"/>
      <c r="M36" s="255"/>
      <c r="N36" s="323">
        <v>0</v>
      </c>
      <c r="O36" s="255"/>
      <c r="P36" s="255"/>
      <c r="Q36" s="255"/>
      <c r="R36" s="323"/>
      <c r="S36" s="255"/>
      <c r="T36" s="255"/>
      <c r="U36" s="255"/>
      <c r="V36" s="323"/>
      <c r="W36" s="255"/>
      <c r="X36" s="255"/>
      <c r="Y36" s="255"/>
      <c r="Z36" s="323"/>
      <c r="AA36" s="254">
        <f t="shared" si="23"/>
        <v>0</v>
      </c>
      <c r="AB36" s="255">
        <f t="shared" si="23"/>
        <v>0</v>
      </c>
      <c r="AC36" s="255">
        <f t="shared" si="23"/>
        <v>0</v>
      </c>
      <c r="AD36" s="323">
        <f t="shared" si="23"/>
        <v>0</v>
      </c>
    </row>
    <row r="37" spans="1:30" s="332" customFormat="1" ht="22.5" customHeight="1">
      <c r="A37" s="322"/>
      <c r="B37" s="1271" t="s">
        <v>582</v>
      </c>
      <c r="C37" s="1272">
        <v>60</v>
      </c>
      <c r="D37" s="1272">
        <v>74</v>
      </c>
      <c r="E37" s="1272">
        <f>SUM(E32:E36)</f>
        <v>69</v>
      </c>
      <c r="F37" s="1273">
        <f t="shared" ref="F37:N37" si="24">SUM(F32:F36)</f>
        <v>139</v>
      </c>
      <c r="G37" s="1272">
        <f t="shared" si="24"/>
        <v>0</v>
      </c>
      <c r="H37" s="1272">
        <f t="shared" si="24"/>
        <v>0</v>
      </c>
      <c r="I37" s="1272">
        <f t="shared" si="24"/>
        <v>0</v>
      </c>
      <c r="J37" s="1273">
        <f t="shared" si="24"/>
        <v>0</v>
      </c>
      <c r="K37" s="1272">
        <f t="shared" si="24"/>
        <v>3484</v>
      </c>
      <c r="L37" s="1272">
        <f t="shared" si="24"/>
        <v>5084</v>
      </c>
      <c r="M37" s="1272">
        <f t="shared" si="24"/>
        <v>4858</v>
      </c>
      <c r="N37" s="1274">
        <f t="shared" si="24"/>
        <v>5327</v>
      </c>
      <c r="O37" s="1272">
        <f t="shared" ref="O37:Z37" si="25">SUM(O32:O36)</f>
        <v>0</v>
      </c>
      <c r="P37" s="1272">
        <f t="shared" si="25"/>
        <v>0</v>
      </c>
      <c r="Q37" s="1272">
        <f t="shared" si="25"/>
        <v>0</v>
      </c>
      <c r="R37" s="1274">
        <f t="shared" si="25"/>
        <v>0</v>
      </c>
      <c r="S37" s="1272">
        <f t="shared" si="25"/>
        <v>0</v>
      </c>
      <c r="T37" s="1272">
        <f t="shared" si="25"/>
        <v>0</v>
      </c>
      <c r="U37" s="1272">
        <f t="shared" si="25"/>
        <v>0</v>
      </c>
      <c r="V37" s="1274">
        <f t="shared" si="25"/>
        <v>0</v>
      </c>
      <c r="W37" s="1272">
        <f t="shared" si="25"/>
        <v>0</v>
      </c>
      <c r="X37" s="1272">
        <f t="shared" si="25"/>
        <v>0</v>
      </c>
      <c r="Y37" s="1272">
        <f t="shared" si="25"/>
        <v>0</v>
      </c>
      <c r="Z37" s="1274">
        <f t="shared" si="25"/>
        <v>0</v>
      </c>
      <c r="AA37" s="1275">
        <f>SUM(AA32:AA36)</f>
        <v>3544</v>
      </c>
      <c r="AB37" s="1272">
        <f>SUM(AB32:AB36)</f>
        <v>5158</v>
      </c>
      <c r="AC37" s="1272">
        <f>SUM(AC32:AC36)</f>
        <v>4927</v>
      </c>
      <c r="AD37" s="1274">
        <f>SUM(AD32:AD36)</f>
        <v>5466</v>
      </c>
    </row>
    <row r="38" spans="1:30" s="332" customFormat="1" ht="22.5" customHeight="1">
      <c r="A38" s="322" t="s">
        <v>485</v>
      </c>
      <c r="B38" s="211" t="s">
        <v>586</v>
      </c>
      <c r="C38" s="255">
        <v>7</v>
      </c>
      <c r="D38" s="255">
        <v>63</v>
      </c>
      <c r="E38" s="255">
        <v>34</v>
      </c>
      <c r="F38" s="340">
        <v>48</v>
      </c>
      <c r="G38" s="255"/>
      <c r="H38" s="255"/>
      <c r="I38" s="255"/>
      <c r="J38" s="340"/>
      <c r="K38" s="255">
        <v>3120</v>
      </c>
      <c r="L38" s="255">
        <v>4058</v>
      </c>
      <c r="M38" s="255">
        <v>3928</v>
      </c>
      <c r="N38" s="323">
        <v>4316</v>
      </c>
      <c r="O38" s="255"/>
      <c r="P38" s="255"/>
      <c r="Q38" s="255"/>
      <c r="R38" s="323"/>
      <c r="S38" s="255"/>
      <c r="T38" s="255"/>
      <c r="U38" s="255"/>
      <c r="V38" s="323"/>
      <c r="W38" s="255"/>
      <c r="X38" s="255"/>
      <c r="Y38" s="255"/>
      <c r="Z38" s="323"/>
      <c r="AA38" s="254">
        <f t="shared" ref="AA38:AD40" si="26">+W38+S38+O38+K38+G38+C38</f>
        <v>3127</v>
      </c>
      <c r="AB38" s="255">
        <f t="shared" si="26"/>
        <v>4121</v>
      </c>
      <c r="AC38" s="255">
        <f t="shared" si="26"/>
        <v>3962</v>
      </c>
      <c r="AD38" s="323">
        <f t="shared" si="26"/>
        <v>4364</v>
      </c>
    </row>
    <row r="39" spans="1:30" s="332" customFormat="1" ht="22.5" customHeight="1">
      <c r="A39" s="322"/>
      <c r="B39" s="243" t="s">
        <v>750</v>
      </c>
      <c r="C39" s="255"/>
      <c r="D39" s="255"/>
      <c r="E39" s="255">
        <v>3</v>
      </c>
      <c r="F39" s="340">
        <v>0</v>
      </c>
      <c r="G39" s="255"/>
      <c r="H39" s="255"/>
      <c r="I39" s="255"/>
      <c r="J39" s="340"/>
      <c r="K39" s="255">
        <v>513</v>
      </c>
      <c r="L39" s="255">
        <v>693</v>
      </c>
      <c r="M39" s="255">
        <v>709</v>
      </c>
      <c r="N39" s="323">
        <v>753</v>
      </c>
      <c r="O39" s="255"/>
      <c r="P39" s="255"/>
      <c r="Q39" s="255"/>
      <c r="R39" s="323"/>
      <c r="S39" s="255"/>
      <c r="T39" s="255"/>
      <c r="U39" s="255"/>
      <c r="V39" s="323"/>
      <c r="W39" s="255"/>
      <c r="X39" s="255"/>
      <c r="Y39" s="255"/>
      <c r="Z39" s="323"/>
      <c r="AA39" s="254">
        <f t="shared" si="26"/>
        <v>513</v>
      </c>
      <c r="AB39" s="255">
        <f t="shared" si="26"/>
        <v>693</v>
      </c>
      <c r="AC39" s="255">
        <f t="shared" si="26"/>
        <v>712</v>
      </c>
      <c r="AD39" s="323">
        <f t="shared" si="26"/>
        <v>753</v>
      </c>
    </row>
    <row r="40" spans="1:30" s="332" customFormat="1" ht="22.5" customHeight="1">
      <c r="A40" s="322"/>
      <c r="B40" s="211" t="s">
        <v>1051</v>
      </c>
      <c r="C40" s="255"/>
      <c r="D40" s="255">
        <v>1</v>
      </c>
      <c r="E40" s="255">
        <v>12</v>
      </c>
      <c r="F40" s="340">
        <v>0</v>
      </c>
      <c r="G40" s="255"/>
      <c r="H40" s="255"/>
      <c r="I40" s="255"/>
      <c r="J40" s="340"/>
      <c r="K40" s="255">
        <v>369</v>
      </c>
      <c r="L40" s="255">
        <v>477</v>
      </c>
      <c r="M40" s="255">
        <v>468</v>
      </c>
      <c r="N40" s="323">
        <v>384</v>
      </c>
      <c r="O40" s="255"/>
      <c r="P40" s="255"/>
      <c r="Q40" s="255"/>
      <c r="R40" s="323"/>
      <c r="S40" s="255"/>
      <c r="T40" s="255"/>
      <c r="U40" s="255"/>
      <c r="V40" s="323"/>
      <c r="W40" s="255"/>
      <c r="X40" s="255"/>
      <c r="Y40" s="255"/>
      <c r="Z40" s="323"/>
      <c r="AA40" s="254">
        <f t="shared" si="26"/>
        <v>369</v>
      </c>
      <c r="AB40" s="255">
        <f t="shared" si="26"/>
        <v>478</v>
      </c>
      <c r="AC40" s="255">
        <f t="shared" si="26"/>
        <v>480</v>
      </c>
      <c r="AD40" s="323">
        <f t="shared" si="26"/>
        <v>384</v>
      </c>
    </row>
    <row r="41" spans="1:30" s="332" customFormat="1" ht="22.5" customHeight="1">
      <c r="A41" s="322"/>
      <c r="B41" s="1271" t="s">
        <v>582</v>
      </c>
      <c r="C41" s="1272">
        <v>7</v>
      </c>
      <c r="D41" s="1272">
        <v>64</v>
      </c>
      <c r="E41" s="1272">
        <f t="shared" ref="E41:AC41" si="27">SUM(E38:E40)</f>
        <v>49</v>
      </c>
      <c r="F41" s="1273">
        <f t="shared" si="27"/>
        <v>48</v>
      </c>
      <c r="G41" s="1272">
        <f t="shared" si="27"/>
        <v>0</v>
      </c>
      <c r="H41" s="1272">
        <f t="shared" si="27"/>
        <v>0</v>
      </c>
      <c r="I41" s="1272">
        <f t="shared" si="27"/>
        <v>0</v>
      </c>
      <c r="J41" s="1273">
        <f t="shared" si="27"/>
        <v>0</v>
      </c>
      <c r="K41" s="1272">
        <f t="shared" si="27"/>
        <v>4002</v>
      </c>
      <c r="L41" s="1272">
        <f t="shared" si="27"/>
        <v>5228</v>
      </c>
      <c r="M41" s="1272">
        <f t="shared" si="27"/>
        <v>5105</v>
      </c>
      <c r="N41" s="1274">
        <f t="shared" si="27"/>
        <v>5453</v>
      </c>
      <c r="O41" s="1272">
        <f t="shared" si="27"/>
        <v>0</v>
      </c>
      <c r="P41" s="1272">
        <f t="shared" si="27"/>
        <v>0</v>
      </c>
      <c r="Q41" s="1272">
        <f t="shared" si="27"/>
        <v>0</v>
      </c>
      <c r="R41" s="1274">
        <f t="shared" si="27"/>
        <v>0</v>
      </c>
      <c r="S41" s="1272">
        <f t="shared" si="27"/>
        <v>0</v>
      </c>
      <c r="T41" s="1272">
        <f t="shared" si="27"/>
        <v>0</v>
      </c>
      <c r="U41" s="1272">
        <f t="shared" si="27"/>
        <v>0</v>
      </c>
      <c r="V41" s="1274">
        <f t="shared" si="27"/>
        <v>0</v>
      </c>
      <c r="W41" s="1272">
        <f t="shared" si="27"/>
        <v>0</v>
      </c>
      <c r="X41" s="1272">
        <f t="shared" si="27"/>
        <v>0</v>
      </c>
      <c r="Y41" s="1272">
        <f t="shared" si="27"/>
        <v>0</v>
      </c>
      <c r="Z41" s="1274">
        <f t="shared" si="27"/>
        <v>0</v>
      </c>
      <c r="AA41" s="1275">
        <f t="shared" si="27"/>
        <v>4009</v>
      </c>
      <c r="AB41" s="1272">
        <f t="shared" si="27"/>
        <v>5292</v>
      </c>
      <c r="AC41" s="1272">
        <f t="shared" si="27"/>
        <v>5154</v>
      </c>
      <c r="AD41" s="1274">
        <f t="shared" ref="AD41" si="28">SUM(AD38:AD40)</f>
        <v>5501</v>
      </c>
    </row>
    <row r="42" spans="1:30" s="332" customFormat="1" ht="22.5" customHeight="1">
      <c r="A42" s="322" t="s">
        <v>486</v>
      </c>
      <c r="B42" s="243" t="s">
        <v>751</v>
      </c>
      <c r="C42" s="255">
        <v>13</v>
      </c>
      <c r="D42" s="255">
        <v>15</v>
      </c>
      <c r="E42" s="255">
        <v>4</v>
      </c>
      <c r="F42" s="340">
        <v>22</v>
      </c>
      <c r="G42" s="255"/>
      <c r="H42" s="255"/>
      <c r="I42" s="255"/>
      <c r="J42" s="340"/>
      <c r="K42" s="255">
        <v>2663</v>
      </c>
      <c r="L42" s="255">
        <v>2953</v>
      </c>
      <c r="M42" s="255">
        <v>3353</v>
      </c>
      <c r="N42" s="323">
        <v>2559</v>
      </c>
      <c r="O42" s="255"/>
      <c r="P42" s="255"/>
      <c r="Q42" s="255"/>
      <c r="R42" s="323"/>
      <c r="S42" s="255"/>
      <c r="T42" s="255"/>
      <c r="U42" s="255"/>
      <c r="V42" s="323"/>
      <c r="W42" s="255"/>
      <c r="X42" s="255"/>
      <c r="Y42" s="255"/>
      <c r="Z42" s="323"/>
      <c r="AA42" s="254">
        <f t="shared" ref="AA42:AD46" si="29">+W42+S42+O42+K42+G42+C42</f>
        <v>2676</v>
      </c>
      <c r="AB42" s="255">
        <f t="shared" si="29"/>
        <v>2968</v>
      </c>
      <c r="AC42" s="255">
        <f t="shared" si="29"/>
        <v>3357</v>
      </c>
      <c r="AD42" s="323">
        <f t="shared" si="29"/>
        <v>2581</v>
      </c>
    </row>
    <row r="43" spans="1:30" s="332" customFormat="1" ht="22.5" customHeight="1">
      <c r="A43" s="322" t="s">
        <v>869</v>
      </c>
      <c r="B43" s="211" t="s">
        <v>752</v>
      </c>
      <c r="C43" s="255">
        <v>61</v>
      </c>
      <c r="D43" s="255"/>
      <c r="E43" s="255"/>
      <c r="F43" s="340">
        <v>0</v>
      </c>
      <c r="G43" s="255"/>
      <c r="H43" s="255"/>
      <c r="I43" s="255"/>
      <c r="J43" s="340"/>
      <c r="K43" s="255">
        <v>6071</v>
      </c>
      <c r="L43" s="255">
        <v>6922</v>
      </c>
      <c r="M43" s="255">
        <v>10563</v>
      </c>
      <c r="N43" s="323">
        <v>8891</v>
      </c>
      <c r="O43" s="255"/>
      <c r="P43" s="255"/>
      <c r="Q43" s="255"/>
      <c r="R43" s="323"/>
      <c r="S43" s="255"/>
      <c r="T43" s="255"/>
      <c r="U43" s="255"/>
      <c r="V43" s="323"/>
      <c r="W43" s="255"/>
      <c r="X43" s="255"/>
      <c r="Y43" s="255"/>
      <c r="Z43" s="323"/>
      <c r="AA43" s="254">
        <f t="shared" si="29"/>
        <v>6132</v>
      </c>
      <c r="AB43" s="255">
        <f t="shared" si="29"/>
        <v>6922</v>
      </c>
      <c r="AC43" s="255">
        <f t="shared" si="29"/>
        <v>10563</v>
      </c>
      <c r="AD43" s="323">
        <f t="shared" si="29"/>
        <v>8891</v>
      </c>
    </row>
    <row r="44" spans="1:30" s="332" customFormat="1" ht="22.5" customHeight="1">
      <c r="A44" s="322"/>
      <c r="B44" s="211" t="s">
        <v>902</v>
      </c>
      <c r="C44" s="255"/>
      <c r="D44" s="255"/>
      <c r="E44" s="255"/>
      <c r="F44" s="340">
        <v>0</v>
      </c>
      <c r="G44" s="255"/>
      <c r="H44" s="255"/>
      <c r="I44" s="255"/>
      <c r="J44" s="340"/>
      <c r="K44" s="255"/>
      <c r="L44" s="255"/>
      <c r="M44" s="255"/>
      <c r="N44" s="323">
        <v>0</v>
      </c>
      <c r="O44" s="255"/>
      <c r="P44" s="255"/>
      <c r="Q44" s="255"/>
      <c r="R44" s="323"/>
      <c r="S44" s="255"/>
      <c r="T44" s="255"/>
      <c r="U44" s="255"/>
      <c r="V44" s="323"/>
      <c r="W44" s="255"/>
      <c r="X44" s="255"/>
      <c r="Y44" s="255"/>
      <c r="Z44" s="323"/>
      <c r="AA44" s="254">
        <f t="shared" si="29"/>
        <v>0</v>
      </c>
      <c r="AB44" s="255">
        <f t="shared" si="29"/>
        <v>0</v>
      </c>
      <c r="AC44" s="255">
        <f t="shared" si="29"/>
        <v>0</v>
      </c>
      <c r="AD44" s="323">
        <f t="shared" si="29"/>
        <v>0</v>
      </c>
    </row>
    <row r="45" spans="1:30" s="332" customFormat="1" ht="22.5" customHeight="1">
      <c r="A45" s="322" t="s">
        <v>488</v>
      </c>
      <c r="B45" s="211" t="s">
        <v>753</v>
      </c>
      <c r="C45" s="255">
        <v>155</v>
      </c>
      <c r="D45" s="255">
        <v>186</v>
      </c>
      <c r="E45" s="255">
        <v>121</v>
      </c>
      <c r="F45" s="340">
        <v>138</v>
      </c>
      <c r="G45" s="255"/>
      <c r="H45" s="255"/>
      <c r="I45" s="255"/>
      <c r="J45" s="340"/>
      <c r="K45" s="255">
        <v>2403</v>
      </c>
      <c r="L45" s="255">
        <v>4034</v>
      </c>
      <c r="M45" s="255">
        <v>3921</v>
      </c>
      <c r="N45" s="323">
        <v>4673</v>
      </c>
      <c r="O45" s="255"/>
      <c r="P45" s="255"/>
      <c r="Q45" s="255"/>
      <c r="R45" s="323"/>
      <c r="S45" s="255"/>
      <c r="T45" s="255"/>
      <c r="U45" s="255"/>
      <c r="V45" s="323"/>
      <c r="W45" s="255"/>
      <c r="X45" s="255"/>
      <c r="Y45" s="255"/>
      <c r="Z45" s="323"/>
      <c r="AA45" s="254">
        <f t="shared" si="29"/>
        <v>2558</v>
      </c>
      <c r="AB45" s="255">
        <f t="shared" si="29"/>
        <v>4220</v>
      </c>
      <c r="AC45" s="255">
        <f t="shared" si="29"/>
        <v>4042</v>
      </c>
      <c r="AD45" s="323">
        <f t="shared" si="29"/>
        <v>4811</v>
      </c>
    </row>
    <row r="46" spans="1:30" s="332" customFormat="1" ht="22.5" customHeight="1">
      <c r="A46" s="322"/>
      <c r="B46" s="211" t="s">
        <v>1045</v>
      </c>
      <c r="C46" s="255"/>
      <c r="D46" s="255">
        <v>2</v>
      </c>
      <c r="E46" s="255">
        <v>20</v>
      </c>
      <c r="F46" s="340">
        <v>33</v>
      </c>
      <c r="G46" s="255"/>
      <c r="H46" s="255"/>
      <c r="I46" s="255"/>
      <c r="J46" s="340"/>
      <c r="K46" s="255">
        <v>409</v>
      </c>
      <c r="L46" s="255">
        <v>608</v>
      </c>
      <c r="M46" s="255">
        <v>548</v>
      </c>
      <c r="N46" s="323">
        <v>552</v>
      </c>
      <c r="O46" s="255"/>
      <c r="P46" s="255"/>
      <c r="Q46" s="255"/>
      <c r="R46" s="323"/>
      <c r="S46" s="255"/>
      <c r="T46" s="255"/>
      <c r="U46" s="255"/>
      <c r="V46" s="323"/>
      <c r="W46" s="255"/>
      <c r="X46" s="255"/>
      <c r="Y46" s="255"/>
      <c r="Z46" s="323"/>
      <c r="AA46" s="254">
        <f t="shared" si="29"/>
        <v>409</v>
      </c>
      <c r="AB46" s="255">
        <f t="shared" si="29"/>
        <v>610</v>
      </c>
      <c r="AC46" s="255">
        <f t="shared" si="29"/>
        <v>568</v>
      </c>
      <c r="AD46" s="323">
        <f t="shared" si="29"/>
        <v>585</v>
      </c>
    </row>
    <row r="47" spans="1:30" s="332" customFormat="1" ht="22.5" customHeight="1">
      <c r="A47" s="322"/>
      <c r="B47" s="1279" t="s">
        <v>582</v>
      </c>
      <c r="C47" s="1272">
        <v>155</v>
      </c>
      <c r="D47" s="1272">
        <v>188</v>
      </c>
      <c r="E47" s="1272">
        <f>SUM(E45:E46)</f>
        <v>141</v>
      </c>
      <c r="F47" s="1273">
        <f t="shared" ref="F47:Z47" si="30">SUM(F45:F46)</f>
        <v>171</v>
      </c>
      <c r="G47" s="1272">
        <f t="shared" si="30"/>
        <v>0</v>
      </c>
      <c r="H47" s="1272">
        <f t="shared" si="30"/>
        <v>0</v>
      </c>
      <c r="I47" s="1272">
        <f t="shared" si="30"/>
        <v>0</v>
      </c>
      <c r="J47" s="1273">
        <f t="shared" si="30"/>
        <v>0</v>
      </c>
      <c r="K47" s="1272">
        <f t="shared" si="30"/>
        <v>2812</v>
      </c>
      <c r="L47" s="1272">
        <f t="shared" si="30"/>
        <v>4642</v>
      </c>
      <c r="M47" s="1272">
        <f t="shared" si="30"/>
        <v>4469</v>
      </c>
      <c r="N47" s="1274">
        <f t="shared" si="30"/>
        <v>5225</v>
      </c>
      <c r="O47" s="1272">
        <f t="shared" si="30"/>
        <v>0</v>
      </c>
      <c r="P47" s="1272">
        <f t="shared" si="30"/>
        <v>0</v>
      </c>
      <c r="Q47" s="1272">
        <f t="shared" si="30"/>
        <v>0</v>
      </c>
      <c r="R47" s="1274">
        <f t="shared" si="30"/>
        <v>0</v>
      </c>
      <c r="S47" s="1272">
        <f t="shared" si="30"/>
        <v>0</v>
      </c>
      <c r="T47" s="1272">
        <f t="shared" si="30"/>
        <v>0</v>
      </c>
      <c r="U47" s="1272">
        <f t="shared" si="30"/>
        <v>0</v>
      </c>
      <c r="V47" s="1274">
        <f t="shared" si="30"/>
        <v>0</v>
      </c>
      <c r="W47" s="1272">
        <f t="shared" si="30"/>
        <v>0</v>
      </c>
      <c r="X47" s="1272">
        <f t="shared" si="30"/>
        <v>0</v>
      </c>
      <c r="Y47" s="1272">
        <f t="shared" si="30"/>
        <v>0</v>
      </c>
      <c r="Z47" s="1274">
        <f t="shared" si="30"/>
        <v>0</v>
      </c>
      <c r="AA47" s="1275">
        <f>SUM(AA45:AA46)</f>
        <v>2967</v>
      </c>
      <c r="AB47" s="1272">
        <f>SUM(AB45:AB46)</f>
        <v>4830</v>
      </c>
      <c r="AC47" s="1272">
        <f>SUM(AC45:AC46)</f>
        <v>4610</v>
      </c>
      <c r="AD47" s="1274">
        <f>SUM(AD45:AD46)</f>
        <v>5396</v>
      </c>
    </row>
    <row r="48" spans="1:30" s="6" customFormat="1" ht="22.5" customHeight="1">
      <c r="A48" s="1280" t="s">
        <v>870</v>
      </c>
      <c r="B48" s="1281"/>
      <c r="C48" s="1282">
        <v>417</v>
      </c>
      <c r="D48" s="1282">
        <v>743</v>
      </c>
      <c r="E48" s="1282">
        <f>+E31+E37+E41+E42+E43+E47+E44</f>
        <v>530</v>
      </c>
      <c r="F48" s="1283">
        <f t="shared" ref="F48:Z48" si="31">+F31+F37+F41+F42+F43+F47+F44</f>
        <v>785</v>
      </c>
      <c r="G48" s="1282">
        <f t="shared" si="31"/>
        <v>0</v>
      </c>
      <c r="H48" s="1282">
        <f t="shared" si="31"/>
        <v>0</v>
      </c>
      <c r="I48" s="1282">
        <f t="shared" si="31"/>
        <v>0</v>
      </c>
      <c r="J48" s="1283">
        <f t="shared" si="31"/>
        <v>0</v>
      </c>
      <c r="K48" s="1282">
        <f t="shared" si="31"/>
        <v>28857</v>
      </c>
      <c r="L48" s="1282">
        <f t="shared" si="31"/>
        <v>39637</v>
      </c>
      <c r="M48" s="1282">
        <f t="shared" si="31"/>
        <v>46511</v>
      </c>
      <c r="N48" s="1283">
        <f t="shared" si="31"/>
        <v>46990</v>
      </c>
      <c r="O48" s="1282">
        <f t="shared" si="31"/>
        <v>0</v>
      </c>
      <c r="P48" s="1282">
        <f t="shared" si="31"/>
        <v>0</v>
      </c>
      <c r="Q48" s="1282">
        <f t="shared" si="31"/>
        <v>0</v>
      </c>
      <c r="R48" s="1283">
        <f t="shared" si="31"/>
        <v>0</v>
      </c>
      <c r="S48" s="1282">
        <f t="shared" si="31"/>
        <v>0</v>
      </c>
      <c r="T48" s="1282">
        <f t="shared" si="31"/>
        <v>0</v>
      </c>
      <c r="U48" s="1282">
        <f t="shared" si="31"/>
        <v>0</v>
      </c>
      <c r="V48" s="1283">
        <f t="shared" si="31"/>
        <v>0</v>
      </c>
      <c r="W48" s="1282">
        <f t="shared" si="31"/>
        <v>0</v>
      </c>
      <c r="X48" s="1282">
        <f t="shared" si="31"/>
        <v>0</v>
      </c>
      <c r="Y48" s="1282">
        <f t="shared" si="31"/>
        <v>0</v>
      </c>
      <c r="Z48" s="1283">
        <f t="shared" si="31"/>
        <v>0</v>
      </c>
      <c r="AA48" s="1284">
        <f>+AA31+AA37+AA41+AA42+AA43+AA47+AA44</f>
        <v>29274</v>
      </c>
      <c r="AB48" s="1282">
        <f>+AB31+AB37+AB41+AB42+AB43+AB47+AB44</f>
        <v>40380</v>
      </c>
      <c r="AC48" s="1282">
        <f>+AC31+AC37+AC41+AC42+AC43+AC47+AC44</f>
        <v>47041</v>
      </c>
      <c r="AD48" s="1283">
        <f>+AD31+AD37+AD41+AD42+AD43+AD47+AD44</f>
        <v>47775</v>
      </c>
    </row>
    <row r="49" spans="1:30" s="332" customFormat="1" ht="22.5" customHeight="1">
      <c r="A49" s="1578" t="s">
        <v>594</v>
      </c>
      <c r="B49" s="1579"/>
      <c r="C49" s="1285">
        <v>631</v>
      </c>
      <c r="D49" s="1285">
        <v>814</v>
      </c>
      <c r="E49" s="1285">
        <f t="shared" ref="E49:AC49" si="32">+E23+E48</f>
        <v>777</v>
      </c>
      <c r="F49" s="1286">
        <f t="shared" si="32"/>
        <v>1371</v>
      </c>
      <c r="G49" s="1285">
        <f t="shared" si="32"/>
        <v>0</v>
      </c>
      <c r="H49" s="1285">
        <f t="shared" si="32"/>
        <v>0</v>
      </c>
      <c r="I49" s="1285">
        <f t="shared" si="32"/>
        <v>0</v>
      </c>
      <c r="J49" s="1286">
        <f t="shared" si="32"/>
        <v>0</v>
      </c>
      <c r="K49" s="1285">
        <f t="shared" si="32"/>
        <v>46829</v>
      </c>
      <c r="L49" s="1285">
        <f t="shared" si="32"/>
        <v>63318</v>
      </c>
      <c r="M49" s="1285">
        <f t="shared" si="32"/>
        <v>72762</v>
      </c>
      <c r="N49" s="1286">
        <f t="shared" si="32"/>
        <v>74322</v>
      </c>
      <c r="O49" s="1285">
        <f t="shared" si="32"/>
        <v>0</v>
      </c>
      <c r="P49" s="1285">
        <f t="shared" si="32"/>
        <v>0</v>
      </c>
      <c r="Q49" s="1285">
        <f t="shared" si="32"/>
        <v>0</v>
      </c>
      <c r="R49" s="1286">
        <f t="shared" si="32"/>
        <v>0</v>
      </c>
      <c r="S49" s="1285">
        <f t="shared" si="32"/>
        <v>0</v>
      </c>
      <c r="T49" s="1285">
        <f t="shared" si="32"/>
        <v>0</v>
      </c>
      <c r="U49" s="1285">
        <f t="shared" si="32"/>
        <v>0</v>
      </c>
      <c r="V49" s="1286">
        <f t="shared" si="32"/>
        <v>0</v>
      </c>
      <c r="W49" s="1285">
        <f t="shared" si="32"/>
        <v>0</v>
      </c>
      <c r="X49" s="1285">
        <f t="shared" si="32"/>
        <v>0</v>
      </c>
      <c r="Y49" s="1285">
        <f t="shared" si="32"/>
        <v>0</v>
      </c>
      <c r="Z49" s="1286">
        <f t="shared" si="32"/>
        <v>0</v>
      </c>
      <c r="AA49" s="1287">
        <f t="shared" si="32"/>
        <v>47460</v>
      </c>
      <c r="AB49" s="1285">
        <f t="shared" si="32"/>
        <v>64132</v>
      </c>
      <c r="AC49" s="1285">
        <f t="shared" si="32"/>
        <v>73539</v>
      </c>
      <c r="AD49" s="1286">
        <f t="shared" ref="AD49" si="33">+AD23+AD48</f>
        <v>75693</v>
      </c>
    </row>
    <row r="51" spans="1:30">
      <c r="F51" s="842"/>
      <c r="G51" s="271"/>
      <c r="H51" s="271"/>
      <c r="J51" s="842"/>
      <c r="K51" s="271"/>
      <c r="L51" s="271"/>
      <c r="N51" s="842"/>
      <c r="O51" s="271"/>
      <c r="P51" s="271"/>
      <c r="R51" s="842"/>
      <c r="S51" s="271"/>
      <c r="T51" s="271"/>
      <c r="V51" s="842"/>
      <c r="W51" s="271"/>
      <c r="X51" s="271"/>
      <c r="Z51" s="842"/>
      <c r="AA51" s="271"/>
      <c r="AB51" s="271"/>
      <c r="AC51" s="271"/>
      <c r="AD51" s="842"/>
    </row>
    <row r="52" spans="1:30">
      <c r="F52" s="271"/>
      <c r="G52" s="271"/>
      <c r="H52" s="271"/>
      <c r="J52" s="271"/>
      <c r="K52" s="271"/>
      <c r="L52" s="271"/>
      <c r="N52" s="271"/>
      <c r="O52" s="271"/>
      <c r="P52" s="271"/>
      <c r="R52" s="271"/>
      <c r="S52" s="271"/>
      <c r="T52" s="271"/>
      <c r="V52" s="271"/>
      <c r="W52" s="271"/>
      <c r="X52" s="271"/>
      <c r="Z52" s="271"/>
      <c r="AA52" s="271"/>
      <c r="AB52" s="271"/>
      <c r="AC52" s="271"/>
      <c r="AD52" s="271"/>
    </row>
    <row r="53" spans="1:30">
      <c r="F53" s="271"/>
      <c r="G53" s="271"/>
      <c r="H53" s="271"/>
      <c r="J53" s="271"/>
      <c r="K53" s="271"/>
      <c r="L53" s="271"/>
      <c r="N53" s="271"/>
      <c r="O53" s="271"/>
      <c r="P53" s="271"/>
      <c r="R53" s="271"/>
      <c r="S53" s="271"/>
      <c r="T53" s="271"/>
      <c r="V53" s="271"/>
      <c r="W53" s="271"/>
      <c r="X53" s="271"/>
      <c r="Z53" s="271"/>
      <c r="AA53" s="271"/>
      <c r="AB53" s="271"/>
      <c r="AC53" s="271"/>
      <c r="AD53" s="271"/>
    </row>
    <row r="54" spans="1:30">
      <c r="F54" s="271"/>
      <c r="G54" s="300"/>
      <c r="H54" s="300"/>
      <c r="J54" s="271"/>
      <c r="K54" s="300"/>
      <c r="L54" s="300"/>
      <c r="N54" s="271"/>
      <c r="O54" s="300"/>
      <c r="P54" s="300"/>
      <c r="R54" s="271"/>
      <c r="S54" s="300"/>
      <c r="T54" s="300"/>
      <c r="V54" s="271"/>
      <c r="W54" s="300"/>
      <c r="X54" s="300"/>
      <c r="Z54" s="271"/>
      <c r="AA54" s="300"/>
      <c r="AB54" s="300"/>
      <c r="AC54" s="300"/>
      <c r="AD54" s="271"/>
    </row>
    <row r="55" spans="1:30">
      <c r="F55" s="271"/>
      <c r="G55" s="286"/>
      <c r="H55" s="286"/>
      <c r="J55" s="271"/>
      <c r="K55" s="286"/>
      <c r="N55" s="271"/>
      <c r="R55" s="271"/>
      <c r="V55" s="271"/>
      <c r="Z55" s="271"/>
      <c r="AD55" s="271"/>
    </row>
    <row r="56" spans="1:30">
      <c r="F56" s="271"/>
      <c r="G56" s="286"/>
      <c r="H56" s="286"/>
      <c r="J56" s="271"/>
      <c r="K56" s="286"/>
      <c r="N56" s="271"/>
      <c r="R56" s="271"/>
      <c r="V56" s="271"/>
      <c r="Z56" s="271"/>
      <c r="AD56" s="271"/>
    </row>
  </sheetData>
  <mergeCells count="1">
    <mergeCell ref="A49:B49"/>
  </mergeCells>
  <phoneticPr fontId="18"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S56"/>
  <sheetViews>
    <sheetView workbookViewId="0">
      <selection activeCell="C7" sqref="C7"/>
    </sheetView>
  </sheetViews>
  <sheetFormatPr baseColWidth="10" defaultColWidth="11.42578125" defaultRowHeight="12.75"/>
  <cols>
    <col min="1" max="1" width="12.42578125" customWidth="1"/>
    <col min="2" max="2" width="19.7109375" customWidth="1"/>
    <col min="3" max="3" width="8.28515625" customWidth="1"/>
    <col min="4" max="5" width="8" customWidth="1"/>
    <col min="6" max="6" width="7.7109375" customWidth="1"/>
    <col min="7" max="8" width="8.28515625" customWidth="1"/>
    <col min="9" max="9" width="8" customWidth="1"/>
    <col min="10" max="10" width="7.7109375" customWidth="1"/>
    <col min="11" max="12" width="7.28515625" customWidth="1"/>
    <col min="13" max="13" width="8" customWidth="1"/>
    <col min="14" max="14" width="7.7109375" customWidth="1"/>
    <col min="15" max="16" width="8.28515625" customWidth="1"/>
    <col min="17" max="17" width="8" customWidth="1"/>
    <col min="18" max="18" width="7.7109375" customWidth="1"/>
    <col min="19" max="20" width="7.28515625" customWidth="1"/>
    <col min="21" max="21" width="8" customWidth="1"/>
    <col min="22" max="22" width="7.7109375" customWidth="1"/>
    <col min="23" max="24" width="7.28515625" customWidth="1"/>
    <col min="25" max="25" width="8" customWidth="1"/>
    <col min="26" max="26" width="7.7109375" customWidth="1"/>
    <col min="27" max="27" width="8.7109375" customWidth="1"/>
    <col min="28" max="29" width="8.5703125" customWidth="1"/>
    <col min="30" max="30" width="9.28515625" customWidth="1"/>
    <col min="31" max="16384" width="11.42578125" style="277"/>
  </cols>
  <sheetData>
    <row r="1" spans="1:30" ht="12">
      <c r="A1" s="1504" t="s">
        <v>857</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row>
    <row r="2" spans="1:30" ht="12">
      <c r="A2" s="1504" t="s">
        <v>873</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row>
    <row r="3" spans="1:30" ht="12">
      <c r="A3" s="1504" t="s">
        <v>814</v>
      </c>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row>
    <row r="4" spans="1:30" ht="12">
      <c r="A4" s="1504" t="str">
        <f>+'43'!A4:AC4</f>
        <v>2020 - 2023</v>
      </c>
      <c r="B4" s="1504"/>
      <c r="C4" s="1504"/>
      <c r="D4" s="1504"/>
      <c r="E4" s="1504"/>
      <c r="F4" s="1504"/>
      <c r="G4" s="1504"/>
      <c r="H4" s="1504"/>
      <c r="I4" s="1504"/>
      <c r="J4" s="1504"/>
      <c r="K4" s="1504"/>
      <c r="L4" s="1504"/>
      <c r="M4" s="1504"/>
      <c r="N4" s="1504"/>
      <c r="O4" s="1504"/>
      <c r="P4" s="1504"/>
      <c r="Q4" s="1504"/>
      <c r="R4" s="1504"/>
      <c r="S4" s="1504"/>
      <c r="T4" s="1504"/>
      <c r="U4" s="1504"/>
      <c r="V4" s="1504"/>
      <c r="W4" s="1504"/>
      <c r="X4" s="1504"/>
      <c r="Y4" s="1504"/>
      <c r="Z4" s="1504"/>
      <c r="AA4" s="1504"/>
      <c r="AB4" s="1504"/>
      <c r="AC4" s="1504"/>
      <c r="AD4" s="1504"/>
    </row>
    <row r="5" spans="1:30" ht="12">
      <c r="A5" s="277"/>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row>
    <row r="6" spans="1:30" ht="12">
      <c r="A6" s="277"/>
      <c r="B6" s="277"/>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row>
    <row r="7" spans="1:30" s="332" customFormat="1" ht="22.5" customHeight="1">
      <c r="A7" s="1266" t="s">
        <v>493</v>
      </c>
      <c r="B7" s="1267" t="s">
        <v>770</v>
      </c>
      <c r="C7" s="1105" t="s">
        <v>859</v>
      </c>
      <c r="D7" s="1259"/>
      <c r="E7" s="1259"/>
      <c r="F7" s="1117"/>
      <c r="G7" s="1105" t="s">
        <v>860</v>
      </c>
      <c r="H7" s="1259"/>
      <c r="I7" s="1259"/>
      <c r="J7" s="1117"/>
      <c r="K7" s="1105" t="s">
        <v>861</v>
      </c>
      <c r="L7" s="1259"/>
      <c r="M7" s="1259"/>
      <c r="N7" s="1117"/>
      <c r="O7" s="1105" t="s">
        <v>862</v>
      </c>
      <c r="P7" s="1259"/>
      <c r="Q7" s="1259"/>
      <c r="R7" s="1117"/>
      <c r="S7" s="1105" t="s">
        <v>863</v>
      </c>
      <c r="T7" s="1259"/>
      <c r="U7" s="1259"/>
      <c r="V7" s="1117"/>
      <c r="W7" s="1105" t="s">
        <v>1272</v>
      </c>
      <c r="X7" s="1259"/>
      <c r="Y7" s="1259"/>
      <c r="Z7" s="1117"/>
      <c r="AA7" s="1105" t="s">
        <v>594</v>
      </c>
      <c r="AB7" s="1259"/>
      <c r="AC7" s="1259"/>
      <c r="AD7" s="1117"/>
    </row>
    <row r="8" spans="1:30" s="332" customFormat="1" ht="22.5" customHeight="1">
      <c r="A8" s="1269"/>
      <c r="B8" s="1270"/>
      <c r="C8" s="1145">
        <f>+'41'!C8</f>
        <v>2020</v>
      </c>
      <c r="D8" s="1268">
        <f>+'41'!D8</f>
        <v>2021</v>
      </c>
      <c r="E8" s="1268">
        <f>+'41'!E8</f>
        <v>2022</v>
      </c>
      <c r="F8" s="1146">
        <f>+'41'!F8</f>
        <v>2023</v>
      </c>
      <c r="G8" s="1145">
        <f>+'41'!G8</f>
        <v>2020</v>
      </c>
      <c r="H8" s="1268">
        <f>+'41'!H8</f>
        <v>2021</v>
      </c>
      <c r="I8" s="1268">
        <f>+'41'!I8</f>
        <v>2022</v>
      </c>
      <c r="J8" s="1146">
        <f>+'41'!J8</f>
        <v>2023</v>
      </c>
      <c r="K8" s="1145">
        <f>+'41'!K8</f>
        <v>2020</v>
      </c>
      <c r="L8" s="1268">
        <f>+'41'!L8</f>
        <v>2021</v>
      </c>
      <c r="M8" s="1268">
        <f>+'41'!M8</f>
        <v>2022</v>
      </c>
      <c r="N8" s="1146">
        <f>+'41'!N8</f>
        <v>2023</v>
      </c>
      <c r="O8" s="1145">
        <f>+'41'!O8</f>
        <v>2020</v>
      </c>
      <c r="P8" s="1268">
        <f>+'41'!P8</f>
        <v>2021</v>
      </c>
      <c r="Q8" s="1268">
        <f>+'41'!Q8</f>
        <v>2022</v>
      </c>
      <c r="R8" s="1146">
        <f>+'41'!R8</f>
        <v>2023</v>
      </c>
      <c r="S8" s="1145">
        <f>+'41'!S8</f>
        <v>2020</v>
      </c>
      <c r="T8" s="1268">
        <f>+'41'!T8</f>
        <v>2021</v>
      </c>
      <c r="U8" s="1268">
        <f>+'41'!U8</f>
        <v>2022</v>
      </c>
      <c r="V8" s="1146">
        <f>+'41'!V8</f>
        <v>2023</v>
      </c>
      <c r="W8" s="1145">
        <f>+'41'!W8</f>
        <v>2020</v>
      </c>
      <c r="X8" s="1268">
        <f>+'41'!X8</f>
        <v>2021</v>
      </c>
      <c r="Y8" s="1268">
        <f>+'41'!Y8</f>
        <v>2022</v>
      </c>
      <c r="Z8" s="1146">
        <f>+'41'!Z8</f>
        <v>2023</v>
      </c>
      <c r="AA8" s="1145">
        <f>+'41'!AA8</f>
        <v>2020</v>
      </c>
      <c r="AB8" s="1268">
        <f>+'41'!AB8</f>
        <v>2021</v>
      </c>
      <c r="AC8" s="1268">
        <f>+'41'!AC8</f>
        <v>2022</v>
      </c>
      <c r="AD8" s="1146">
        <f>+'41'!AD8</f>
        <v>2023</v>
      </c>
    </row>
    <row r="9" spans="1:30" s="332" customFormat="1" ht="22.5" customHeight="1">
      <c r="A9" s="322" t="s">
        <v>864</v>
      </c>
      <c r="B9" s="211" t="s">
        <v>1173</v>
      </c>
      <c r="C9" s="255">
        <v>11067</v>
      </c>
      <c r="D9" s="255">
        <v>15441</v>
      </c>
      <c r="E9" s="255">
        <v>13775</v>
      </c>
      <c r="F9" s="340">
        <v>15157</v>
      </c>
      <c r="G9" s="255">
        <v>405</v>
      </c>
      <c r="H9" s="255">
        <v>830</v>
      </c>
      <c r="I9" s="255">
        <v>1215</v>
      </c>
      <c r="J9" s="340">
        <v>1754</v>
      </c>
      <c r="K9" s="255">
        <v>83</v>
      </c>
      <c r="L9" s="255">
        <v>213</v>
      </c>
      <c r="M9" s="255">
        <v>614</v>
      </c>
      <c r="N9" s="323">
        <v>625</v>
      </c>
      <c r="O9" s="255">
        <v>346</v>
      </c>
      <c r="P9" s="255">
        <v>1014</v>
      </c>
      <c r="Q9" s="255">
        <v>1521</v>
      </c>
      <c r="R9" s="323">
        <v>2363</v>
      </c>
      <c r="S9" s="255">
        <v>341</v>
      </c>
      <c r="T9" s="255">
        <v>565</v>
      </c>
      <c r="U9" s="255">
        <v>680</v>
      </c>
      <c r="V9" s="323">
        <v>948</v>
      </c>
      <c r="W9" s="255"/>
      <c r="X9" s="255">
        <v>6</v>
      </c>
      <c r="Y9" s="255"/>
      <c r="Z9" s="323">
        <v>0</v>
      </c>
      <c r="AA9" s="254">
        <f t="shared" ref="AA9:AD13" si="0">+W9+S9+O9+K9+G9+C9</f>
        <v>12242</v>
      </c>
      <c r="AB9" s="255">
        <f t="shared" si="0"/>
        <v>18069</v>
      </c>
      <c r="AC9" s="255">
        <f t="shared" si="0"/>
        <v>17805</v>
      </c>
      <c r="AD9" s="323">
        <f t="shared" si="0"/>
        <v>20847</v>
      </c>
    </row>
    <row r="10" spans="1:30" s="332" customFormat="1" ht="22.5" customHeight="1">
      <c r="A10" s="322"/>
      <c r="B10" s="211" t="s">
        <v>1174</v>
      </c>
      <c r="C10" s="255">
        <v>9100</v>
      </c>
      <c r="D10" s="255">
        <v>6227</v>
      </c>
      <c r="E10" s="255">
        <v>9897</v>
      </c>
      <c r="F10" s="340">
        <v>10378</v>
      </c>
      <c r="G10" s="255">
        <v>277</v>
      </c>
      <c r="H10" s="255">
        <v>9</v>
      </c>
      <c r="I10" s="255">
        <v>184</v>
      </c>
      <c r="J10" s="340">
        <v>405</v>
      </c>
      <c r="K10" s="255">
        <v>146</v>
      </c>
      <c r="L10" s="255">
        <v>244</v>
      </c>
      <c r="M10" s="255">
        <v>302</v>
      </c>
      <c r="N10" s="323">
        <v>369</v>
      </c>
      <c r="O10" s="255">
        <v>532</v>
      </c>
      <c r="P10" s="352">
        <v>598</v>
      </c>
      <c r="Q10" s="255">
        <v>1349</v>
      </c>
      <c r="R10" s="323">
        <v>1701</v>
      </c>
      <c r="S10" s="255">
        <v>413</v>
      </c>
      <c r="T10" s="255">
        <v>754</v>
      </c>
      <c r="U10" s="255">
        <v>1155</v>
      </c>
      <c r="V10" s="323">
        <v>449</v>
      </c>
      <c r="W10" s="255">
        <v>76</v>
      </c>
      <c r="X10" s="255">
        <v>2</v>
      </c>
      <c r="Y10" s="255">
        <v>31</v>
      </c>
      <c r="Z10" s="323">
        <v>0</v>
      </c>
      <c r="AA10" s="254">
        <f t="shared" si="0"/>
        <v>10544</v>
      </c>
      <c r="AB10" s="255">
        <f t="shared" si="0"/>
        <v>7834</v>
      </c>
      <c r="AC10" s="255">
        <f t="shared" si="0"/>
        <v>12918</v>
      </c>
      <c r="AD10" s="323">
        <f t="shared" si="0"/>
        <v>13302</v>
      </c>
    </row>
    <row r="11" spans="1:30" s="332" customFormat="1" ht="22.5" customHeight="1">
      <c r="A11" s="322"/>
      <c r="B11" s="243" t="s">
        <v>739</v>
      </c>
      <c r="C11" s="255">
        <v>1677</v>
      </c>
      <c r="D11" s="255">
        <v>1726</v>
      </c>
      <c r="E11" s="255">
        <v>1745</v>
      </c>
      <c r="F11" s="340">
        <v>2167</v>
      </c>
      <c r="G11" s="255">
        <v>61</v>
      </c>
      <c r="H11" s="255">
        <v>201</v>
      </c>
      <c r="I11" s="255">
        <v>236</v>
      </c>
      <c r="J11" s="340">
        <v>327</v>
      </c>
      <c r="K11" s="255">
        <v>7</v>
      </c>
      <c r="L11" s="255">
        <v>5</v>
      </c>
      <c r="M11" s="255">
        <v>49</v>
      </c>
      <c r="N11" s="323">
        <v>100</v>
      </c>
      <c r="O11" s="255">
        <v>86</v>
      </c>
      <c r="P11" s="255">
        <v>155</v>
      </c>
      <c r="Q11" s="255">
        <v>325</v>
      </c>
      <c r="R11" s="323">
        <v>357</v>
      </c>
      <c r="S11" s="255">
        <v>363</v>
      </c>
      <c r="T11" s="255">
        <v>234</v>
      </c>
      <c r="U11" s="255">
        <v>200</v>
      </c>
      <c r="V11" s="323">
        <v>201</v>
      </c>
      <c r="W11" s="255"/>
      <c r="X11" s="255"/>
      <c r="Y11" s="255"/>
      <c r="Z11" s="323">
        <v>0</v>
      </c>
      <c r="AA11" s="254">
        <f t="shared" si="0"/>
        <v>2194</v>
      </c>
      <c r="AB11" s="255">
        <f t="shared" si="0"/>
        <v>2321</v>
      </c>
      <c r="AC11" s="255">
        <f t="shared" si="0"/>
        <v>2555</v>
      </c>
      <c r="AD11" s="323">
        <f t="shared" si="0"/>
        <v>3152</v>
      </c>
    </row>
    <row r="12" spans="1:30" s="332" customFormat="1" ht="22.5" customHeight="1">
      <c r="A12" s="322"/>
      <c r="B12" s="211" t="s">
        <v>1410</v>
      </c>
      <c r="C12" s="255"/>
      <c r="D12" s="255"/>
      <c r="E12" s="255"/>
      <c r="F12" s="340">
        <v>0</v>
      </c>
      <c r="G12" s="255">
        <v>958</v>
      </c>
      <c r="H12" s="255">
        <v>1279</v>
      </c>
      <c r="I12" s="255">
        <v>1787</v>
      </c>
      <c r="J12" s="340">
        <v>1627</v>
      </c>
      <c r="K12" s="255"/>
      <c r="L12" s="255"/>
      <c r="M12" s="255"/>
      <c r="N12" s="323">
        <v>0</v>
      </c>
      <c r="O12" s="255"/>
      <c r="P12" s="255"/>
      <c r="Q12" s="255"/>
      <c r="R12" s="323">
        <v>0</v>
      </c>
      <c r="S12" s="255">
        <v>300</v>
      </c>
      <c r="T12" s="255">
        <v>597</v>
      </c>
      <c r="U12" s="255">
        <v>904</v>
      </c>
      <c r="V12" s="323">
        <v>1010</v>
      </c>
      <c r="W12" s="255">
        <v>1493</v>
      </c>
      <c r="X12" s="255">
        <v>1567</v>
      </c>
      <c r="Y12" s="255">
        <v>959</v>
      </c>
      <c r="Z12" s="323">
        <v>0</v>
      </c>
      <c r="AA12" s="254">
        <f t="shared" si="0"/>
        <v>2751</v>
      </c>
      <c r="AB12" s="255">
        <f t="shared" si="0"/>
        <v>3443</v>
      </c>
      <c r="AC12" s="255">
        <f t="shared" si="0"/>
        <v>3650</v>
      </c>
      <c r="AD12" s="323">
        <f t="shared" si="0"/>
        <v>2637</v>
      </c>
    </row>
    <row r="13" spans="1:30" s="332" customFormat="1" ht="22.5" customHeight="1">
      <c r="A13" s="322"/>
      <c r="B13" s="211" t="s">
        <v>1056</v>
      </c>
      <c r="C13" s="352">
        <v>475</v>
      </c>
      <c r="D13" s="352">
        <v>508</v>
      </c>
      <c r="E13" s="352">
        <v>627</v>
      </c>
      <c r="F13" s="340">
        <v>678</v>
      </c>
      <c r="G13" s="255">
        <v>16</v>
      </c>
      <c r="H13" s="255">
        <v>21</v>
      </c>
      <c r="I13" s="352">
        <v>40</v>
      </c>
      <c r="J13" s="340">
        <v>52</v>
      </c>
      <c r="K13" s="255">
        <v>3</v>
      </c>
      <c r="L13" s="255">
        <v>8</v>
      </c>
      <c r="M13" s="352">
        <v>23</v>
      </c>
      <c r="N13" s="340">
        <v>20</v>
      </c>
      <c r="O13" s="255">
        <v>39</v>
      </c>
      <c r="P13" s="255">
        <v>112</v>
      </c>
      <c r="Q13" s="352">
        <v>126</v>
      </c>
      <c r="R13" s="340">
        <v>141</v>
      </c>
      <c r="S13" s="255">
        <v>28</v>
      </c>
      <c r="T13" s="255">
        <v>32</v>
      </c>
      <c r="U13" s="352">
        <v>14</v>
      </c>
      <c r="V13" s="340">
        <v>32</v>
      </c>
      <c r="W13" s="255"/>
      <c r="X13" s="255"/>
      <c r="Y13" s="352"/>
      <c r="Z13" s="340">
        <v>0</v>
      </c>
      <c r="AA13" s="254">
        <f t="shared" si="0"/>
        <v>561</v>
      </c>
      <c r="AB13" s="255">
        <f t="shared" si="0"/>
        <v>681</v>
      </c>
      <c r="AC13" s="255">
        <f t="shared" si="0"/>
        <v>830</v>
      </c>
      <c r="AD13" s="323">
        <f t="shared" si="0"/>
        <v>923</v>
      </c>
    </row>
    <row r="14" spans="1:30" s="332" customFormat="1" ht="22.5" customHeight="1">
      <c r="A14" s="322"/>
      <c r="B14" s="1271" t="s">
        <v>582</v>
      </c>
      <c r="C14" s="1272">
        <v>22319</v>
      </c>
      <c r="D14" s="1272">
        <v>23902</v>
      </c>
      <c r="E14" s="1272">
        <f>SUM(E9:E13)</f>
        <v>26044</v>
      </c>
      <c r="F14" s="1273">
        <f t="shared" ref="F14:Z14" si="1">SUM(F9:F13)</f>
        <v>28380</v>
      </c>
      <c r="G14" s="1272">
        <f t="shared" si="1"/>
        <v>1717</v>
      </c>
      <c r="H14" s="1272">
        <f t="shared" si="1"/>
        <v>2340</v>
      </c>
      <c r="I14" s="1272">
        <f t="shared" si="1"/>
        <v>3462</v>
      </c>
      <c r="J14" s="1273">
        <f t="shared" si="1"/>
        <v>4165</v>
      </c>
      <c r="K14" s="1272">
        <f t="shared" si="1"/>
        <v>239</v>
      </c>
      <c r="L14" s="1272">
        <f t="shared" si="1"/>
        <v>470</v>
      </c>
      <c r="M14" s="1272">
        <f t="shared" si="1"/>
        <v>988</v>
      </c>
      <c r="N14" s="1274">
        <f t="shared" si="1"/>
        <v>1114</v>
      </c>
      <c r="O14" s="1272">
        <f t="shared" si="1"/>
        <v>1003</v>
      </c>
      <c r="P14" s="1272">
        <f t="shared" si="1"/>
        <v>1879</v>
      </c>
      <c r="Q14" s="1272">
        <f t="shared" si="1"/>
        <v>3321</v>
      </c>
      <c r="R14" s="1274">
        <f t="shared" si="1"/>
        <v>4562</v>
      </c>
      <c r="S14" s="1272">
        <f t="shared" si="1"/>
        <v>1445</v>
      </c>
      <c r="T14" s="1272">
        <f t="shared" si="1"/>
        <v>2182</v>
      </c>
      <c r="U14" s="1272">
        <f t="shared" si="1"/>
        <v>2953</v>
      </c>
      <c r="V14" s="1274">
        <f t="shared" si="1"/>
        <v>2640</v>
      </c>
      <c r="W14" s="1272">
        <f t="shared" si="1"/>
        <v>1569</v>
      </c>
      <c r="X14" s="1272">
        <f t="shared" si="1"/>
        <v>1575</v>
      </c>
      <c r="Y14" s="1272">
        <f t="shared" si="1"/>
        <v>990</v>
      </c>
      <c r="Z14" s="1274">
        <f t="shared" si="1"/>
        <v>0</v>
      </c>
      <c r="AA14" s="1275">
        <f>SUM(AA9:AA13)</f>
        <v>28292</v>
      </c>
      <c r="AB14" s="1272">
        <f>SUM(AB9:AB13)</f>
        <v>32348</v>
      </c>
      <c r="AC14" s="1272">
        <f>SUM(AC9:AC13)</f>
        <v>37758</v>
      </c>
      <c r="AD14" s="1274">
        <f>SUM(AD9:AD13)</f>
        <v>40861</v>
      </c>
    </row>
    <row r="15" spans="1:30" s="332" customFormat="1" ht="22.5" customHeight="1">
      <c r="A15" s="322" t="s">
        <v>479</v>
      </c>
      <c r="B15" s="211" t="s">
        <v>740</v>
      </c>
      <c r="C15" s="255">
        <v>10671</v>
      </c>
      <c r="D15" s="255">
        <v>12563</v>
      </c>
      <c r="E15" s="255">
        <v>10698</v>
      </c>
      <c r="F15" s="340">
        <v>9524</v>
      </c>
      <c r="G15" s="255">
        <v>344</v>
      </c>
      <c r="H15" s="255">
        <v>191</v>
      </c>
      <c r="I15" s="255">
        <v>872</v>
      </c>
      <c r="J15" s="340">
        <v>751</v>
      </c>
      <c r="K15" s="255">
        <v>279</v>
      </c>
      <c r="L15" s="255">
        <v>236</v>
      </c>
      <c r="M15" s="255">
        <v>639</v>
      </c>
      <c r="N15" s="323">
        <v>658</v>
      </c>
      <c r="O15" s="255">
        <v>159</v>
      </c>
      <c r="P15" s="255">
        <v>645</v>
      </c>
      <c r="Q15" s="255">
        <v>969</v>
      </c>
      <c r="R15" s="323">
        <v>737</v>
      </c>
      <c r="S15" s="255">
        <v>749</v>
      </c>
      <c r="T15" s="255">
        <v>586</v>
      </c>
      <c r="U15" s="255">
        <v>284</v>
      </c>
      <c r="V15" s="323">
        <v>671</v>
      </c>
      <c r="W15" s="255"/>
      <c r="X15" s="255"/>
      <c r="Y15" s="255">
        <v>6</v>
      </c>
      <c r="Z15" s="323">
        <v>0</v>
      </c>
      <c r="AA15" s="254">
        <f t="shared" ref="AA15:AD17" si="2">+W15+S15+O15+K15+G15+C15</f>
        <v>12202</v>
      </c>
      <c r="AB15" s="255">
        <f t="shared" si="2"/>
        <v>14221</v>
      </c>
      <c r="AC15" s="255">
        <f t="shared" si="2"/>
        <v>13468</v>
      </c>
      <c r="AD15" s="323">
        <f t="shared" si="2"/>
        <v>12341</v>
      </c>
    </row>
    <row r="16" spans="1:30" s="332" customFormat="1" ht="22.5" customHeight="1">
      <c r="A16" s="322"/>
      <c r="B16" s="211" t="s">
        <v>1061</v>
      </c>
      <c r="C16" s="255">
        <v>1440</v>
      </c>
      <c r="D16" s="255">
        <v>1191</v>
      </c>
      <c r="E16" s="255">
        <v>1412</v>
      </c>
      <c r="F16" s="340">
        <v>1678</v>
      </c>
      <c r="G16" s="255">
        <v>51</v>
      </c>
      <c r="H16" s="255">
        <v>39</v>
      </c>
      <c r="I16" s="255">
        <v>201</v>
      </c>
      <c r="J16" s="340">
        <v>279</v>
      </c>
      <c r="K16" s="255">
        <v>103</v>
      </c>
      <c r="L16" s="255">
        <v>66</v>
      </c>
      <c r="M16" s="255">
        <v>118</v>
      </c>
      <c r="N16" s="323">
        <v>153</v>
      </c>
      <c r="O16" s="255">
        <v>43</v>
      </c>
      <c r="P16" s="255">
        <v>119</v>
      </c>
      <c r="Q16" s="255">
        <v>109</v>
      </c>
      <c r="R16" s="323">
        <v>172</v>
      </c>
      <c r="S16" s="255">
        <v>35</v>
      </c>
      <c r="T16" s="255">
        <v>10</v>
      </c>
      <c r="U16" s="255">
        <v>85</v>
      </c>
      <c r="V16" s="323">
        <v>178</v>
      </c>
      <c r="W16" s="255"/>
      <c r="X16" s="255"/>
      <c r="Y16" s="255"/>
      <c r="Z16" s="323">
        <v>0</v>
      </c>
      <c r="AA16" s="254">
        <f t="shared" si="2"/>
        <v>1672</v>
      </c>
      <c r="AB16" s="255">
        <f t="shared" si="2"/>
        <v>1425</v>
      </c>
      <c r="AC16" s="255">
        <f t="shared" si="2"/>
        <v>1925</v>
      </c>
      <c r="AD16" s="323">
        <f t="shared" si="2"/>
        <v>2460</v>
      </c>
    </row>
    <row r="17" spans="1:30" s="332" customFormat="1" ht="22.5" customHeight="1">
      <c r="A17" s="322"/>
      <c r="B17" s="211" t="s">
        <v>1058</v>
      </c>
      <c r="C17" s="255">
        <v>973</v>
      </c>
      <c r="D17" s="255">
        <v>990</v>
      </c>
      <c r="E17" s="255">
        <v>1024</v>
      </c>
      <c r="F17" s="340">
        <v>1309</v>
      </c>
      <c r="G17" s="255">
        <v>34</v>
      </c>
      <c r="H17" s="255">
        <v>80</v>
      </c>
      <c r="I17" s="255">
        <v>183</v>
      </c>
      <c r="J17" s="340">
        <v>197</v>
      </c>
      <c r="K17" s="255">
        <v>27</v>
      </c>
      <c r="L17" s="255">
        <v>30</v>
      </c>
      <c r="M17" s="255">
        <v>110</v>
      </c>
      <c r="N17" s="323">
        <v>94</v>
      </c>
      <c r="O17" s="255">
        <v>42</v>
      </c>
      <c r="P17" s="255">
        <v>151</v>
      </c>
      <c r="Q17" s="255">
        <v>168</v>
      </c>
      <c r="R17" s="323">
        <v>199</v>
      </c>
      <c r="S17" s="255"/>
      <c r="T17" s="255"/>
      <c r="U17" s="255">
        <v>6</v>
      </c>
      <c r="V17" s="323">
        <v>28</v>
      </c>
      <c r="W17" s="255"/>
      <c r="X17" s="255"/>
      <c r="Y17" s="255">
        <v>8</v>
      </c>
      <c r="Z17" s="323">
        <v>0</v>
      </c>
      <c r="AA17" s="254">
        <f t="shared" si="2"/>
        <v>1076</v>
      </c>
      <c r="AB17" s="255">
        <f t="shared" si="2"/>
        <v>1251</v>
      </c>
      <c r="AC17" s="255">
        <f t="shared" si="2"/>
        <v>1499</v>
      </c>
      <c r="AD17" s="323">
        <f t="shared" si="2"/>
        <v>1827</v>
      </c>
    </row>
    <row r="18" spans="1:30" s="332" customFormat="1" ht="22.5" customHeight="1">
      <c r="A18" s="322"/>
      <c r="B18" s="1271" t="s">
        <v>582</v>
      </c>
      <c r="C18" s="1272">
        <v>13084</v>
      </c>
      <c r="D18" s="1272">
        <v>14744</v>
      </c>
      <c r="E18" s="1272">
        <f>SUM(E15:E17)</f>
        <v>13134</v>
      </c>
      <c r="F18" s="1273">
        <f t="shared" ref="F18:Z18" si="3">SUM(F15:F17)</f>
        <v>12511</v>
      </c>
      <c r="G18" s="1272">
        <f t="shared" si="3"/>
        <v>429</v>
      </c>
      <c r="H18" s="1272">
        <f t="shared" si="3"/>
        <v>310</v>
      </c>
      <c r="I18" s="1272">
        <f t="shared" si="3"/>
        <v>1256</v>
      </c>
      <c r="J18" s="1273">
        <f t="shared" si="3"/>
        <v>1227</v>
      </c>
      <c r="K18" s="1272">
        <f t="shared" si="3"/>
        <v>409</v>
      </c>
      <c r="L18" s="1272">
        <f t="shared" si="3"/>
        <v>332</v>
      </c>
      <c r="M18" s="1272">
        <f t="shared" si="3"/>
        <v>867</v>
      </c>
      <c r="N18" s="1274">
        <f t="shared" si="3"/>
        <v>905</v>
      </c>
      <c r="O18" s="1272">
        <f t="shared" si="3"/>
        <v>244</v>
      </c>
      <c r="P18" s="1272">
        <f t="shared" si="3"/>
        <v>915</v>
      </c>
      <c r="Q18" s="1272">
        <f t="shared" si="3"/>
        <v>1246</v>
      </c>
      <c r="R18" s="1274">
        <f t="shared" si="3"/>
        <v>1108</v>
      </c>
      <c r="S18" s="1272">
        <f t="shared" si="3"/>
        <v>784</v>
      </c>
      <c r="T18" s="1272">
        <f t="shared" si="3"/>
        <v>596</v>
      </c>
      <c r="U18" s="1272">
        <f t="shared" si="3"/>
        <v>375</v>
      </c>
      <c r="V18" s="1274">
        <f t="shared" si="3"/>
        <v>877</v>
      </c>
      <c r="W18" s="1272">
        <f t="shared" si="3"/>
        <v>0</v>
      </c>
      <c r="X18" s="1272">
        <f t="shared" si="3"/>
        <v>0</v>
      </c>
      <c r="Y18" s="1272">
        <f t="shared" si="3"/>
        <v>14</v>
      </c>
      <c r="Z18" s="1274">
        <f t="shared" si="3"/>
        <v>0</v>
      </c>
      <c r="AA18" s="1275">
        <f>SUM(AA15:AA17)</f>
        <v>14950</v>
      </c>
      <c r="AB18" s="1272">
        <f>SUM(AB15:AB17)</f>
        <v>16897</v>
      </c>
      <c r="AC18" s="1272">
        <f>SUM(AC15:AC17)</f>
        <v>16892</v>
      </c>
      <c r="AD18" s="1274">
        <f>SUM(AD15:AD17)</f>
        <v>16628</v>
      </c>
    </row>
    <row r="19" spans="1:30" s="332" customFormat="1" ht="22.5" customHeight="1">
      <c r="A19" s="322" t="s">
        <v>865</v>
      </c>
      <c r="B19" s="243" t="s">
        <v>742</v>
      </c>
      <c r="C19" s="255">
        <v>7574</v>
      </c>
      <c r="D19" s="255">
        <v>9017</v>
      </c>
      <c r="E19" s="255">
        <v>10019</v>
      </c>
      <c r="F19" s="340">
        <v>10541</v>
      </c>
      <c r="G19" s="255">
        <v>305</v>
      </c>
      <c r="H19" s="255">
        <v>258</v>
      </c>
      <c r="I19" s="255">
        <v>551</v>
      </c>
      <c r="J19" s="340">
        <v>627</v>
      </c>
      <c r="K19" s="255">
        <v>274</v>
      </c>
      <c r="L19" s="255">
        <v>212</v>
      </c>
      <c r="M19" s="255">
        <v>680</v>
      </c>
      <c r="N19" s="323">
        <v>1052</v>
      </c>
      <c r="O19" s="255">
        <v>242</v>
      </c>
      <c r="P19" s="255">
        <v>624</v>
      </c>
      <c r="Q19" s="255">
        <v>1314</v>
      </c>
      <c r="R19" s="323">
        <v>1354</v>
      </c>
      <c r="S19" s="255">
        <v>765</v>
      </c>
      <c r="T19" s="255">
        <v>634</v>
      </c>
      <c r="U19" s="255">
        <v>854</v>
      </c>
      <c r="V19" s="323">
        <v>532</v>
      </c>
      <c r="W19" s="255">
        <v>2</v>
      </c>
      <c r="X19" s="255"/>
      <c r="Y19" s="255"/>
      <c r="Z19" s="323">
        <v>0</v>
      </c>
      <c r="AA19" s="254">
        <f t="shared" ref="AA19:AD20" si="4">+W19+S19+O19+K19+G19+C19</f>
        <v>9162</v>
      </c>
      <c r="AB19" s="255">
        <f t="shared" si="4"/>
        <v>10745</v>
      </c>
      <c r="AC19" s="255">
        <f t="shared" si="4"/>
        <v>13418</v>
      </c>
      <c r="AD19" s="323">
        <f t="shared" si="4"/>
        <v>14106</v>
      </c>
    </row>
    <row r="20" spans="1:30" s="332" customFormat="1" ht="22.5" customHeight="1">
      <c r="A20" s="322"/>
      <c r="B20" s="211" t="s">
        <v>1060</v>
      </c>
      <c r="C20" s="255">
        <v>360</v>
      </c>
      <c r="D20" s="255">
        <v>586</v>
      </c>
      <c r="E20" s="255">
        <v>968</v>
      </c>
      <c r="F20" s="340">
        <v>1033</v>
      </c>
      <c r="G20" s="255">
        <v>12</v>
      </c>
      <c r="H20" s="255">
        <v>38</v>
      </c>
      <c r="I20" s="255">
        <v>65</v>
      </c>
      <c r="J20" s="340">
        <v>79</v>
      </c>
      <c r="K20" s="255">
        <v>10</v>
      </c>
      <c r="L20" s="255">
        <v>30</v>
      </c>
      <c r="M20" s="255">
        <v>40</v>
      </c>
      <c r="N20" s="323">
        <v>14</v>
      </c>
      <c r="O20" s="255">
        <v>45</v>
      </c>
      <c r="P20" s="255">
        <v>92</v>
      </c>
      <c r="Q20" s="255">
        <v>140</v>
      </c>
      <c r="R20" s="323">
        <v>108</v>
      </c>
      <c r="S20" s="255">
        <v>33</v>
      </c>
      <c r="T20" s="255">
        <v>1</v>
      </c>
      <c r="U20" s="255">
        <v>19</v>
      </c>
      <c r="V20" s="323">
        <v>10</v>
      </c>
      <c r="W20" s="255"/>
      <c r="X20" s="255"/>
      <c r="Y20" s="255"/>
      <c r="Z20" s="323">
        <v>0</v>
      </c>
      <c r="AA20" s="254">
        <f t="shared" si="4"/>
        <v>460</v>
      </c>
      <c r="AB20" s="255">
        <f t="shared" si="4"/>
        <v>747</v>
      </c>
      <c r="AC20" s="255">
        <f t="shared" si="4"/>
        <v>1232</v>
      </c>
      <c r="AD20" s="323">
        <f t="shared" si="4"/>
        <v>1244</v>
      </c>
    </row>
    <row r="21" spans="1:30" s="332" customFormat="1" ht="22.5" customHeight="1">
      <c r="A21" s="322"/>
      <c r="B21" s="1271" t="s">
        <v>582</v>
      </c>
      <c r="C21" s="1272">
        <v>7934</v>
      </c>
      <c r="D21" s="1272">
        <v>9603</v>
      </c>
      <c r="E21" s="1272">
        <f>SUM(E19:E20)</f>
        <v>10987</v>
      </c>
      <c r="F21" s="1273">
        <f t="shared" ref="F21:Z21" si="5">SUM(F19:F20)</f>
        <v>11574</v>
      </c>
      <c r="G21" s="1272">
        <f t="shared" si="5"/>
        <v>317</v>
      </c>
      <c r="H21" s="1272">
        <f t="shared" si="5"/>
        <v>296</v>
      </c>
      <c r="I21" s="1272">
        <f t="shared" si="5"/>
        <v>616</v>
      </c>
      <c r="J21" s="1273">
        <f t="shared" si="5"/>
        <v>706</v>
      </c>
      <c r="K21" s="1272">
        <f t="shared" si="5"/>
        <v>284</v>
      </c>
      <c r="L21" s="1272">
        <f t="shared" si="5"/>
        <v>242</v>
      </c>
      <c r="M21" s="1272">
        <f t="shared" si="5"/>
        <v>720</v>
      </c>
      <c r="N21" s="1274">
        <f t="shared" si="5"/>
        <v>1066</v>
      </c>
      <c r="O21" s="1272">
        <f t="shared" si="5"/>
        <v>287</v>
      </c>
      <c r="P21" s="1272">
        <f t="shared" si="5"/>
        <v>716</v>
      </c>
      <c r="Q21" s="1272">
        <f t="shared" si="5"/>
        <v>1454</v>
      </c>
      <c r="R21" s="1274">
        <f t="shared" si="5"/>
        <v>1462</v>
      </c>
      <c r="S21" s="1272">
        <f t="shared" si="5"/>
        <v>798</v>
      </c>
      <c r="T21" s="1272">
        <f t="shared" si="5"/>
        <v>635</v>
      </c>
      <c r="U21" s="1272">
        <f t="shared" si="5"/>
        <v>873</v>
      </c>
      <c r="V21" s="1274">
        <f t="shared" si="5"/>
        <v>542</v>
      </c>
      <c r="W21" s="1272">
        <f t="shared" si="5"/>
        <v>2</v>
      </c>
      <c r="X21" s="1272">
        <f t="shared" si="5"/>
        <v>0</v>
      </c>
      <c r="Y21" s="1272">
        <f t="shared" si="5"/>
        <v>0</v>
      </c>
      <c r="Z21" s="1274">
        <f t="shared" si="5"/>
        <v>0</v>
      </c>
      <c r="AA21" s="1275">
        <f>SUM(AA19:AA20)</f>
        <v>9622</v>
      </c>
      <c r="AB21" s="1272">
        <f>SUM(AB19:AB20)</f>
        <v>11492</v>
      </c>
      <c r="AC21" s="1272">
        <f>SUM(AC19:AC20)</f>
        <v>14650</v>
      </c>
      <c r="AD21" s="1274">
        <f>SUM(AD19:AD20)</f>
        <v>15350</v>
      </c>
    </row>
    <row r="22" spans="1:30" s="332" customFormat="1" ht="22.5" customHeight="1">
      <c r="A22" s="322" t="s">
        <v>481</v>
      </c>
      <c r="B22" s="243" t="s">
        <v>743</v>
      </c>
      <c r="C22" s="255">
        <v>8802</v>
      </c>
      <c r="D22" s="255">
        <v>7851</v>
      </c>
      <c r="E22" s="255">
        <v>9317</v>
      </c>
      <c r="F22" s="340">
        <v>11465</v>
      </c>
      <c r="G22" s="255">
        <v>758</v>
      </c>
      <c r="H22" s="255">
        <v>581</v>
      </c>
      <c r="I22" s="255">
        <v>1251</v>
      </c>
      <c r="J22" s="340">
        <v>1640</v>
      </c>
      <c r="K22" s="255">
        <v>320</v>
      </c>
      <c r="L22" s="255">
        <v>150</v>
      </c>
      <c r="M22" s="255">
        <v>154</v>
      </c>
      <c r="N22" s="323">
        <v>289</v>
      </c>
      <c r="O22" s="255">
        <v>181</v>
      </c>
      <c r="P22" s="255">
        <v>678</v>
      </c>
      <c r="Q22" s="255">
        <v>1576</v>
      </c>
      <c r="R22" s="323">
        <v>1950</v>
      </c>
      <c r="S22" s="255">
        <v>305</v>
      </c>
      <c r="T22" s="255">
        <v>242</v>
      </c>
      <c r="U22" s="255">
        <v>296</v>
      </c>
      <c r="V22" s="323">
        <v>149</v>
      </c>
      <c r="W22" s="255">
        <v>135</v>
      </c>
      <c r="X22" s="255"/>
      <c r="Y22" s="255"/>
      <c r="Z22" s="323">
        <v>0</v>
      </c>
      <c r="AA22" s="254">
        <f>+W22+S22+O22+K22+G22+C22</f>
        <v>10501</v>
      </c>
      <c r="AB22" s="255">
        <f>+X22+T22+P22+L22+H22+D22</f>
        <v>9502</v>
      </c>
      <c r="AC22" s="255">
        <f>+Y22+U22+Q22+M22+I22+E22</f>
        <v>12594</v>
      </c>
      <c r="AD22" s="323">
        <f>+Z22+V22+R22+N22+J22+F22</f>
        <v>15493</v>
      </c>
    </row>
    <row r="23" spans="1:30" s="332" customFormat="1" ht="22.5" customHeight="1">
      <c r="A23" s="1026" t="s">
        <v>866</v>
      </c>
      <c r="B23" s="1045"/>
      <c r="C23" s="1276">
        <v>52139</v>
      </c>
      <c r="D23" s="1276">
        <v>56100</v>
      </c>
      <c r="E23" s="1276">
        <f>+E14+E18+E21+E22</f>
        <v>59482</v>
      </c>
      <c r="F23" s="1277">
        <f t="shared" ref="F23:Z23" si="6">+F14+F18+F21+F22</f>
        <v>63930</v>
      </c>
      <c r="G23" s="1276">
        <f t="shared" si="6"/>
        <v>3221</v>
      </c>
      <c r="H23" s="1276">
        <f t="shared" si="6"/>
        <v>3527</v>
      </c>
      <c r="I23" s="1276">
        <f t="shared" si="6"/>
        <v>6585</v>
      </c>
      <c r="J23" s="1277">
        <f t="shared" si="6"/>
        <v>7738</v>
      </c>
      <c r="K23" s="1276">
        <f t="shared" si="6"/>
        <v>1252</v>
      </c>
      <c r="L23" s="1276">
        <f t="shared" si="6"/>
        <v>1194</v>
      </c>
      <c r="M23" s="1276">
        <f t="shared" si="6"/>
        <v>2729</v>
      </c>
      <c r="N23" s="1277">
        <f t="shared" si="6"/>
        <v>3374</v>
      </c>
      <c r="O23" s="1276">
        <f t="shared" si="6"/>
        <v>1715</v>
      </c>
      <c r="P23" s="1276">
        <f t="shared" si="6"/>
        <v>4188</v>
      </c>
      <c r="Q23" s="1276">
        <f t="shared" si="6"/>
        <v>7597</v>
      </c>
      <c r="R23" s="1277">
        <f t="shared" si="6"/>
        <v>9082</v>
      </c>
      <c r="S23" s="1276">
        <f t="shared" si="6"/>
        <v>3332</v>
      </c>
      <c r="T23" s="1276">
        <f t="shared" si="6"/>
        <v>3655</v>
      </c>
      <c r="U23" s="1276">
        <f t="shared" si="6"/>
        <v>4497</v>
      </c>
      <c r="V23" s="1277">
        <f t="shared" si="6"/>
        <v>4208</v>
      </c>
      <c r="W23" s="1276">
        <f t="shared" si="6"/>
        <v>1706</v>
      </c>
      <c r="X23" s="1276">
        <f t="shared" si="6"/>
        <v>1575</v>
      </c>
      <c r="Y23" s="1276">
        <f t="shared" si="6"/>
        <v>1004</v>
      </c>
      <c r="Z23" s="1277">
        <f t="shared" si="6"/>
        <v>0</v>
      </c>
      <c r="AA23" s="1278">
        <f>+AA14+AA18+AA21+AA22</f>
        <v>63365</v>
      </c>
      <c r="AB23" s="1276">
        <f>+AB14+AB18+AB21+AB22</f>
        <v>70239</v>
      </c>
      <c r="AC23" s="1276">
        <f>+AC14+AC18+AC21+AC22</f>
        <v>81894</v>
      </c>
      <c r="AD23" s="1277">
        <f>+AD14+AD18+AD21+AD22</f>
        <v>88332</v>
      </c>
    </row>
    <row r="24" spans="1:30" s="332" customFormat="1" ht="22.5" customHeight="1">
      <c r="A24" s="322" t="s">
        <v>867</v>
      </c>
      <c r="B24" s="211" t="s">
        <v>1176</v>
      </c>
      <c r="C24" s="255">
        <v>7564</v>
      </c>
      <c r="D24" s="255">
        <v>12667</v>
      </c>
      <c r="E24" s="255">
        <v>14991</v>
      </c>
      <c r="F24" s="340">
        <v>13027</v>
      </c>
      <c r="G24" s="255">
        <v>634</v>
      </c>
      <c r="H24" s="255">
        <v>677</v>
      </c>
      <c r="I24" s="255">
        <v>598</v>
      </c>
      <c r="J24" s="340">
        <v>767</v>
      </c>
      <c r="K24" s="255">
        <v>805</v>
      </c>
      <c r="L24" s="255">
        <v>767</v>
      </c>
      <c r="M24" s="255">
        <v>833</v>
      </c>
      <c r="N24" s="323">
        <v>789</v>
      </c>
      <c r="O24" s="255">
        <v>790</v>
      </c>
      <c r="P24" s="255">
        <v>1806</v>
      </c>
      <c r="Q24" s="255">
        <v>3092</v>
      </c>
      <c r="R24" s="323">
        <v>2775</v>
      </c>
      <c r="S24" s="255">
        <v>478</v>
      </c>
      <c r="T24" s="255">
        <v>881</v>
      </c>
      <c r="U24" s="255">
        <v>1000</v>
      </c>
      <c r="V24" s="323">
        <v>913</v>
      </c>
      <c r="W24" s="255"/>
      <c r="X24" s="255"/>
      <c r="Y24" s="255"/>
      <c r="Z24" s="323">
        <v>0</v>
      </c>
      <c r="AA24" s="254">
        <f t="shared" ref="AA24:AD30" si="7">+W24+S24+O24+K24+G24+C24</f>
        <v>10271</v>
      </c>
      <c r="AB24" s="255">
        <f t="shared" si="7"/>
        <v>16798</v>
      </c>
      <c r="AC24" s="255">
        <f t="shared" si="7"/>
        <v>20514</v>
      </c>
      <c r="AD24" s="323">
        <f t="shared" si="7"/>
        <v>18271</v>
      </c>
    </row>
    <row r="25" spans="1:30" s="332" customFormat="1" ht="22.5" customHeight="1">
      <c r="A25" s="322"/>
      <c r="B25" s="211" t="s">
        <v>1175</v>
      </c>
      <c r="C25" s="255">
        <v>13698</v>
      </c>
      <c r="D25" s="255">
        <v>15859</v>
      </c>
      <c r="E25" s="255">
        <v>18364</v>
      </c>
      <c r="F25" s="340">
        <v>18016</v>
      </c>
      <c r="G25" s="255">
        <v>603</v>
      </c>
      <c r="H25" s="255">
        <v>257</v>
      </c>
      <c r="I25" s="255">
        <v>2285</v>
      </c>
      <c r="J25" s="340">
        <v>3756</v>
      </c>
      <c r="K25" s="255">
        <v>494</v>
      </c>
      <c r="L25" s="255">
        <v>514</v>
      </c>
      <c r="M25" s="255">
        <v>3049</v>
      </c>
      <c r="N25" s="323">
        <v>7098</v>
      </c>
      <c r="O25" s="255">
        <v>332</v>
      </c>
      <c r="P25" s="255">
        <v>881</v>
      </c>
      <c r="Q25" s="255">
        <v>1171</v>
      </c>
      <c r="R25" s="323">
        <v>1305</v>
      </c>
      <c r="S25" s="255">
        <v>649</v>
      </c>
      <c r="T25" s="255">
        <v>786</v>
      </c>
      <c r="U25" s="255">
        <v>994</v>
      </c>
      <c r="V25" s="323">
        <v>1265</v>
      </c>
      <c r="W25" s="255"/>
      <c r="X25" s="255"/>
      <c r="Y25" s="255"/>
      <c r="Z25" s="323">
        <v>0</v>
      </c>
      <c r="AA25" s="254">
        <f t="shared" si="7"/>
        <v>15776</v>
      </c>
      <c r="AB25" s="255">
        <f t="shared" si="7"/>
        <v>18297</v>
      </c>
      <c r="AC25" s="255">
        <f t="shared" si="7"/>
        <v>25863</v>
      </c>
      <c r="AD25" s="323">
        <f t="shared" si="7"/>
        <v>31440</v>
      </c>
    </row>
    <row r="26" spans="1:30" s="332" customFormat="1" ht="22.5" customHeight="1">
      <c r="A26" s="322"/>
      <c r="B26" s="243" t="s">
        <v>489</v>
      </c>
      <c r="C26" s="255">
        <v>1857</v>
      </c>
      <c r="D26" s="255">
        <v>2615</v>
      </c>
      <c r="E26" s="255">
        <v>2973</v>
      </c>
      <c r="F26" s="340">
        <v>2977</v>
      </c>
      <c r="G26" s="255">
        <v>163</v>
      </c>
      <c r="H26" s="255">
        <v>205</v>
      </c>
      <c r="I26" s="255">
        <v>362</v>
      </c>
      <c r="J26" s="340">
        <v>489</v>
      </c>
      <c r="K26" s="255">
        <v>56</v>
      </c>
      <c r="L26" s="255">
        <v>97</v>
      </c>
      <c r="M26" s="255">
        <v>187</v>
      </c>
      <c r="N26" s="323">
        <v>358</v>
      </c>
      <c r="O26" s="255">
        <v>37</v>
      </c>
      <c r="P26" s="255">
        <v>132</v>
      </c>
      <c r="Q26" s="255">
        <v>189</v>
      </c>
      <c r="R26" s="323">
        <v>274</v>
      </c>
      <c r="S26" s="255">
        <v>63</v>
      </c>
      <c r="T26" s="255">
        <v>56</v>
      </c>
      <c r="U26" s="255">
        <v>112</v>
      </c>
      <c r="V26" s="323">
        <v>154</v>
      </c>
      <c r="W26" s="255"/>
      <c r="X26" s="255"/>
      <c r="Y26" s="255"/>
      <c r="Z26" s="323">
        <v>0</v>
      </c>
      <c r="AA26" s="254">
        <f t="shared" si="7"/>
        <v>2176</v>
      </c>
      <c r="AB26" s="255">
        <f t="shared" si="7"/>
        <v>3105</v>
      </c>
      <c r="AC26" s="255">
        <f t="shared" si="7"/>
        <v>3823</v>
      </c>
      <c r="AD26" s="323">
        <f t="shared" si="7"/>
        <v>4252</v>
      </c>
    </row>
    <row r="27" spans="1:30" s="332" customFormat="1" ht="22.5" customHeight="1">
      <c r="A27" s="322"/>
      <c r="B27" s="211" t="s">
        <v>1338</v>
      </c>
      <c r="C27" s="255">
        <v>229</v>
      </c>
      <c r="D27" s="255">
        <v>1072</v>
      </c>
      <c r="E27" s="255">
        <v>1462</v>
      </c>
      <c r="F27" s="340">
        <v>1789</v>
      </c>
      <c r="G27" s="255"/>
      <c r="H27" s="255"/>
      <c r="I27" s="255"/>
      <c r="J27" s="340">
        <v>0</v>
      </c>
      <c r="K27" s="255"/>
      <c r="L27" s="255"/>
      <c r="M27" s="255"/>
      <c r="N27" s="323">
        <v>0</v>
      </c>
      <c r="O27" s="255"/>
      <c r="P27" s="255"/>
      <c r="Q27" s="255"/>
      <c r="R27" s="323">
        <v>0</v>
      </c>
      <c r="S27" s="255"/>
      <c r="T27" s="255"/>
      <c r="U27" s="255"/>
      <c r="V27" s="323">
        <v>0</v>
      </c>
      <c r="W27" s="255"/>
      <c r="X27" s="255"/>
      <c r="Y27" s="255"/>
      <c r="Z27" s="323">
        <v>0</v>
      </c>
      <c r="AA27" s="254">
        <f t="shared" si="7"/>
        <v>229</v>
      </c>
      <c r="AB27" s="255">
        <f t="shared" si="7"/>
        <v>1072</v>
      </c>
      <c r="AC27" s="255">
        <f t="shared" si="7"/>
        <v>1462</v>
      </c>
      <c r="AD27" s="323">
        <f t="shared" si="7"/>
        <v>1789</v>
      </c>
    </row>
    <row r="28" spans="1:30" s="332" customFormat="1" ht="22.5" customHeight="1">
      <c r="A28" s="322"/>
      <c r="B28" s="211" t="s">
        <v>1059</v>
      </c>
      <c r="C28" s="255"/>
      <c r="D28" s="255"/>
      <c r="E28" s="255"/>
      <c r="F28" s="340">
        <v>0</v>
      </c>
      <c r="G28" s="255"/>
      <c r="H28" s="255"/>
      <c r="I28" s="255"/>
      <c r="J28" s="340">
        <v>0</v>
      </c>
      <c r="K28" s="255"/>
      <c r="L28" s="255"/>
      <c r="M28" s="255"/>
      <c r="N28" s="323">
        <v>0</v>
      </c>
      <c r="O28" s="255"/>
      <c r="P28" s="255"/>
      <c r="Q28" s="255"/>
      <c r="R28" s="323">
        <v>0</v>
      </c>
      <c r="S28" s="255">
        <v>132</v>
      </c>
      <c r="T28" s="255">
        <v>124</v>
      </c>
      <c r="U28" s="255">
        <v>215</v>
      </c>
      <c r="V28" s="323">
        <v>308</v>
      </c>
      <c r="W28" s="255"/>
      <c r="X28" s="255"/>
      <c r="Y28" s="255"/>
      <c r="Z28" s="323">
        <v>0</v>
      </c>
      <c r="AA28" s="254">
        <f t="shared" si="7"/>
        <v>132</v>
      </c>
      <c r="AB28" s="255">
        <f t="shared" si="7"/>
        <v>124</v>
      </c>
      <c r="AC28" s="255">
        <f t="shared" si="7"/>
        <v>215</v>
      </c>
      <c r="AD28" s="323">
        <f t="shared" si="7"/>
        <v>308</v>
      </c>
    </row>
    <row r="29" spans="1:30" s="332" customFormat="1" ht="22.5" customHeight="1">
      <c r="A29" s="322"/>
      <c r="B29" s="211" t="s">
        <v>1337</v>
      </c>
      <c r="C29" s="255"/>
      <c r="D29" s="255">
        <v>27</v>
      </c>
      <c r="E29" s="255"/>
      <c r="F29" s="340">
        <v>0</v>
      </c>
      <c r="G29" s="255">
        <v>1406</v>
      </c>
      <c r="H29" s="255">
        <v>1772</v>
      </c>
      <c r="I29" s="255">
        <v>1919</v>
      </c>
      <c r="J29" s="340">
        <v>2560</v>
      </c>
      <c r="K29" s="255"/>
      <c r="L29" s="255"/>
      <c r="M29" s="255"/>
      <c r="N29" s="323">
        <v>0</v>
      </c>
      <c r="O29" s="255"/>
      <c r="P29" s="255"/>
      <c r="Q29" s="255"/>
      <c r="R29" s="323">
        <v>0</v>
      </c>
      <c r="S29" s="255">
        <v>171</v>
      </c>
      <c r="T29" s="255">
        <v>554</v>
      </c>
      <c r="U29" s="255">
        <v>554</v>
      </c>
      <c r="V29" s="323">
        <v>778</v>
      </c>
      <c r="W29" s="255">
        <v>2345</v>
      </c>
      <c r="X29" s="255">
        <v>3134</v>
      </c>
      <c r="Y29" s="255">
        <v>2962</v>
      </c>
      <c r="Z29" s="323">
        <v>0</v>
      </c>
      <c r="AA29" s="254">
        <f t="shared" si="7"/>
        <v>3922</v>
      </c>
      <c r="AB29" s="255">
        <f t="shared" si="7"/>
        <v>5487</v>
      </c>
      <c r="AC29" s="255">
        <f t="shared" si="7"/>
        <v>5435</v>
      </c>
      <c r="AD29" s="323">
        <f t="shared" si="7"/>
        <v>3338</v>
      </c>
    </row>
    <row r="30" spans="1:30" s="332" customFormat="1" ht="22.5" customHeight="1">
      <c r="A30" s="322"/>
      <c r="B30" s="243" t="s">
        <v>747</v>
      </c>
      <c r="C30" s="255">
        <v>3146</v>
      </c>
      <c r="D30" s="255">
        <v>5193</v>
      </c>
      <c r="E30" s="255">
        <v>5240</v>
      </c>
      <c r="F30" s="340">
        <v>4309</v>
      </c>
      <c r="G30" s="255">
        <v>564</v>
      </c>
      <c r="H30" s="255">
        <v>855</v>
      </c>
      <c r="I30" s="255">
        <v>885</v>
      </c>
      <c r="J30" s="340">
        <v>1287</v>
      </c>
      <c r="K30" s="255">
        <v>276</v>
      </c>
      <c r="L30" s="255">
        <v>591</v>
      </c>
      <c r="M30" s="255">
        <v>754</v>
      </c>
      <c r="N30" s="323">
        <v>900</v>
      </c>
      <c r="O30" s="255">
        <v>149</v>
      </c>
      <c r="P30" s="255">
        <v>454</v>
      </c>
      <c r="Q30" s="255">
        <v>537</v>
      </c>
      <c r="R30" s="323">
        <v>521</v>
      </c>
      <c r="S30" s="255">
        <v>165</v>
      </c>
      <c r="T30" s="255">
        <v>272</v>
      </c>
      <c r="U30" s="255">
        <v>278</v>
      </c>
      <c r="V30" s="323">
        <v>201</v>
      </c>
      <c r="W30" s="255"/>
      <c r="X30" s="255"/>
      <c r="Y30" s="255"/>
      <c r="Z30" s="323">
        <v>0</v>
      </c>
      <c r="AA30" s="254">
        <f t="shared" si="7"/>
        <v>4300</v>
      </c>
      <c r="AB30" s="255">
        <f t="shared" si="7"/>
        <v>7365</v>
      </c>
      <c r="AC30" s="255">
        <f t="shared" si="7"/>
        <v>7694</v>
      </c>
      <c r="AD30" s="323">
        <f t="shared" si="7"/>
        <v>7218</v>
      </c>
    </row>
    <row r="31" spans="1:30" s="332" customFormat="1" ht="22.5" customHeight="1">
      <c r="A31" s="322"/>
      <c r="B31" s="1271" t="s">
        <v>582</v>
      </c>
      <c r="C31" s="1272">
        <v>26494</v>
      </c>
      <c r="D31" s="1272">
        <v>37433</v>
      </c>
      <c r="E31" s="1272">
        <f>SUM(E24:E30)</f>
        <v>43030</v>
      </c>
      <c r="F31" s="1273">
        <f t="shared" ref="F31:Z31" si="8">SUM(F24:F30)</f>
        <v>40118</v>
      </c>
      <c r="G31" s="1272">
        <f t="shared" si="8"/>
        <v>3370</v>
      </c>
      <c r="H31" s="1272">
        <f t="shared" si="8"/>
        <v>3766</v>
      </c>
      <c r="I31" s="1272">
        <f t="shared" si="8"/>
        <v>6049</v>
      </c>
      <c r="J31" s="1273">
        <f t="shared" si="8"/>
        <v>8859</v>
      </c>
      <c r="K31" s="1272">
        <f t="shared" si="8"/>
        <v>1631</v>
      </c>
      <c r="L31" s="1272">
        <f t="shared" si="8"/>
        <v>1969</v>
      </c>
      <c r="M31" s="1272">
        <f t="shared" si="8"/>
        <v>4823</v>
      </c>
      <c r="N31" s="1274">
        <f t="shared" si="8"/>
        <v>9145</v>
      </c>
      <c r="O31" s="1272">
        <f t="shared" si="8"/>
        <v>1308</v>
      </c>
      <c r="P31" s="1272">
        <f t="shared" si="8"/>
        <v>3273</v>
      </c>
      <c r="Q31" s="1272">
        <f t="shared" si="8"/>
        <v>4989</v>
      </c>
      <c r="R31" s="1274">
        <f t="shared" si="8"/>
        <v>4875</v>
      </c>
      <c r="S31" s="1272">
        <f t="shared" si="8"/>
        <v>1658</v>
      </c>
      <c r="T31" s="1272">
        <f t="shared" si="8"/>
        <v>2673</v>
      </c>
      <c r="U31" s="1272">
        <f t="shared" si="8"/>
        <v>3153</v>
      </c>
      <c r="V31" s="1274">
        <f t="shared" si="8"/>
        <v>3619</v>
      </c>
      <c r="W31" s="1272">
        <f t="shared" si="8"/>
        <v>2345</v>
      </c>
      <c r="X31" s="1272">
        <f t="shared" si="8"/>
        <v>3134</v>
      </c>
      <c r="Y31" s="1272">
        <f t="shared" si="8"/>
        <v>2962</v>
      </c>
      <c r="Z31" s="1274">
        <f t="shared" si="8"/>
        <v>0</v>
      </c>
      <c r="AA31" s="1275">
        <f>SUM(AA24:AA30)</f>
        <v>36806</v>
      </c>
      <c r="AB31" s="1272">
        <f>SUM(AB24:AB30)</f>
        <v>52248</v>
      </c>
      <c r="AC31" s="1272">
        <f>SUM(AC24:AC30)</f>
        <v>65006</v>
      </c>
      <c r="AD31" s="1274">
        <f>SUM(AD24:AD30)</f>
        <v>66616</v>
      </c>
    </row>
    <row r="32" spans="1:30" s="332" customFormat="1" ht="22.5" customHeight="1">
      <c r="A32" s="322" t="s">
        <v>484</v>
      </c>
      <c r="B32" s="243" t="s">
        <v>748</v>
      </c>
      <c r="C32" s="255">
        <v>8706</v>
      </c>
      <c r="D32" s="255">
        <v>9632</v>
      </c>
      <c r="E32" s="255">
        <v>11825</v>
      </c>
      <c r="F32" s="340">
        <v>13563</v>
      </c>
      <c r="G32" s="255">
        <v>391</v>
      </c>
      <c r="H32" s="255">
        <v>609</v>
      </c>
      <c r="I32" s="255">
        <v>943</v>
      </c>
      <c r="J32" s="340">
        <v>1143</v>
      </c>
      <c r="K32" s="255">
        <v>956</v>
      </c>
      <c r="L32" s="255">
        <v>478</v>
      </c>
      <c r="M32" s="255">
        <v>859</v>
      </c>
      <c r="N32" s="323">
        <v>726</v>
      </c>
      <c r="O32" s="255">
        <v>475</v>
      </c>
      <c r="P32" s="255">
        <v>453</v>
      </c>
      <c r="Q32" s="255">
        <v>1388</v>
      </c>
      <c r="R32" s="323">
        <v>1342</v>
      </c>
      <c r="S32" s="255">
        <v>233</v>
      </c>
      <c r="T32" s="255">
        <v>208</v>
      </c>
      <c r="U32" s="255">
        <v>207</v>
      </c>
      <c r="V32" s="323">
        <v>204</v>
      </c>
      <c r="W32" s="255"/>
      <c r="X32" s="255">
        <v>1</v>
      </c>
      <c r="Y32" s="255"/>
      <c r="Z32" s="323">
        <v>0</v>
      </c>
      <c r="AA32" s="254">
        <f t="shared" ref="AA32:AD36" si="9">+W32+S32+O32+K32+G32+C32</f>
        <v>10761</v>
      </c>
      <c r="AB32" s="255">
        <f t="shared" si="9"/>
        <v>11381</v>
      </c>
      <c r="AC32" s="255">
        <f t="shared" si="9"/>
        <v>15222</v>
      </c>
      <c r="AD32" s="323">
        <f t="shared" si="9"/>
        <v>16978</v>
      </c>
    </row>
    <row r="33" spans="1:31" s="332" customFormat="1" ht="22.5" customHeight="1">
      <c r="A33" s="322"/>
      <c r="B33" s="211" t="s">
        <v>1296</v>
      </c>
      <c r="C33" s="255">
        <v>1651</v>
      </c>
      <c r="D33" s="255">
        <v>1891</v>
      </c>
      <c r="E33" s="255">
        <v>1622</v>
      </c>
      <c r="F33" s="340">
        <v>1672</v>
      </c>
      <c r="G33" s="255">
        <v>92</v>
      </c>
      <c r="H33" s="255">
        <v>129</v>
      </c>
      <c r="I33" s="255">
        <v>264</v>
      </c>
      <c r="J33" s="340">
        <v>338</v>
      </c>
      <c r="K33" s="255">
        <v>198</v>
      </c>
      <c r="L33" s="255">
        <v>99</v>
      </c>
      <c r="M33" s="255">
        <v>79</v>
      </c>
      <c r="N33" s="323">
        <v>5</v>
      </c>
      <c r="O33" s="255">
        <v>43</v>
      </c>
      <c r="P33" s="255">
        <v>54</v>
      </c>
      <c r="Q33" s="255">
        <v>196</v>
      </c>
      <c r="R33" s="323">
        <v>266</v>
      </c>
      <c r="S33" s="255">
        <v>85</v>
      </c>
      <c r="T33" s="255">
        <v>64</v>
      </c>
      <c r="U33" s="255">
        <v>60</v>
      </c>
      <c r="V33" s="323">
        <v>229</v>
      </c>
      <c r="W33" s="255"/>
      <c r="X33" s="255"/>
      <c r="Y33" s="255"/>
      <c r="Z33" s="323">
        <v>0</v>
      </c>
      <c r="AA33" s="254">
        <f t="shared" si="9"/>
        <v>2069</v>
      </c>
      <c r="AB33" s="255">
        <f t="shared" si="9"/>
        <v>2237</v>
      </c>
      <c r="AC33" s="255">
        <f t="shared" si="9"/>
        <v>2221</v>
      </c>
      <c r="AD33" s="323">
        <f t="shared" si="9"/>
        <v>2510</v>
      </c>
    </row>
    <row r="34" spans="1:31" s="332" customFormat="1" ht="22.5" customHeight="1">
      <c r="A34" s="322"/>
      <c r="B34" s="211" t="s">
        <v>1050</v>
      </c>
      <c r="C34" s="255">
        <v>1508</v>
      </c>
      <c r="D34" s="255">
        <v>1693</v>
      </c>
      <c r="E34" s="255">
        <v>1766</v>
      </c>
      <c r="F34" s="340">
        <v>2453</v>
      </c>
      <c r="G34" s="255">
        <v>298</v>
      </c>
      <c r="H34" s="255">
        <v>252</v>
      </c>
      <c r="I34" s="255">
        <v>449</v>
      </c>
      <c r="J34" s="340">
        <v>455</v>
      </c>
      <c r="K34" s="255">
        <v>87</v>
      </c>
      <c r="L34" s="255">
        <v>122</v>
      </c>
      <c r="M34" s="255">
        <v>280</v>
      </c>
      <c r="N34" s="323">
        <v>284</v>
      </c>
      <c r="O34" s="255">
        <v>171</v>
      </c>
      <c r="P34" s="255">
        <v>269</v>
      </c>
      <c r="Q34" s="255">
        <v>367</v>
      </c>
      <c r="R34" s="323">
        <v>418</v>
      </c>
      <c r="S34" s="255">
        <v>14</v>
      </c>
      <c r="T34" s="255">
        <v>16</v>
      </c>
      <c r="U34" s="255">
        <v>55</v>
      </c>
      <c r="V34" s="323">
        <v>44</v>
      </c>
      <c r="W34" s="255">
        <v>1</v>
      </c>
      <c r="X34" s="255"/>
      <c r="Y34" s="255">
        <v>4</v>
      </c>
      <c r="Z34" s="323">
        <v>1</v>
      </c>
      <c r="AA34" s="254">
        <f t="shared" si="9"/>
        <v>2079</v>
      </c>
      <c r="AB34" s="255">
        <f t="shared" si="9"/>
        <v>2352</v>
      </c>
      <c r="AC34" s="255">
        <f t="shared" si="9"/>
        <v>2921</v>
      </c>
      <c r="AD34" s="323">
        <f t="shared" si="9"/>
        <v>3655</v>
      </c>
    </row>
    <row r="35" spans="1:31" s="332" customFormat="1" ht="22.5" customHeight="1">
      <c r="A35" s="322"/>
      <c r="B35" s="211" t="s">
        <v>1094</v>
      </c>
      <c r="C35" s="255">
        <v>29</v>
      </c>
      <c r="D35" s="255">
        <v>103</v>
      </c>
      <c r="E35" s="255">
        <v>196</v>
      </c>
      <c r="F35" s="340">
        <v>141</v>
      </c>
      <c r="G35" s="255">
        <v>55</v>
      </c>
      <c r="H35" s="255">
        <v>106</v>
      </c>
      <c r="I35" s="255">
        <v>129</v>
      </c>
      <c r="J35" s="340">
        <v>111</v>
      </c>
      <c r="K35" s="255"/>
      <c r="L35" s="255"/>
      <c r="M35" s="255"/>
      <c r="N35" s="323">
        <v>0</v>
      </c>
      <c r="O35" s="255"/>
      <c r="P35" s="255"/>
      <c r="Q35" s="255"/>
      <c r="R35" s="323">
        <v>0</v>
      </c>
      <c r="S35" s="255">
        <v>805</v>
      </c>
      <c r="T35" s="255">
        <v>360</v>
      </c>
      <c r="U35" s="255">
        <v>942</v>
      </c>
      <c r="V35" s="323">
        <v>1366</v>
      </c>
      <c r="W35" s="255"/>
      <c r="X35" s="255"/>
      <c r="Y35" s="255"/>
      <c r="Z35" s="323">
        <v>0</v>
      </c>
      <c r="AA35" s="254">
        <f t="shared" si="9"/>
        <v>889</v>
      </c>
      <c r="AB35" s="255">
        <f t="shared" si="9"/>
        <v>569</v>
      </c>
      <c r="AC35" s="255">
        <f t="shared" si="9"/>
        <v>1267</v>
      </c>
      <c r="AD35" s="323">
        <f t="shared" si="9"/>
        <v>1618</v>
      </c>
    </row>
    <row r="36" spans="1:31" s="332" customFormat="1" ht="22.5" customHeight="1">
      <c r="A36" s="322"/>
      <c r="B36" s="243" t="s">
        <v>868</v>
      </c>
      <c r="C36" s="255"/>
      <c r="D36" s="255">
        <v>103</v>
      </c>
      <c r="E36" s="255">
        <v>260</v>
      </c>
      <c r="F36" s="340">
        <v>59</v>
      </c>
      <c r="G36" s="255"/>
      <c r="H36" s="255"/>
      <c r="I36" s="255"/>
      <c r="J36" s="340">
        <v>0</v>
      </c>
      <c r="K36" s="255"/>
      <c r="L36" s="255"/>
      <c r="M36" s="255"/>
      <c r="N36" s="323">
        <v>0</v>
      </c>
      <c r="O36" s="255"/>
      <c r="P36" s="255"/>
      <c r="Q36" s="255"/>
      <c r="R36" s="323">
        <v>0</v>
      </c>
      <c r="S36" s="255"/>
      <c r="T36" s="255"/>
      <c r="U36" s="255"/>
      <c r="V36" s="323">
        <v>0</v>
      </c>
      <c r="W36" s="255"/>
      <c r="X36" s="255"/>
      <c r="Y36" s="255"/>
      <c r="Z36" s="323">
        <v>0</v>
      </c>
      <c r="AA36" s="254">
        <f t="shared" si="9"/>
        <v>0</v>
      </c>
      <c r="AB36" s="255">
        <f t="shared" si="9"/>
        <v>103</v>
      </c>
      <c r="AC36" s="255">
        <f t="shared" si="9"/>
        <v>260</v>
      </c>
      <c r="AD36" s="323">
        <f t="shared" si="9"/>
        <v>59</v>
      </c>
    </row>
    <row r="37" spans="1:31" s="332" customFormat="1" ht="22.5" customHeight="1">
      <c r="A37" s="322"/>
      <c r="B37" s="1271" t="s">
        <v>582</v>
      </c>
      <c r="C37" s="1272">
        <v>11894</v>
      </c>
      <c r="D37" s="1272">
        <v>13422</v>
      </c>
      <c r="E37" s="1272">
        <f>SUM(E32:E36)</f>
        <v>15669</v>
      </c>
      <c r="F37" s="1273">
        <f t="shared" ref="F37:Z37" si="10">SUM(F32:F36)</f>
        <v>17888</v>
      </c>
      <c r="G37" s="1272">
        <f t="shared" si="10"/>
        <v>836</v>
      </c>
      <c r="H37" s="1272">
        <f t="shared" si="10"/>
        <v>1096</v>
      </c>
      <c r="I37" s="1272">
        <f t="shared" si="10"/>
        <v>1785</v>
      </c>
      <c r="J37" s="1273">
        <f t="shared" si="10"/>
        <v>2047</v>
      </c>
      <c r="K37" s="1272">
        <f t="shared" si="10"/>
        <v>1241</v>
      </c>
      <c r="L37" s="1272">
        <f t="shared" si="10"/>
        <v>699</v>
      </c>
      <c r="M37" s="1272">
        <f t="shared" si="10"/>
        <v>1218</v>
      </c>
      <c r="N37" s="1274">
        <f t="shared" si="10"/>
        <v>1015</v>
      </c>
      <c r="O37" s="1272">
        <f t="shared" si="10"/>
        <v>689</v>
      </c>
      <c r="P37" s="1272">
        <f t="shared" si="10"/>
        <v>776</v>
      </c>
      <c r="Q37" s="1272">
        <f t="shared" si="10"/>
        <v>1951</v>
      </c>
      <c r="R37" s="1274">
        <f t="shared" si="10"/>
        <v>2026</v>
      </c>
      <c r="S37" s="1272">
        <f t="shared" si="10"/>
        <v>1137</v>
      </c>
      <c r="T37" s="1272">
        <f t="shared" si="10"/>
        <v>648</v>
      </c>
      <c r="U37" s="1272">
        <f t="shared" si="10"/>
        <v>1264</v>
      </c>
      <c r="V37" s="1274">
        <f t="shared" si="10"/>
        <v>1843</v>
      </c>
      <c r="W37" s="1272">
        <f t="shared" si="10"/>
        <v>1</v>
      </c>
      <c r="X37" s="1272">
        <f t="shared" si="10"/>
        <v>1</v>
      </c>
      <c r="Y37" s="1272">
        <f t="shared" si="10"/>
        <v>4</v>
      </c>
      <c r="Z37" s="1274">
        <f t="shared" si="10"/>
        <v>1</v>
      </c>
      <c r="AA37" s="1275">
        <f>SUM(AA32:AA36)</f>
        <v>15798</v>
      </c>
      <c r="AB37" s="1272">
        <f>SUM(AB32:AB36)</f>
        <v>16642</v>
      </c>
      <c r="AC37" s="1272">
        <f>SUM(AC32:AC36)</f>
        <v>21891</v>
      </c>
      <c r="AD37" s="1274">
        <f>SUM(AD32:AD36)</f>
        <v>24820</v>
      </c>
    </row>
    <row r="38" spans="1:31" s="332" customFormat="1" ht="22.5" customHeight="1">
      <c r="A38" s="322" t="s">
        <v>485</v>
      </c>
      <c r="B38" s="211" t="s">
        <v>586</v>
      </c>
      <c r="C38" s="255">
        <v>6170</v>
      </c>
      <c r="D38" s="255">
        <v>11685</v>
      </c>
      <c r="E38" s="255">
        <v>10677</v>
      </c>
      <c r="F38" s="340">
        <v>8801</v>
      </c>
      <c r="G38" s="255">
        <v>301</v>
      </c>
      <c r="H38" s="255">
        <v>289</v>
      </c>
      <c r="I38" s="255">
        <v>1130</v>
      </c>
      <c r="J38" s="340">
        <v>1036</v>
      </c>
      <c r="K38" s="255">
        <v>402</v>
      </c>
      <c r="L38" s="255">
        <v>491</v>
      </c>
      <c r="M38" s="255">
        <v>567</v>
      </c>
      <c r="N38" s="323">
        <v>767</v>
      </c>
      <c r="O38" s="255">
        <v>303</v>
      </c>
      <c r="P38" s="255">
        <v>504</v>
      </c>
      <c r="Q38" s="255">
        <v>930</v>
      </c>
      <c r="R38" s="323">
        <v>896</v>
      </c>
      <c r="S38" s="255">
        <v>156</v>
      </c>
      <c r="T38" s="255">
        <v>171</v>
      </c>
      <c r="U38" s="255">
        <v>297</v>
      </c>
      <c r="V38" s="323">
        <v>274</v>
      </c>
      <c r="W38" s="255"/>
      <c r="X38" s="255"/>
      <c r="Y38" s="255"/>
      <c r="Z38" s="323">
        <v>0</v>
      </c>
      <c r="AA38" s="254">
        <f t="shared" ref="AA38:AD40" si="11">+W38+S38+O38+K38+G38+C38</f>
        <v>7332</v>
      </c>
      <c r="AB38" s="255">
        <f t="shared" si="11"/>
        <v>13140</v>
      </c>
      <c r="AC38" s="255">
        <f t="shared" si="11"/>
        <v>13601</v>
      </c>
      <c r="AD38" s="323">
        <f t="shared" si="11"/>
        <v>11774</v>
      </c>
    </row>
    <row r="39" spans="1:31" s="332" customFormat="1" ht="22.5" customHeight="1">
      <c r="A39" s="322"/>
      <c r="B39" s="243" t="s">
        <v>750</v>
      </c>
      <c r="C39" s="255">
        <v>686</v>
      </c>
      <c r="D39" s="255">
        <v>2010</v>
      </c>
      <c r="E39" s="255">
        <v>2185</v>
      </c>
      <c r="F39" s="340">
        <v>1997</v>
      </c>
      <c r="G39" s="255">
        <v>35</v>
      </c>
      <c r="H39" s="255">
        <v>41</v>
      </c>
      <c r="I39" s="255">
        <v>111</v>
      </c>
      <c r="J39" s="340">
        <v>140</v>
      </c>
      <c r="K39" s="255">
        <v>140</v>
      </c>
      <c r="L39" s="255">
        <v>234</v>
      </c>
      <c r="M39" s="255">
        <v>118</v>
      </c>
      <c r="N39" s="323">
        <v>379</v>
      </c>
      <c r="O39" s="255">
        <v>73</v>
      </c>
      <c r="P39" s="255">
        <v>141</v>
      </c>
      <c r="Q39" s="255">
        <v>209</v>
      </c>
      <c r="R39" s="323">
        <v>203</v>
      </c>
      <c r="S39" s="255">
        <v>28</v>
      </c>
      <c r="T39" s="255">
        <v>64</v>
      </c>
      <c r="U39" s="255">
        <v>96</v>
      </c>
      <c r="V39" s="323">
        <v>103</v>
      </c>
      <c r="W39" s="255"/>
      <c r="X39" s="255"/>
      <c r="Y39" s="255"/>
      <c r="Z39" s="323">
        <v>0</v>
      </c>
      <c r="AA39" s="254">
        <f t="shared" si="11"/>
        <v>962</v>
      </c>
      <c r="AB39" s="255">
        <f t="shared" si="11"/>
        <v>2490</v>
      </c>
      <c r="AC39" s="255">
        <f t="shared" si="11"/>
        <v>2719</v>
      </c>
      <c r="AD39" s="323">
        <f t="shared" si="11"/>
        <v>2822</v>
      </c>
    </row>
    <row r="40" spans="1:31" s="332" customFormat="1" ht="22.5" customHeight="1">
      <c r="A40" s="322"/>
      <c r="B40" s="211" t="s">
        <v>1051</v>
      </c>
      <c r="C40" s="255">
        <v>1013</v>
      </c>
      <c r="D40" s="255">
        <v>1383</v>
      </c>
      <c r="E40" s="255">
        <v>853</v>
      </c>
      <c r="F40" s="340">
        <v>1305</v>
      </c>
      <c r="G40" s="255">
        <v>32</v>
      </c>
      <c r="H40" s="255">
        <v>36</v>
      </c>
      <c r="I40" s="255">
        <v>143</v>
      </c>
      <c r="J40" s="340">
        <v>104</v>
      </c>
      <c r="K40" s="255">
        <v>25</v>
      </c>
      <c r="L40" s="255">
        <v>95</v>
      </c>
      <c r="M40" s="255">
        <v>122</v>
      </c>
      <c r="N40" s="323">
        <v>135</v>
      </c>
      <c r="O40" s="255">
        <v>27</v>
      </c>
      <c r="P40" s="255">
        <v>72</v>
      </c>
      <c r="Q40" s="255">
        <v>124</v>
      </c>
      <c r="R40" s="323">
        <v>116</v>
      </c>
      <c r="S40" s="255">
        <v>2</v>
      </c>
      <c r="T40" s="255">
        <v>18</v>
      </c>
      <c r="U40" s="255">
        <v>16</v>
      </c>
      <c r="V40" s="323">
        <v>15</v>
      </c>
      <c r="W40" s="255"/>
      <c r="X40" s="255"/>
      <c r="Y40" s="255"/>
      <c r="Z40" s="323">
        <v>3</v>
      </c>
      <c r="AA40" s="254">
        <f t="shared" si="11"/>
        <v>1099</v>
      </c>
      <c r="AB40" s="255">
        <f t="shared" si="11"/>
        <v>1604</v>
      </c>
      <c r="AC40" s="255">
        <f t="shared" si="11"/>
        <v>1258</v>
      </c>
      <c r="AD40" s="323">
        <f t="shared" si="11"/>
        <v>1678</v>
      </c>
    </row>
    <row r="41" spans="1:31" s="332" customFormat="1" ht="22.5" customHeight="1">
      <c r="A41" s="322"/>
      <c r="B41" s="1271" t="s">
        <v>582</v>
      </c>
      <c r="C41" s="1272">
        <v>7869</v>
      </c>
      <c r="D41" s="1272">
        <v>15078</v>
      </c>
      <c r="E41" s="1272">
        <f>SUM(E38:E40)</f>
        <v>13715</v>
      </c>
      <c r="F41" s="1273">
        <f t="shared" ref="F41:Z41" si="12">SUM(F38:F40)</f>
        <v>12103</v>
      </c>
      <c r="G41" s="1272">
        <f t="shared" si="12"/>
        <v>368</v>
      </c>
      <c r="H41" s="1272">
        <f t="shared" si="12"/>
        <v>366</v>
      </c>
      <c r="I41" s="1272">
        <f t="shared" si="12"/>
        <v>1384</v>
      </c>
      <c r="J41" s="1273">
        <f t="shared" si="12"/>
        <v>1280</v>
      </c>
      <c r="K41" s="1272">
        <f t="shared" si="12"/>
        <v>567</v>
      </c>
      <c r="L41" s="1272">
        <f t="shared" si="12"/>
        <v>820</v>
      </c>
      <c r="M41" s="1272">
        <f t="shared" si="12"/>
        <v>807</v>
      </c>
      <c r="N41" s="1274">
        <f t="shared" si="12"/>
        <v>1281</v>
      </c>
      <c r="O41" s="1272">
        <f t="shared" si="12"/>
        <v>403</v>
      </c>
      <c r="P41" s="1272">
        <f t="shared" si="12"/>
        <v>717</v>
      </c>
      <c r="Q41" s="1272">
        <f t="shared" si="12"/>
        <v>1263</v>
      </c>
      <c r="R41" s="1274">
        <f t="shared" si="12"/>
        <v>1215</v>
      </c>
      <c r="S41" s="1272">
        <f t="shared" si="12"/>
        <v>186</v>
      </c>
      <c r="T41" s="1272">
        <f t="shared" si="12"/>
        <v>253</v>
      </c>
      <c r="U41" s="1272">
        <f t="shared" si="12"/>
        <v>409</v>
      </c>
      <c r="V41" s="1274">
        <f t="shared" si="12"/>
        <v>392</v>
      </c>
      <c r="W41" s="1272">
        <f t="shared" si="12"/>
        <v>0</v>
      </c>
      <c r="X41" s="1272">
        <f t="shared" si="12"/>
        <v>0</v>
      </c>
      <c r="Y41" s="1272">
        <f t="shared" si="12"/>
        <v>0</v>
      </c>
      <c r="Z41" s="1274">
        <f t="shared" si="12"/>
        <v>3</v>
      </c>
      <c r="AA41" s="1275">
        <f>SUM(AA38:AA40)</f>
        <v>9393</v>
      </c>
      <c r="AB41" s="1272">
        <f>SUM(AB38:AB40)</f>
        <v>17234</v>
      </c>
      <c r="AC41" s="1272">
        <f>SUM(AC38:AC40)</f>
        <v>17578</v>
      </c>
      <c r="AD41" s="1274">
        <f>SUM(AD38:AD40)</f>
        <v>16274</v>
      </c>
    </row>
    <row r="42" spans="1:31" s="332" customFormat="1" ht="22.5" customHeight="1">
      <c r="A42" s="322" t="s">
        <v>486</v>
      </c>
      <c r="B42" s="243" t="s">
        <v>751</v>
      </c>
      <c r="C42" s="255">
        <v>7893</v>
      </c>
      <c r="D42" s="255">
        <v>10427</v>
      </c>
      <c r="E42" s="255">
        <v>13208</v>
      </c>
      <c r="F42" s="340">
        <v>10265</v>
      </c>
      <c r="G42" s="255">
        <v>263</v>
      </c>
      <c r="H42" s="255">
        <v>220</v>
      </c>
      <c r="I42" s="255">
        <v>530</v>
      </c>
      <c r="J42" s="340">
        <v>1163</v>
      </c>
      <c r="K42" s="255">
        <v>181</v>
      </c>
      <c r="L42" s="255">
        <v>254</v>
      </c>
      <c r="M42" s="255">
        <v>476</v>
      </c>
      <c r="N42" s="323">
        <v>237</v>
      </c>
      <c r="O42" s="255">
        <v>369</v>
      </c>
      <c r="P42" s="255">
        <v>679</v>
      </c>
      <c r="Q42" s="255">
        <v>1028</v>
      </c>
      <c r="R42" s="323">
        <v>753</v>
      </c>
      <c r="S42" s="255">
        <v>289</v>
      </c>
      <c r="T42" s="255">
        <v>379</v>
      </c>
      <c r="U42" s="255">
        <v>386</v>
      </c>
      <c r="V42" s="323">
        <v>316</v>
      </c>
      <c r="W42" s="255"/>
      <c r="X42" s="255"/>
      <c r="Y42" s="255"/>
      <c r="Z42" s="323">
        <v>0</v>
      </c>
      <c r="AA42" s="254">
        <f t="shared" ref="AA42:AD46" si="13">+W42+S42+O42+K42+G42+C42</f>
        <v>8995</v>
      </c>
      <c r="AB42" s="255">
        <f t="shared" si="13"/>
        <v>11959</v>
      </c>
      <c r="AC42" s="255">
        <f t="shared" si="13"/>
        <v>15628</v>
      </c>
      <c r="AD42" s="323">
        <f t="shared" si="13"/>
        <v>12734</v>
      </c>
    </row>
    <row r="43" spans="1:31" s="332" customFormat="1" ht="22.5" customHeight="1">
      <c r="A43" s="322" t="s">
        <v>869</v>
      </c>
      <c r="B43" s="211" t="s">
        <v>752</v>
      </c>
      <c r="C43" s="255">
        <v>10611</v>
      </c>
      <c r="D43" s="255">
        <v>12847</v>
      </c>
      <c r="E43" s="255">
        <v>12559</v>
      </c>
      <c r="F43" s="340">
        <v>10060</v>
      </c>
      <c r="G43" s="255">
        <v>469</v>
      </c>
      <c r="H43" s="255">
        <v>499</v>
      </c>
      <c r="I43" s="255">
        <v>1592</v>
      </c>
      <c r="J43" s="340">
        <v>1842</v>
      </c>
      <c r="K43" s="255">
        <v>2</v>
      </c>
      <c r="L43" s="255">
        <v>9</v>
      </c>
      <c r="M43" s="255">
        <v>20</v>
      </c>
      <c r="N43" s="323">
        <v>18</v>
      </c>
      <c r="O43" s="255">
        <v>556</v>
      </c>
      <c r="P43" s="255">
        <v>884</v>
      </c>
      <c r="Q43" s="255">
        <v>1493</v>
      </c>
      <c r="R43" s="323">
        <v>1767</v>
      </c>
      <c r="S43" s="255">
        <v>215</v>
      </c>
      <c r="T43" s="255">
        <v>269</v>
      </c>
      <c r="U43" s="255">
        <v>237</v>
      </c>
      <c r="V43" s="323">
        <v>439</v>
      </c>
      <c r="W43" s="255"/>
      <c r="X43" s="255"/>
      <c r="Y43" s="255"/>
      <c r="Z43" s="323">
        <v>50</v>
      </c>
      <c r="AA43" s="254">
        <f t="shared" si="13"/>
        <v>11853</v>
      </c>
      <c r="AB43" s="255">
        <f t="shared" si="13"/>
        <v>14508</v>
      </c>
      <c r="AC43" s="255">
        <f t="shared" si="13"/>
        <v>15901</v>
      </c>
      <c r="AD43" s="323">
        <f t="shared" si="13"/>
        <v>14176</v>
      </c>
    </row>
    <row r="44" spans="1:31" s="332" customFormat="1" ht="22.5" customHeight="1">
      <c r="A44" s="322"/>
      <c r="B44" s="211" t="s">
        <v>902</v>
      </c>
      <c r="C44" s="255">
        <v>243</v>
      </c>
      <c r="D44" s="255">
        <v>655</v>
      </c>
      <c r="E44" s="255">
        <v>581</v>
      </c>
      <c r="F44" s="340">
        <v>445</v>
      </c>
      <c r="G44" s="255">
        <v>279</v>
      </c>
      <c r="H44" s="255">
        <v>491</v>
      </c>
      <c r="I44" s="255">
        <v>656</v>
      </c>
      <c r="J44" s="340">
        <v>735</v>
      </c>
      <c r="K44" s="255"/>
      <c r="L44" s="255"/>
      <c r="M44" s="255"/>
      <c r="N44" s="323">
        <v>0</v>
      </c>
      <c r="O44" s="255"/>
      <c r="P44" s="255"/>
      <c r="Q44" s="255">
        <v>4</v>
      </c>
      <c r="R44" s="323">
        <v>13</v>
      </c>
      <c r="S44" s="255">
        <v>835</v>
      </c>
      <c r="T44" s="255">
        <v>940</v>
      </c>
      <c r="U44" s="255">
        <v>928</v>
      </c>
      <c r="V44" s="323">
        <v>927</v>
      </c>
      <c r="W44" s="255">
        <v>570</v>
      </c>
      <c r="X44" s="255">
        <v>568</v>
      </c>
      <c r="Y44" s="255"/>
      <c r="Z44" s="323">
        <v>0</v>
      </c>
      <c r="AA44" s="254">
        <f t="shared" si="13"/>
        <v>1927</v>
      </c>
      <c r="AB44" s="255">
        <f t="shared" si="13"/>
        <v>2654</v>
      </c>
      <c r="AC44" s="255">
        <f t="shared" si="13"/>
        <v>2169</v>
      </c>
      <c r="AD44" s="323">
        <f t="shared" si="13"/>
        <v>2120</v>
      </c>
    </row>
    <row r="45" spans="1:31" s="332" customFormat="1" ht="22.5" customHeight="1">
      <c r="A45" s="322" t="s">
        <v>488</v>
      </c>
      <c r="B45" s="211" t="s">
        <v>753</v>
      </c>
      <c r="C45" s="255">
        <v>13221</v>
      </c>
      <c r="D45" s="255">
        <v>14257</v>
      </c>
      <c r="E45" s="255">
        <v>12944</v>
      </c>
      <c r="F45" s="340">
        <v>12935</v>
      </c>
      <c r="G45" s="255">
        <v>347</v>
      </c>
      <c r="H45" s="255">
        <v>791</v>
      </c>
      <c r="I45" s="255">
        <v>1165</v>
      </c>
      <c r="J45" s="340">
        <v>1089</v>
      </c>
      <c r="K45" s="255">
        <v>90</v>
      </c>
      <c r="L45" s="255">
        <v>81</v>
      </c>
      <c r="M45" s="255">
        <v>32</v>
      </c>
      <c r="N45" s="323">
        <v>266</v>
      </c>
      <c r="O45" s="255">
        <v>359</v>
      </c>
      <c r="P45" s="255">
        <v>731</v>
      </c>
      <c r="Q45" s="255">
        <v>824</v>
      </c>
      <c r="R45" s="323">
        <v>817</v>
      </c>
      <c r="S45" s="255">
        <v>476</v>
      </c>
      <c r="T45" s="255">
        <v>869</v>
      </c>
      <c r="U45" s="255">
        <v>545</v>
      </c>
      <c r="V45" s="323">
        <v>647</v>
      </c>
      <c r="W45" s="255">
        <v>1</v>
      </c>
      <c r="X45" s="255">
        <v>4</v>
      </c>
      <c r="Y45" s="255"/>
      <c r="Z45" s="323">
        <v>0</v>
      </c>
      <c r="AA45" s="254">
        <f t="shared" si="13"/>
        <v>14494</v>
      </c>
      <c r="AB45" s="255">
        <f t="shared" si="13"/>
        <v>16733</v>
      </c>
      <c r="AC45" s="255">
        <f t="shared" si="13"/>
        <v>15510</v>
      </c>
      <c r="AD45" s="323">
        <f t="shared" si="13"/>
        <v>15754</v>
      </c>
    </row>
    <row r="46" spans="1:31" s="332" customFormat="1" ht="22.5" customHeight="1">
      <c r="A46" s="322"/>
      <c r="B46" s="211" t="s">
        <v>1045</v>
      </c>
      <c r="C46" s="255">
        <v>1233</v>
      </c>
      <c r="D46" s="255">
        <v>1552</v>
      </c>
      <c r="E46" s="255">
        <v>1927</v>
      </c>
      <c r="F46" s="340">
        <v>1647</v>
      </c>
      <c r="G46" s="255">
        <v>110</v>
      </c>
      <c r="H46" s="255">
        <v>167</v>
      </c>
      <c r="I46" s="255">
        <v>142</v>
      </c>
      <c r="J46" s="340">
        <v>203</v>
      </c>
      <c r="K46" s="255">
        <v>6</v>
      </c>
      <c r="L46" s="255">
        <v>1</v>
      </c>
      <c r="M46" s="255">
        <v>3</v>
      </c>
      <c r="N46" s="323">
        <v>46</v>
      </c>
      <c r="O46" s="255">
        <v>88</v>
      </c>
      <c r="P46" s="255">
        <v>161</v>
      </c>
      <c r="Q46" s="255">
        <v>98</v>
      </c>
      <c r="R46" s="323">
        <v>169</v>
      </c>
      <c r="S46" s="255">
        <v>39</v>
      </c>
      <c r="T46" s="255">
        <v>254</v>
      </c>
      <c r="U46" s="255">
        <v>31</v>
      </c>
      <c r="V46" s="323">
        <v>71</v>
      </c>
      <c r="W46" s="255"/>
      <c r="X46" s="255"/>
      <c r="Y46" s="255"/>
      <c r="Z46" s="323">
        <v>0</v>
      </c>
      <c r="AA46" s="254">
        <f t="shared" si="13"/>
        <v>1476</v>
      </c>
      <c r="AB46" s="255">
        <f t="shared" si="13"/>
        <v>2135</v>
      </c>
      <c r="AC46" s="255">
        <f t="shared" si="13"/>
        <v>2201</v>
      </c>
      <c r="AD46" s="323">
        <f t="shared" si="13"/>
        <v>2136</v>
      </c>
    </row>
    <row r="47" spans="1:31" s="332" customFormat="1" ht="22.5" customHeight="1">
      <c r="A47" s="322"/>
      <c r="B47" s="1279" t="s">
        <v>582</v>
      </c>
      <c r="C47" s="1272">
        <v>14454</v>
      </c>
      <c r="D47" s="1272">
        <v>15809</v>
      </c>
      <c r="E47" s="1272">
        <f>SUM(E45:E46)</f>
        <v>14871</v>
      </c>
      <c r="F47" s="1273">
        <f>SUM(F45:F46)</f>
        <v>14582</v>
      </c>
      <c r="G47" s="1272">
        <f t="shared" ref="G47:Z47" si="14">SUM(G45:G46)</f>
        <v>457</v>
      </c>
      <c r="H47" s="1272">
        <f t="shared" si="14"/>
        <v>958</v>
      </c>
      <c r="I47" s="1272">
        <f t="shared" si="14"/>
        <v>1307</v>
      </c>
      <c r="J47" s="1273">
        <f t="shared" si="14"/>
        <v>1292</v>
      </c>
      <c r="K47" s="1272">
        <f t="shared" si="14"/>
        <v>96</v>
      </c>
      <c r="L47" s="1272">
        <f t="shared" si="14"/>
        <v>82</v>
      </c>
      <c r="M47" s="1272">
        <f t="shared" si="14"/>
        <v>35</v>
      </c>
      <c r="N47" s="1274">
        <f t="shared" si="14"/>
        <v>312</v>
      </c>
      <c r="O47" s="1272">
        <f t="shared" si="14"/>
        <v>447</v>
      </c>
      <c r="P47" s="1272">
        <f t="shared" si="14"/>
        <v>892</v>
      </c>
      <c r="Q47" s="1272">
        <f t="shared" si="14"/>
        <v>922</v>
      </c>
      <c r="R47" s="1274">
        <f t="shared" si="14"/>
        <v>986</v>
      </c>
      <c r="S47" s="1272">
        <f t="shared" si="14"/>
        <v>515</v>
      </c>
      <c r="T47" s="1272">
        <f t="shared" si="14"/>
        <v>1123</v>
      </c>
      <c r="U47" s="1272">
        <f t="shared" si="14"/>
        <v>576</v>
      </c>
      <c r="V47" s="1274">
        <f t="shared" si="14"/>
        <v>718</v>
      </c>
      <c r="W47" s="1272">
        <f t="shared" si="14"/>
        <v>1</v>
      </c>
      <c r="X47" s="1272">
        <f t="shared" si="14"/>
        <v>4</v>
      </c>
      <c r="Y47" s="1272">
        <f t="shared" si="14"/>
        <v>0</v>
      </c>
      <c r="Z47" s="1274">
        <f t="shared" si="14"/>
        <v>0</v>
      </c>
      <c r="AA47" s="1275">
        <f>SUM(AA45:AA46)</f>
        <v>15970</v>
      </c>
      <c r="AB47" s="1272">
        <f>SUM(AB45:AB46)</f>
        <v>18868</v>
      </c>
      <c r="AC47" s="1272">
        <f>SUM(AC45:AC46)</f>
        <v>17711</v>
      </c>
      <c r="AD47" s="1274">
        <f>SUM(AD45:AD46)</f>
        <v>17890</v>
      </c>
    </row>
    <row r="48" spans="1:31" s="6" customFormat="1" ht="22.5" customHeight="1">
      <c r="A48" s="1280" t="s">
        <v>870</v>
      </c>
      <c r="B48" s="1281"/>
      <c r="C48" s="1282">
        <v>79458</v>
      </c>
      <c r="D48" s="1282">
        <v>105671</v>
      </c>
      <c r="E48" s="1282">
        <f>+E31+E37+E41+E42+E43+E47+E44</f>
        <v>113633</v>
      </c>
      <c r="F48" s="1283">
        <f>+F31+F37+F41+F42+F43+F47+F44</f>
        <v>105461</v>
      </c>
      <c r="G48" s="1282">
        <f t="shared" ref="G48:Z48" si="15">+G31+G37+G41+G42+G43+G47+G44</f>
        <v>6042</v>
      </c>
      <c r="H48" s="1282">
        <f t="shared" si="15"/>
        <v>7396</v>
      </c>
      <c r="I48" s="1282">
        <f t="shared" si="15"/>
        <v>13303</v>
      </c>
      <c r="J48" s="1283">
        <f t="shared" si="15"/>
        <v>17218</v>
      </c>
      <c r="K48" s="1282">
        <f t="shared" si="15"/>
        <v>3718</v>
      </c>
      <c r="L48" s="1282">
        <f t="shared" si="15"/>
        <v>3833</v>
      </c>
      <c r="M48" s="1282">
        <f t="shared" si="15"/>
        <v>7379</v>
      </c>
      <c r="N48" s="1283">
        <f t="shared" si="15"/>
        <v>12008</v>
      </c>
      <c r="O48" s="1282">
        <f t="shared" si="15"/>
        <v>3772</v>
      </c>
      <c r="P48" s="1282">
        <f t="shared" si="15"/>
        <v>7221</v>
      </c>
      <c r="Q48" s="1282">
        <f t="shared" si="15"/>
        <v>11650</v>
      </c>
      <c r="R48" s="1283">
        <f t="shared" si="15"/>
        <v>11635</v>
      </c>
      <c r="S48" s="1282">
        <f t="shared" si="15"/>
        <v>4835</v>
      </c>
      <c r="T48" s="1282">
        <f t="shared" si="15"/>
        <v>6285</v>
      </c>
      <c r="U48" s="1282">
        <f t="shared" si="15"/>
        <v>6953</v>
      </c>
      <c r="V48" s="1283">
        <f t="shared" si="15"/>
        <v>8254</v>
      </c>
      <c r="W48" s="1282">
        <f t="shared" si="15"/>
        <v>2917</v>
      </c>
      <c r="X48" s="1282">
        <f t="shared" si="15"/>
        <v>3707</v>
      </c>
      <c r="Y48" s="1282">
        <f t="shared" si="15"/>
        <v>2966</v>
      </c>
      <c r="Z48" s="1283">
        <f t="shared" si="15"/>
        <v>54</v>
      </c>
      <c r="AA48" s="1284">
        <f t="shared" ref="AA48:AC48" si="16">+AA31+AA37+AA41+AA42+AA43+AA47+AA44</f>
        <v>100742</v>
      </c>
      <c r="AB48" s="1282">
        <f t="shared" si="16"/>
        <v>134113</v>
      </c>
      <c r="AC48" s="1282">
        <f t="shared" si="16"/>
        <v>155884</v>
      </c>
      <c r="AD48" s="1283">
        <f t="shared" ref="AD48" si="17">+AD31+AD37+AD41+AD42+AD43+AD47+AD44</f>
        <v>154630</v>
      </c>
      <c r="AE48" s="94"/>
    </row>
    <row r="49" spans="1:45" s="332" customFormat="1" ht="22.5" customHeight="1">
      <c r="A49" s="1578" t="s">
        <v>594</v>
      </c>
      <c r="B49" s="1579"/>
      <c r="C49" s="1285">
        <v>131597</v>
      </c>
      <c r="D49" s="1285">
        <v>161771</v>
      </c>
      <c r="E49" s="1285">
        <f>+E23+E48</f>
        <v>173115</v>
      </c>
      <c r="F49" s="1286">
        <f>+F23+F48</f>
        <v>169391</v>
      </c>
      <c r="G49" s="1285">
        <f t="shared" ref="G49:Z49" si="18">+G23+G48</f>
        <v>9263</v>
      </c>
      <c r="H49" s="1285">
        <f t="shared" si="18"/>
        <v>10923</v>
      </c>
      <c r="I49" s="1285">
        <f t="shared" si="18"/>
        <v>19888</v>
      </c>
      <c r="J49" s="1286">
        <f t="shared" si="18"/>
        <v>24956</v>
      </c>
      <c r="K49" s="1285">
        <f t="shared" si="18"/>
        <v>4970</v>
      </c>
      <c r="L49" s="1285">
        <f t="shared" si="18"/>
        <v>5027</v>
      </c>
      <c r="M49" s="1285">
        <f t="shared" si="18"/>
        <v>10108</v>
      </c>
      <c r="N49" s="1286">
        <f t="shared" si="18"/>
        <v>15382</v>
      </c>
      <c r="O49" s="1285">
        <f t="shared" si="18"/>
        <v>5487</v>
      </c>
      <c r="P49" s="1285">
        <f t="shared" si="18"/>
        <v>11409</v>
      </c>
      <c r="Q49" s="1285">
        <f t="shared" si="18"/>
        <v>19247</v>
      </c>
      <c r="R49" s="1286">
        <f t="shared" si="18"/>
        <v>20717</v>
      </c>
      <c r="S49" s="1285">
        <f t="shared" si="18"/>
        <v>8167</v>
      </c>
      <c r="T49" s="1285">
        <f t="shared" si="18"/>
        <v>9940</v>
      </c>
      <c r="U49" s="1285">
        <f t="shared" si="18"/>
        <v>11450</v>
      </c>
      <c r="V49" s="1286">
        <f t="shared" si="18"/>
        <v>12462</v>
      </c>
      <c r="W49" s="1285">
        <f t="shared" si="18"/>
        <v>4623</v>
      </c>
      <c r="X49" s="1285">
        <f t="shared" si="18"/>
        <v>5282</v>
      </c>
      <c r="Y49" s="1285">
        <f t="shared" si="18"/>
        <v>3970</v>
      </c>
      <c r="Z49" s="1286">
        <f t="shared" si="18"/>
        <v>54</v>
      </c>
      <c r="AA49" s="1287">
        <f>+AA23+AA48</f>
        <v>164107</v>
      </c>
      <c r="AB49" s="1285">
        <f>+AB23+AB48</f>
        <v>204352</v>
      </c>
      <c r="AC49" s="1285">
        <f>+AC23+AC48</f>
        <v>237778</v>
      </c>
      <c r="AD49" s="1286">
        <f>+AD23+AD48</f>
        <v>242962</v>
      </c>
      <c r="AE49" s="334"/>
      <c r="AF49" s="334"/>
      <c r="AG49" s="334"/>
      <c r="AH49" s="334"/>
      <c r="AI49" s="334"/>
      <c r="AJ49" s="334"/>
      <c r="AK49" s="334"/>
      <c r="AL49" s="334"/>
      <c r="AM49" s="334"/>
      <c r="AN49" s="334"/>
      <c r="AO49" s="334"/>
      <c r="AP49" s="334"/>
      <c r="AQ49" s="334"/>
      <c r="AR49" s="334"/>
      <c r="AS49" s="334"/>
    </row>
    <row r="51" spans="1:45">
      <c r="F51" s="842"/>
      <c r="G51" s="271"/>
      <c r="H51" s="271"/>
      <c r="J51" s="842"/>
      <c r="K51" s="271"/>
      <c r="L51" s="271"/>
      <c r="N51" s="842"/>
      <c r="O51" s="271"/>
      <c r="P51" s="271"/>
      <c r="R51" s="842"/>
      <c r="S51" s="271"/>
      <c r="T51" s="271"/>
      <c r="V51" s="842"/>
      <c r="W51" s="271"/>
      <c r="X51" s="271"/>
      <c r="Z51" s="842"/>
      <c r="AA51" s="271"/>
      <c r="AB51" s="271"/>
      <c r="AC51" s="271"/>
      <c r="AD51" s="842"/>
    </row>
    <row r="52" spans="1:45">
      <c r="F52" s="271"/>
      <c r="G52" s="271"/>
      <c r="H52" s="271"/>
      <c r="J52" s="271"/>
      <c r="K52" s="271"/>
      <c r="L52" s="271"/>
      <c r="N52" s="271"/>
      <c r="O52" s="271"/>
      <c r="P52" s="271"/>
      <c r="R52" s="271"/>
      <c r="S52" s="271"/>
      <c r="T52" s="271"/>
      <c r="V52" s="271"/>
      <c r="W52" s="271"/>
      <c r="X52" s="271"/>
      <c r="Z52" s="271"/>
      <c r="AA52" s="271"/>
      <c r="AB52" s="271"/>
      <c r="AC52" s="271"/>
      <c r="AD52" s="271"/>
    </row>
    <row r="53" spans="1:45">
      <c r="F53" s="271"/>
      <c r="G53" s="271"/>
      <c r="H53" s="271"/>
      <c r="J53" s="271"/>
      <c r="K53" s="271"/>
      <c r="L53" s="271"/>
      <c r="N53" s="271"/>
      <c r="O53" s="271"/>
      <c r="P53" s="271"/>
      <c r="R53" s="271"/>
      <c r="S53" s="271"/>
      <c r="T53" s="271"/>
      <c r="V53" s="271"/>
      <c r="W53" s="271"/>
      <c r="X53" s="271"/>
      <c r="Z53" s="271"/>
      <c r="AA53" s="271"/>
      <c r="AB53" s="271"/>
      <c r="AC53" s="271"/>
      <c r="AD53" s="271"/>
    </row>
    <row r="54" spans="1:45">
      <c r="F54" s="271"/>
      <c r="G54" s="300"/>
      <c r="H54" s="300"/>
      <c r="J54" s="271"/>
      <c r="K54" s="300"/>
      <c r="L54" s="300"/>
      <c r="N54" s="271"/>
      <c r="O54" s="300"/>
      <c r="P54" s="300"/>
      <c r="R54" s="271"/>
      <c r="S54" s="300"/>
      <c r="T54" s="300"/>
      <c r="V54" s="271"/>
      <c r="W54" s="300"/>
      <c r="X54" s="300"/>
      <c r="Z54" s="271"/>
      <c r="AA54" s="300"/>
      <c r="AB54" s="300"/>
      <c r="AC54" s="300"/>
      <c r="AD54" s="271"/>
    </row>
    <row r="55" spans="1:45">
      <c r="F55" s="271"/>
      <c r="G55" s="286"/>
      <c r="H55" s="286"/>
      <c r="J55" s="271"/>
      <c r="K55" s="286"/>
      <c r="N55" s="271"/>
      <c r="R55" s="271"/>
      <c r="V55" s="271"/>
      <c r="Z55" s="271"/>
      <c r="AD55" s="271"/>
    </row>
    <row r="56" spans="1:45">
      <c r="F56" s="271"/>
      <c r="G56" s="286"/>
      <c r="H56" s="286"/>
      <c r="J56" s="271"/>
      <c r="K56" s="286"/>
      <c r="N56" s="271"/>
      <c r="R56" s="271"/>
      <c r="V56" s="271"/>
      <c r="Z56" s="271"/>
      <c r="AD56" s="271"/>
    </row>
  </sheetData>
  <mergeCells count="1">
    <mergeCell ref="A49:B49"/>
  </mergeCells>
  <phoneticPr fontId="18"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Z56"/>
  <sheetViews>
    <sheetView workbookViewId="0">
      <selection activeCell="C7" sqref="C7"/>
    </sheetView>
  </sheetViews>
  <sheetFormatPr baseColWidth="10" defaultColWidth="11.42578125" defaultRowHeight="12.75"/>
  <cols>
    <col min="1" max="1" width="12.42578125" customWidth="1"/>
    <col min="2" max="2" width="19.7109375" customWidth="1"/>
    <col min="3" max="3" width="8.28515625" customWidth="1"/>
    <col min="4" max="5" width="8" customWidth="1"/>
    <col min="6" max="6" width="7.7109375" customWidth="1"/>
    <col min="7" max="8" width="8.28515625" customWidth="1"/>
    <col min="9" max="9" width="8" customWidth="1"/>
    <col min="10" max="10" width="7.7109375" customWidth="1"/>
    <col min="11" max="12" width="7.28515625" customWidth="1"/>
    <col min="13" max="13" width="8" customWidth="1"/>
    <col min="14" max="14" width="7.7109375" customWidth="1"/>
    <col min="15" max="16" width="8.28515625" customWidth="1"/>
    <col min="17" max="17" width="8" customWidth="1"/>
    <col min="18" max="18" width="7.7109375" customWidth="1"/>
    <col min="19" max="20" width="7.28515625" customWidth="1"/>
    <col min="21" max="21" width="8" customWidth="1"/>
    <col min="22" max="22" width="7.7109375" customWidth="1"/>
    <col min="23" max="24" width="7.28515625" customWidth="1"/>
    <col min="25" max="25" width="8" customWidth="1"/>
    <col min="26" max="26" width="7.7109375" customWidth="1"/>
    <col min="27" max="27" width="8.7109375" customWidth="1"/>
    <col min="28" max="29" width="8.5703125" customWidth="1"/>
    <col min="30" max="30" width="9.28515625" customWidth="1"/>
    <col min="31" max="33" width="7.28515625" style="277" customWidth="1"/>
    <col min="34" max="16384" width="11.42578125" style="277"/>
  </cols>
  <sheetData>
    <row r="1" spans="1:30" ht="12">
      <c r="A1" s="1504" t="s">
        <v>857</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row>
    <row r="2" spans="1:30" ht="12">
      <c r="A2" s="1504" t="s">
        <v>874</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row>
    <row r="3" spans="1:30" ht="12">
      <c r="A3" s="1504" t="s">
        <v>814</v>
      </c>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row>
    <row r="4" spans="1:30" ht="12">
      <c r="A4" s="1504" t="str">
        <f>+'44'!A4:AC4</f>
        <v>2020 - 2023</v>
      </c>
      <c r="B4" s="1504"/>
      <c r="C4" s="1504"/>
      <c r="D4" s="1504"/>
      <c r="E4" s="1504"/>
      <c r="F4" s="1504"/>
      <c r="G4" s="1504"/>
      <c r="H4" s="1504"/>
      <c r="I4" s="1504"/>
      <c r="J4" s="1504"/>
      <c r="K4" s="1504"/>
      <c r="L4" s="1504"/>
      <c r="M4" s="1504"/>
      <c r="N4" s="1504"/>
      <c r="O4" s="1504"/>
      <c r="P4" s="1504"/>
      <c r="Q4" s="1504"/>
      <c r="R4" s="1504"/>
      <c r="S4" s="1504"/>
      <c r="T4" s="1504"/>
      <c r="U4" s="1504"/>
      <c r="V4" s="1504"/>
      <c r="W4" s="1504"/>
      <c r="X4" s="1504"/>
      <c r="Y4" s="1504"/>
      <c r="Z4" s="1504"/>
      <c r="AA4" s="1504"/>
      <c r="AB4" s="1504"/>
      <c r="AC4" s="1504"/>
      <c r="AD4" s="1504"/>
    </row>
    <row r="5" spans="1:30" ht="12">
      <c r="A5" s="277"/>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row>
    <row r="6" spans="1:30" ht="12">
      <c r="A6" s="277"/>
      <c r="B6" s="277"/>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row>
    <row r="7" spans="1:30" s="332" customFormat="1" ht="22.5" customHeight="1">
      <c r="A7" s="1266" t="s">
        <v>493</v>
      </c>
      <c r="B7" s="1267" t="s">
        <v>770</v>
      </c>
      <c r="C7" s="1105" t="s">
        <v>859</v>
      </c>
      <c r="D7" s="1259"/>
      <c r="E7" s="1259"/>
      <c r="F7" s="1117"/>
      <c r="G7" s="1105" t="s">
        <v>860</v>
      </c>
      <c r="H7" s="1259"/>
      <c r="I7" s="1259"/>
      <c r="J7" s="1117"/>
      <c r="K7" s="1105" t="s">
        <v>861</v>
      </c>
      <c r="L7" s="1259"/>
      <c r="M7" s="1259"/>
      <c r="N7" s="1117"/>
      <c r="O7" s="1105" t="s">
        <v>862</v>
      </c>
      <c r="P7" s="1259"/>
      <c r="Q7" s="1259"/>
      <c r="R7" s="1117"/>
      <c r="S7" s="1105" t="s">
        <v>863</v>
      </c>
      <c r="T7" s="1259"/>
      <c r="U7" s="1259"/>
      <c r="V7" s="1117"/>
      <c r="W7" s="1105" t="s">
        <v>1272</v>
      </c>
      <c r="X7" s="1259"/>
      <c r="Y7" s="1259"/>
      <c r="Z7" s="1117"/>
      <c r="AA7" s="1105" t="s">
        <v>594</v>
      </c>
      <c r="AB7" s="1259"/>
      <c r="AC7" s="1259"/>
      <c r="AD7" s="1117"/>
    </row>
    <row r="8" spans="1:30" s="332" customFormat="1" ht="22.5" customHeight="1">
      <c r="A8" s="1269"/>
      <c r="B8" s="1270"/>
      <c r="C8" s="1145">
        <f>+'41'!C8</f>
        <v>2020</v>
      </c>
      <c r="D8" s="1268">
        <f>+'41'!D8</f>
        <v>2021</v>
      </c>
      <c r="E8" s="1268">
        <f>+'41'!E8</f>
        <v>2022</v>
      </c>
      <c r="F8" s="1146">
        <f>+'41'!F8</f>
        <v>2023</v>
      </c>
      <c r="G8" s="1145">
        <f>+'41'!G8</f>
        <v>2020</v>
      </c>
      <c r="H8" s="1268">
        <f>+'41'!H8</f>
        <v>2021</v>
      </c>
      <c r="I8" s="1268">
        <f>+'41'!I8</f>
        <v>2022</v>
      </c>
      <c r="J8" s="1146">
        <f>+'41'!J8</f>
        <v>2023</v>
      </c>
      <c r="K8" s="1145">
        <f>+'41'!K8</f>
        <v>2020</v>
      </c>
      <c r="L8" s="1268">
        <f>+'41'!L8</f>
        <v>2021</v>
      </c>
      <c r="M8" s="1268">
        <f>+'41'!M8</f>
        <v>2022</v>
      </c>
      <c r="N8" s="1146">
        <f>+'41'!N8</f>
        <v>2023</v>
      </c>
      <c r="O8" s="1145">
        <f>+'41'!O8</f>
        <v>2020</v>
      </c>
      <c r="P8" s="1268">
        <f>+'41'!P8</f>
        <v>2021</v>
      </c>
      <c r="Q8" s="1268">
        <f>+'41'!Q8</f>
        <v>2022</v>
      </c>
      <c r="R8" s="1146">
        <f>+'41'!R8</f>
        <v>2023</v>
      </c>
      <c r="S8" s="1145">
        <f>+'41'!S8</f>
        <v>2020</v>
      </c>
      <c r="T8" s="1268">
        <f>+'41'!T8</f>
        <v>2021</v>
      </c>
      <c r="U8" s="1268">
        <f>+'41'!U8</f>
        <v>2022</v>
      </c>
      <c r="V8" s="1146">
        <f>+'41'!V8</f>
        <v>2023</v>
      </c>
      <c r="W8" s="1145">
        <f>+'41'!W8</f>
        <v>2020</v>
      </c>
      <c r="X8" s="1268">
        <f>+'41'!X8</f>
        <v>2021</v>
      </c>
      <c r="Y8" s="1268">
        <f>+'41'!Y8</f>
        <v>2022</v>
      </c>
      <c r="Z8" s="1146">
        <f>+'41'!Z8</f>
        <v>2023</v>
      </c>
      <c r="AA8" s="1145">
        <f>+'41'!AA8</f>
        <v>2020</v>
      </c>
      <c r="AB8" s="1268">
        <f>+'41'!AB8</f>
        <v>2021</v>
      </c>
      <c r="AC8" s="1268">
        <f>+'41'!AC8</f>
        <v>2022</v>
      </c>
      <c r="AD8" s="1146">
        <f>+'41'!AD8</f>
        <v>2023</v>
      </c>
    </row>
    <row r="9" spans="1:30" s="332" customFormat="1" ht="22.5" customHeight="1">
      <c r="A9" s="322" t="s">
        <v>864</v>
      </c>
      <c r="B9" s="211" t="s">
        <v>1173</v>
      </c>
      <c r="C9" s="255">
        <v>7741</v>
      </c>
      <c r="D9" s="255">
        <v>10172</v>
      </c>
      <c r="E9" s="255">
        <v>10450</v>
      </c>
      <c r="F9" s="340">
        <v>12284</v>
      </c>
      <c r="G9" s="255">
        <v>672</v>
      </c>
      <c r="H9" s="255">
        <v>1378</v>
      </c>
      <c r="I9" s="255">
        <v>1925</v>
      </c>
      <c r="J9" s="340">
        <v>2577</v>
      </c>
      <c r="K9" s="255">
        <v>98</v>
      </c>
      <c r="L9" s="255">
        <v>39</v>
      </c>
      <c r="M9" s="255">
        <v>330</v>
      </c>
      <c r="N9" s="323">
        <v>471</v>
      </c>
      <c r="O9" s="255">
        <v>358</v>
      </c>
      <c r="P9" s="255">
        <v>1471</v>
      </c>
      <c r="Q9" s="255">
        <v>2048</v>
      </c>
      <c r="R9" s="323">
        <v>3075</v>
      </c>
      <c r="S9" s="255">
        <v>297</v>
      </c>
      <c r="T9" s="255">
        <v>321</v>
      </c>
      <c r="U9" s="255">
        <v>329</v>
      </c>
      <c r="V9" s="323">
        <v>497</v>
      </c>
      <c r="W9" s="255"/>
      <c r="X9" s="255">
        <v>1</v>
      </c>
      <c r="Y9" s="255"/>
      <c r="Z9" s="323">
        <v>0</v>
      </c>
      <c r="AA9" s="254">
        <f t="shared" ref="AA9:AD13" si="0">+W9+S9+O9+K9+G9+C9</f>
        <v>9166</v>
      </c>
      <c r="AB9" s="255">
        <f t="shared" si="0"/>
        <v>13382</v>
      </c>
      <c r="AC9" s="255">
        <f t="shared" si="0"/>
        <v>15082</v>
      </c>
      <c r="AD9" s="323">
        <f t="shared" si="0"/>
        <v>18904</v>
      </c>
    </row>
    <row r="10" spans="1:30" s="332" customFormat="1" ht="22.5" customHeight="1">
      <c r="A10" s="322"/>
      <c r="B10" s="211" t="s">
        <v>1174</v>
      </c>
      <c r="C10" s="255">
        <v>3282</v>
      </c>
      <c r="D10" s="255">
        <v>3250</v>
      </c>
      <c r="E10" s="255">
        <v>5816</v>
      </c>
      <c r="F10" s="340">
        <v>7230</v>
      </c>
      <c r="G10" s="255">
        <v>394</v>
      </c>
      <c r="H10" s="255">
        <v>6</v>
      </c>
      <c r="I10" s="255">
        <v>249</v>
      </c>
      <c r="J10" s="340">
        <v>606</v>
      </c>
      <c r="K10" s="255">
        <v>6</v>
      </c>
      <c r="L10" s="255">
        <v>7</v>
      </c>
      <c r="M10" s="255">
        <v>1</v>
      </c>
      <c r="N10" s="323">
        <v>1</v>
      </c>
      <c r="O10" s="255">
        <v>661</v>
      </c>
      <c r="P10" s="352">
        <v>880</v>
      </c>
      <c r="Q10" s="255">
        <v>1425</v>
      </c>
      <c r="R10" s="323">
        <v>1951</v>
      </c>
      <c r="S10" s="255">
        <v>153</v>
      </c>
      <c r="T10" s="255">
        <v>189</v>
      </c>
      <c r="U10" s="255">
        <v>260</v>
      </c>
      <c r="V10" s="323">
        <v>180</v>
      </c>
      <c r="W10" s="255">
        <v>79</v>
      </c>
      <c r="X10" s="255"/>
      <c r="Y10" s="255">
        <v>1</v>
      </c>
      <c r="Z10" s="323">
        <v>0</v>
      </c>
      <c r="AA10" s="254">
        <f t="shared" si="0"/>
        <v>4575</v>
      </c>
      <c r="AB10" s="255">
        <f t="shared" si="0"/>
        <v>4332</v>
      </c>
      <c r="AC10" s="255">
        <f t="shared" si="0"/>
        <v>7752</v>
      </c>
      <c r="AD10" s="323">
        <f t="shared" si="0"/>
        <v>9968</v>
      </c>
    </row>
    <row r="11" spans="1:30" s="332" customFormat="1" ht="22.5" customHeight="1">
      <c r="A11" s="322"/>
      <c r="B11" s="243" t="s">
        <v>739</v>
      </c>
      <c r="C11" s="255">
        <v>901</v>
      </c>
      <c r="D11" s="255">
        <v>1051</v>
      </c>
      <c r="E11" s="255">
        <v>1097</v>
      </c>
      <c r="F11" s="340">
        <v>1238</v>
      </c>
      <c r="G11" s="255">
        <v>105</v>
      </c>
      <c r="H11" s="255">
        <v>208</v>
      </c>
      <c r="I11" s="255">
        <v>302</v>
      </c>
      <c r="J11" s="340">
        <v>407</v>
      </c>
      <c r="K11" s="255">
        <v>12</v>
      </c>
      <c r="L11" s="255"/>
      <c r="M11" s="255">
        <v>72</v>
      </c>
      <c r="N11" s="323">
        <v>36</v>
      </c>
      <c r="O11" s="255">
        <v>57</v>
      </c>
      <c r="P11" s="255">
        <v>76</v>
      </c>
      <c r="Q11" s="255">
        <v>200</v>
      </c>
      <c r="R11" s="323">
        <v>316</v>
      </c>
      <c r="S11" s="255">
        <v>271</v>
      </c>
      <c r="T11" s="255">
        <v>145</v>
      </c>
      <c r="U11" s="255">
        <v>96</v>
      </c>
      <c r="V11" s="323">
        <v>53</v>
      </c>
      <c r="W11" s="255"/>
      <c r="X11" s="255"/>
      <c r="Y11" s="255"/>
      <c r="Z11" s="323">
        <v>0</v>
      </c>
      <c r="AA11" s="254">
        <f t="shared" si="0"/>
        <v>1346</v>
      </c>
      <c r="AB11" s="255">
        <f t="shared" si="0"/>
        <v>1480</v>
      </c>
      <c r="AC11" s="255">
        <f t="shared" si="0"/>
        <v>1767</v>
      </c>
      <c r="AD11" s="323">
        <f t="shared" si="0"/>
        <v>2050</v>
      </c>
    </row>
    <row r="12" spans="1:30" s="332" customFormat="1" ht="22.5" customHeight="1">
      <c r="A12" s="322"/>
      <c r="B12" s="211" t="s">
        <v>1410</v>
      </c>
      <c r="C12" s="255"/>
      <c r="D12" s="255"/>
      <c r="E12" s="255"/>
      <c r="F12" s="340">
        <v>0</v>
      </c>
      <c r="G12" s="255">
        <v>19</v>
      </c>
      <c r="H12" s="255">
        <v>271</v>
      </c>
      <c r="I12" s="255">
        <v>408</v>
      </c>
      <c r="J12" s="340">
        <v>343</v>
      </c>
      <c r="K12" s="255"/>
      <c r="L12" s="255"/>
      <c r="M12" s="255"/>
      <c r="N12" s="323">
        <v>0</v>
      </c>
      <c r="O12" s="255"/>
      <c r="P12" s="255"/>
      <c r="Q12" s="255"/>
      <c r="R12" s="323">
        <v>0</v>
      </c>
      <c r="S12" s="255">
        <v>142</v>
      </c>
      <c r="T12" s="255">
        <v>252</v>
      </c>
      <c r="U12" s="255">
        <v>218</v>
      </c>
      <c r="V12" s="323">
        <v>135</v>
      </c>
      <c r="W12" s="255">
        <v>740</v>
      </c>
      <c r="X12" s="255">
        <v>784</v>
      </c>
      <c r="Y12" s="255">
        <v>171</v>
      </c>
      <c r="Z12" s="323">
        <v>0</v>
      </c>
      <c r="AA12" s="254">
        <f t="shared" si="0"/>
        <v>901</v>
      </c>
      <c r="AB12" s="255">
        <f t="shared" si="0"/>
        <v>1307</v>
      </c>
      <c r="AC12" s="255">
        <f t="shared" si="0"/>
        <v>797</v>
      </c>
      <c r="AD12" s="323">
        <f t="shared" si="0"/>
        <v>478</v>
      </c>
    </row>
    <row r="13" spans="1:30" s="332" customFormat="1" ht="22.5" customHeight="1">
      <c r="A13" s="322"/>
      <c r="B13" s="211" t="s">
        <v>1056</v>
      </c>
      <c r="C13" s="352">
        <v>279</v>
      </c>
      <c r="D13" s="352">
        <v>346</v>
      </c>
      <c r="E13" s="352">
        <v>360</v>
      </c>
      <c r="F13" s="340">
        <v>363</v>
      </c>
      <c r="G13" s="255">
        <v>19</v>
      </c>
      <c r="H13" s="255">
        <v>23</v>
      </c>
      <c r="I13" s="352">
        <v>57</v>
      </c>
      <c r="J13" s="340">
        <v>67</v>
      </c>
      <c r="K13" s="255">
        <v>0</v>
      </c>
      <c r="L13" s="255">
        <v>2</v>
      </c>
      <c r="M13" s="352">
        <v>6</v>
      </c>
      <c r="N13" s="340">
        <v>7</v>
      </c>
      <c r="O13" s="255">
        <v>19</v>
      </c>
      <c r="P13" s="255">
        <v>38</v>
      </c>
      <c r="Q13" s="352">
        <v>117</v>
      </c>
      <c r="R13" s="340">
        <v>124</v>
      </c>
      <c r="S13" s="255">
        <v>9</v>
      </c>
      <c r="T13" s="255">
        <v>14</v>
      </c>
      <c r="U13" s="352">
        <v>7</v>
      </c>
      <c r="V13" s="340">
        <v>4</v>
      </c>
      <c r="W13" s="255"/>
      <c r="X13" s="255"/>
      <c r="Y13" s="352"/>
      <c r="Z13" s="340">
        <v>0</v>
      </c>
      <c r="AA13" s="254">
        <f t="shared" si="0"/>
        <v>326</v>
      </c>
      <c r="AB13" s="255">
        <f t="shared" si="0"/>
        <v>423</v>
      </c>
      <c r="AC13" s="255">
        <f t="shared" si="0"/>
        <v>547</v>
      </c>
      <c r="AD13" s="323">
        <f t="shared" si="0"/>
        <v>565</v>
      </c>
    </row>
    <row r="14" spans="1:30" s="332" customFormat="1" ht="22.5" customHeight="1">
      <c r="A14" s="322"/>
      <c r="B14" s="1271" t="s">
        <v>582</v>
      </c>
      <c r="C14" s="1272">
        <v>12203</v>
      </c>
      <c r="D14" s="1272">
        <v>14819</v>
      </c>
      <c r="E14" s="1272">
        <f>SUM(E9:E13)</f>
        <v>17723</v>
      </c>
      <c r="F14" s="1273">
        <f t="shared" ref="F14:Z14" si="1">SUM(F9:F13)</f>
        <v>21115</v>
      </c>
      <c r="G14" s="1272">
        <f t="shared" si="1"/>
        <v>1209</v>
      </c>
      <c r="H14" s="1272">
        <f t="shared" si="1"/>
        <v>1886</v>
      </c>
      <c r="I14" s="1272">
        <f t="shared" si="1"/>
        <v>2941</v>
      </c>
      <c r="J14" s="1273">
        <f t="shared" si="1"/>
        <v>4000</v>
      </c>
      <c r="K14" s="1272">
        <f t="shared" si="1"/>
        <v>116</v>
      </c>
      <c r="L14" s="1272">
        <f t="shared" si="1"/>
        <v>48</v>
      </c>
      <c r="M14" s="1272">
        <f t="shared" si="1"/>
        <v>409</v>
      </c>
      <c r="N14" s="1274">
        <f t="shared" si="1"/>
        <v>515</v>
      </c>
      <c r="O14" s="1272">
        <f t="shared" si="1"/>
        <v>1095</v>
      </c>
      <c r="P14" s="1272">
        <f t="shared" si="1"/>
        <v>2465</v>
      </c>
      <c r="Q14" s="1272">
        <f t="shared" si="1"/>
        <v>3790</v>
      </c>
      <c r="R14" s="1274">
        <f t="shared" si="1"/>
        <v>5466</v>
      </c>
      <c r="S14" s="1272">
        <f t="shared" si="1"/>
        <v>872</v>
      </c>
      <c r="T14" s="1272">
        <f t="shared" si="1"/>
        <v>921</v>
      </c>
      <c r="U14" s="1272">
        <f t="shared" si="1"/>
        <v>910</v>
      </c>
      <c r="V14" s="1274">
        <f t="shared" si="1"/>
        <v>869</v>
      </c>
      <c r="W14" s="1272">
        <f t="shared" si="1"/>
        <v>819</v>
      </c>
      <c r="X14" s="1272">
        <f t="shared" si="1"/>
        <v>785</v>
      </c>
      <c r="Y14" s="1272">
        <f t="shared" si="1"/>
        <v>172</v>
      </c>
      <c r="Z14" s="1274">
        <f t="shared" si="1"/>
        <v>0</v>
      </c>
      <c r="AA14" s="1275">
        <f>SUM(AA9:AA13)</f>
        <v>16314</v>
      </c>
      <c r="AB14" s="1272">
        <f>SUM(AB9:AB13)</f>
        <v>20924</v>
      </c>
      <c r="AC14" s="1272">
        <f>SUM(AC9:AC13)</f>
        <v>25945</v>
      </c>
      <c r="AD14" s="1274">
        <f>SUM(AD9:AD13)</f>
        <v>31965</v>
      </c>
    </row>
    <row r="15" spans="1:30" s="332" customFormat="1" ht="22.5" customHeight="1">
      <c r="A15" s="322" t="s">
        <v>479</v>
      </c>
      <c r="B15" s="211" t="s">
        <v>740</v>
      </c>
      <c r="C15" s="255">
        <v>3600</v>
      </c>
      <c r="D15" s="255">
        <v>4426</v>
      </c>
      <c r="E15" s="255">
        <v>4631</v>
      </c>
      <c r="F15" s="340">
        <v>4539</v>
      </c>
      <c r="G15" s="255">
        <v>459</v>
      </c>
      <c r="H15" s="255">
        <v>261</v>
      </c>
      <c r="I15" s="255">
        <v>1169</v>
      </c>
      <c r="J15" s="340">
        <v>997</v>
      </c>
      <c r="K15" s="255">
        <v>18</v>
      </c>
      <c r="L15" s="255">
        <v>17</v>
      </c>
      <c r="M15" s="255">
        <v>89</v>
      </c>
      <c r="N15" s="323">
        <v>82</v>
      </c>
      <c r="O15" s="255">
        <v>84</v>
      </c>
      <c r="P15" s="255">
        <v>373</v>
      </c>
      <c r="Q15" s="255">
        <v>616</v>
      </c>
      <c r="R15" s="323">
        <v>434</v>
      </c>
      <c r="S15" s="255">
        <v>1239</v>
      </c>
      <c r="T15" s="255">
        <v>872</v>
      </c>
      <c r="U15" s="255">
        <v>505</v>
      </c>
      <c r="V15" s="323">
        <v>919</v>
      </c>
      <c r="W15" s="255"/>
      <c r="X15" s="255"/>
      <c r="Y15" s="255">
        <v>2</v>
      </c>
      <c r="Z15" s="323">
        <v>0</v>
      </c>
      <c r="AA15" s="254">
        <f t="shared" ref="AA15:AD17" si="2">+W15+S15+O15+K15+G15+C15</f>
        <v>5400</v>
      </c>
      <c r="AB15" s="255">
        <f t="shared" si="2"/>
        <v>5949</v>
      </c>
      <c r="AC15" s="255">
        <f t="shared" si="2"/>
        <v>7012</v>
      </c>
      <c r="AD15" s="323">
        <f t="shared" si="2"/>
        <v>6971</v>
      </c>
    </row>
    <row r="16" spans="1:30" s="332" customFormat="1" ht="22.5" customHeight="1">
      <c r="A16" s="322"/>
      <c r="B16" s="211" t="s">
        <v>1061</v>
      </c>
      <c r="C16" s="255">
        <v>628</v>
      </c>
      <c r="D16" s="255">
        <v>532</v>
      </c>
      <c r="E16" s="255">
        <v>700</v>
      </c>
      <c r="F16" s="340">
        <v>799</v>
      </c>
      <c r="G16" s="255">
        <v>42</v>
      </c>
      <c r="H16" s="255">
        <v>21</v>
      </c>
      <c r="I16" s="255">
        <v>243</v>
      </c>
      <c r="J16" s="340">
        <v>270</v>
      </c>
      <c r="K16" s="255">
        <v>2</v>
      </c>
      <c r="L16" s="255">
        <v>1</v>
      </c>
      <c r="M16" s="255">
        <v>3</v>
      </c>
      <c r="N16" s="323">
        <v>17</v>
      </c>
      <c r="O16" s="255">
        <v>27</v>
      </c>
      <c r="P16" s="255">
        <v>58</v>
      </c>
      <c r="Q16" s="255">
        <v>29</v>
      </c>
      <c r="R16" s="323">
        <v>91</v>
      </c>
      <c r="S16" s="255">
        <v>31</v>
      </c>
      <c r="T16" s="255">
        <v>6</v>
      </c>
      <c r="U16" s="255">
        <v>40</v>
      </c>
      <c r="V16" s="323">
        <v>70</v>
      </c>
      <c r="W16" s="255"/>
      <c r="X16" s="255"/>
      <c r="Y16" s="255"/>
      <c r="Z16" s="323">
        <v>0</v>
      </c>
      <c r="AA16" s="254">
        <f t="shared" si="2"/>
        <v>730</v>
      </c>
      <c r="AB16" s="255">
        <f t="shared" si="2"/>
        <v>618</v>
      </c>
      <c r="AC16" s="255">
        <f t="shared" si="2"/>
        <v>1015</v>
      </c>
      <c r="AD16" s="323">
        <f t="shared" si="2"/>
        <v>1247</v>
      </c>
    </row>
    <row r="17" spans="1:43" s="332" customFormat="1" ht="22.5" customHeight="1">
      <c r="A17" s="322"/>
      <c r="B17" s="211" t="s">
        <v>1058</v>
      </c>
      <c r="C17" s="255">
        <v>606</v>
      </c>
      <c r="D17" s="255">
        <v>714</v>
      </c>
      <c r="E17" s="255">
        <v>821</v>
      </c>
      <c r="F17" s="340">
        <v>879</v>
      </c>
      <c r="G17" s="255">
        <v>36</v>
      </c>
      <c r="H17" s="255">
        <v>110</v>
      </c>
      <c r="I17" s="255">
        <v>203</v>
      </c>
      <c r="J17" s="340">
        <v>224</v>
      </c>
      <c r="K17" s="255">
        <v>3</v>
      </c>
      <c r="L17" s="255">
        <v>3</v>
      </c>
      <c r="M17" s="255">
        <v>6</v>
      </c>
      <c r="N17" s="323">
        <v>23</v>
      </c>
      <c r="O17" s="255">
        <v>30</v>
      </c>
      <c r="P17" s="255">
        <v>83</v>
      </c>
      <c r="Q17" s="255">
        <v>112</v>
      </c>
      <c r="R17" s="323">
        <v>118</v>
      </c>
      <c r="S17" s="255"/>
      <c r="T17" s="255"/>
      <c r="U17" s="255">
        <v>4</v>
      </c>
      <c r="V17" s="323">
        <v>41</v>
      </c>
      <c r="W17" s="255"/>
      <c r="X17" s="255"/>
      <c r="Y17" s="255">
        <v>11</v>
      </c>
      <c r="Z17" s="323">
        <v>0</v>
      </c>
      <c r="AA17" s="254">
        <f t="shared" si="2"/>
        <v>675</v>
      </c>
      <c r="AB17" s="255">
        <f t="shared" si="2"/>
        <v>910</v>
      </c>
      <c r="AC17" s="255">
        <f t="shared" si="2"/>
        <v>1157</v>
      </c>
      <c r="AD17" s="323">
        <f t="shared" si="2"/>
        <v>1285</v>
      </c>
    </row>
    <row r="18" spans="1:43" s="332" customFormat="1" ht="22.5" customHeight="1">
      <c r="A18" s="322"/>
      <c r="B18" s="1271" t="s">
        <v>582</v>
      </c>
      <c r="C18" s="1272">
        <v>4834</v>
      </c>
      <c r="D18" s="1272">
        <v>5672</v>
      </c>
      <c r="E18" s="1272">
        <f>SUM(E15:E17)</f>
        <v>6152</v>
      </c>
      <c r="F18" s="1273">
        <f t="shared" ref="F18:Z18" si="3">SUM(F15:F17)</f>
        <v>6217</v>
      </c>
      <c r="G18" s="1272">
        <f t="shared" si="3"/>
        <v>537</v>
      </c>
      <c r="H18" s="1272">
        <f t="shared" si="3"/>
        <v>392</v>
      </c>
      <c r="I18" s="1272">
        <f t="shared" si="3"/>
        <v>1615</v>
      </c>
      <c r="J18" s="1273">
        <f t="shared" si="3"/>
        <v>1491</v>
      </c>
      <c r="K18" s="1272">
        <f t="shared" si="3"/>
        <v>23</v>
      </c>
      <c r="L18" s="1272">
        <f t="shared" si="3"/>
        <v>21</v>
      </c>
      <c r="M18" s="1272">
        <f t="shared" si="3"/>
        <v>98</v>
      </c>
      <c r="N18" s="1274">
        <f t="shared" si="3"/>
        <v>122</v>
      </c>
      <c r="O18" s="1272">
        <f t="shared" si="3"/>
        <v>141</v>
      </c>
      <c r="P18" s="1272">
        <f t="shared" si="3"/>
        <v>514</v>
      </c>
      <c r="Q18" s="1272">
        <f t="shared" si="3"/>
        <v>757</v>
      </c>
      <c r="R18" s="1274">
        <f t="shared" si="3"/>
        <v>643</v>
      </c>
      <c r="S18" s="1272">
        <f t="shared" si="3"/>
        <v>1270</v>
      </c>
      <c r="T18" s="1272">
        <f t="shared" si="3"/>
        <v>878</v>
      </c>
      <c r="U18" s="1272">
        <f t="shared" si="3"/>
        <v>549</v>
      </c>
      <c r="V18" s="1274">
        <f t="shared" si="3"/>
        <v>1030</v>
      </c>
      <c r="W18" s="1272">
        <f t="shared" si="3"/>
        <v>0</v>
      </c>
      <c r="X18" s="1272">
        <f t="shared" si="3"/>
        <v>0</v>
      </c>
      <c r="Y18" s="1272">
        <f t="shared" si="3"/>
        <v>13</v>
      </c>
      <c r="Z18" s="1274">
        <f t="shared" si="3"/>
        <v>0</v>
      </c>
      <c r="AA18" s="1275">
        <f>SUM(AA15:AA17)</f>
        <v>6805</v>
      </c>
      <c r="AB18" s="1272">
        <f>SUM(AB15:AB17)</f>
        <v>7477</v>
      </c>
      <c r="AC18" s="1272">
        <f>SUM(AC15:AC17)</f>
        <v>9184</v>
      </c>
      <c r="AD18" s="1274">
        <f>SUM(AD15:AD17)</f>
        <v>9503</v>
      </c>
    </row>
    <row r="19" spans="1:43" s="332" customFormat="1" ht="22.5" customHeight="1">
      <c r="A19" s="322" t="s">
        <v>865</v>
      </c>
      <c r="B19" s="243" t="s">
        <v>742</v>
      </c>
      <c r="C19" s="255">
        <v>2978</v>
      </c>
      <c r="D19" s="255">
        <v>3533</v>
      </c>
      <c r="E19" s="255">
        <v>3871</v>
      </c>
      <c r="F19" s="340">
        <v>5213</v>
      </c>
      <c r="G19" s="255">
        <v>374</v>
      </c>
      <c r="H19" s="255">
        <v>305</v>
      </c>
      <c r="I19" s="255">
        <v>641</v>
      </c>
      <c r="J19" s="340">
        <v>654</v>
      </c>
      <c r="K19" s="255">
        <v>48</v>
      </c>
      <c r="L19" s="255">
        <v>24</v>
      </c>
      <c r="M19" s="255">
        <v>84</v>
      </c>
      <c r="N19" s="323">
        <v>109</v>
      </c>
      <c r="O19" s="255">
        <v>179</v>
      </c>
      <c r="P19" s="255">
        <v>431</v>
      </c>
      <c r="Q19" s="255">
        <v>962</v>
      </c>
      <c r="R19" s="323">
        <v>1110</v>
      </c>
      <c r="S19" s="255">
        <v>316</v>
      </c>
      <c r="T19" s="255">
        <v>232</v>
      </c>
      <c r="U19" s="255">
        <v>252</v>
      </c>
      <c r="V19" s="323">
        <v>188</v>
      </c>
      <c r="W19" s="255"/>
      <c r="X19" s="255"/>
      <c r="Y19" s="255"/>
      <c r="Z19" s="323">
        <v>0</v>
      </c>
      <c r="AA19" s="254">
        <f t="shared" ref="AA19:AD20" si="4">+W19+S19+O19+K19+G19+C19</f>
        <v>3895</v>
      </c>
      <c r="AB19" s="255">
        <f t="shared" si="4"/>
        <v>4525</v>
      </c>
      <c r="AC19" s="255">
        <f t="shared" si="4"/>
        <v>5810</v>
      </c>
      <c r="AD19" s="323">
        <f t="shared" si="4"/>
        <v>7274</v>
      </c>
    </row>
    <row r="20" spans="1:43" s="332" customFormat="1" ht="22.5" customHeight="1">
      <c r="A20" s="322"/>
      <c r="B20" s="211" t="s">
        <v>1060</v>
      </c>
      <c r="C20" s="255">
        <v>269</v>
      </c>
      <c r="D20" s="255">
        <v>437</v>
      </c>
      <c r="E20" s="255">
        <v>594</v>
      </c>
      <c r="F20" s="340">
        <v>688</v>
      </c>
      <c r="G20" s="255">
        <v>6</v>
      </c>
      <c r="H20" s="255">
        <v>48</v>
      </c>
      <c r="I20" s="255">
        <v>106</v>
      </c>
      <c r="J20" s="340">
        <v>110</v>
      </c>
      <c r="K20" s="255">
        <v>2</v>
      </c>
      <c r="L20" s="255">
        <v>5</v>
      </c>
      <c r="M20" s="255">
        <v>4</v>
      </c>
      <c r="N20" s="323">
        <v>1</v>
      </c>
      <c r="O20" s="255">
        <v>33</v>
      </c>
      <c r="P20" s="255">
        <v>50</v>
      </c>
      <c r="Q20" s="255">
        <v>82</v>
      </c>
      <c r="R20" s="323">
        <v>74</v>
      </c>
      <c r="S20" s="255">
        <v>20</v>
      </c>
      <c r="T20" s="255">
        <v>5</v>
      </c>
      <c r="U20" s="255">
        <v>1</v>
      </c>
      <c r="V20" s="323">
        <v>1</v>
      </c>
      <c r="W20" s="255"/>
      <c r="X20" s="255"/>
      <c r="Y20" s="255"/>
      <c r="Z20" s="323">
        <v>0</v>
      </c>
      <c r="AA20" s="254">
        <f t="shared" si="4"/>
        <v>330</v>
      </c>
      <c r="AB20" s="255">
        <f t="shared" si="4"/>
        <v>545</v>
      </c>
      <c r="AC20" s="255">
        <f t="shared" si="4"/>
        <v>787</v>
      </c>
      <c r="AD20" s="323">
        <f t="shared" si="4"/>
        <v>874</v>
      </c>
    </row>
    <row r="21" spans="1:43" s="332" customFormat="1" ht="22.5" customHeight="1">
      <c r="A21" s="322"/>
      <c r="B21" s="1271" t="s">
        <v>582</v>
      </c>
      <c r="C21" s="1272">
        <v>3247</v>
      </c>
      <c r="D21" s="1272">
        <v>3970</v>
      </c>
      <c r="E21" s="1272">
        <f>SUM(E19:E20)</f>
        <v>4465</v>
      </c>
      <c r="F21" s="1273">
        <f t="shared" ref="F21:Z21" si="5">SUM(F19:F20)</f>
        <v>5901</v>
      </c>
      <c r="G21" s="1272">
        <f t="shared" si="5"/>
        <v>380</v>
      </c>
      <c r="H21" s="1272">
        <f t="shared" si="5"/>
        <v>353</v>
      </c>
      <c r="I21" s="1272">
        <f t="shared" si="5"/>
        <v>747</v>
      </c>
      <c r="J21" s="1273">
        <f t="shared" si="5"/>
        <v>764</v>
      </c>
      <c r="K21" s="1272">
        <f t="shared" si="5"/>
        <v>50</v>
      </c>
      <c r="L21" s="1272">
        <f t="shared" si="5"/>
        <v>29</v>
      </c>
      <c r="M21" s="1272">
        <f t="shared" si="5"/>
        <v>88</v>
      </c>
      <c r="N21" s="1274">
        <f t="shared" si="5"/>
        <v>110</v>
      </c>
      <c r="O21" s="1272">
        <f t="shared" si="5"/>
        <v>212</v>
      </c>
      <c r="P21" s="1272">
        <f t="shared" si="5"/>
        <v>481</v>
      </c>
      <c r="Q21" s="1272">
        <f t="shared" si="5"/>
        <v>1044</v>
      </c>
      <c r="R21" s="1274">
        <f t="shared" si="5"/>
        <v>1184</v>
      </c>
      <c r="S21" s="1272">
        <f t="shared" si="5"/>
        <v>336</v>
      </c>
      <c r="T21" s="1272">
        <f t="shared" si="5"/>
        <v>237</v>
      </c>
      <c r="U21" s="1272">
        <f t="shared" si="5"/>
        <v>253</v>
      </c>
      <c r="V21" s="1274">
        <f t="shared" si="5"/>
        <v>189</v>
      </c>
      <c r="W21" s="1272">
        <f t="shared" si="5"/>
        <v>0</v>
      </c>
      <c r="X21" s="1272">
        <f t="shared" si="5"/>
        <v>0</v>
      </c>
      <c r="Y21" s="1272">
        <f t="shared" si="5"/>
        <v>0</v>
      </c>
      <c r="Z21" s="1274">
        <f t="shared" si="5"/>
        <v>0</v>
      </c>
      <c r="AA21" s="1275">
        <f>SUM(AA19:AA20)</f>
        <v>4225</v>
      </c>
      <c r="AB21" s="1272">
        <f>SUM(AB19:AB20)</f>
        <v>5070</v>
      </c>
      <c r="AC21" s="1272">
        <f>SUM(AC19:AC20)</f>
        <v>6597</v>
      </c>
      <c r="AD21" s="1274">
        <f>SUM(AD19:AD20)</f>
        <v>8148</v>
      </c>
    </row>
    <row r="22" spans="1:43" s="332" customFormat="1" ht="22.5" customHeight="1">
      <c r="A22" s="322" t="s">
        <v>481</v>
      </c>
      <c r="B22" s="243" t="s">
        <v>743</v>
      </c>
      <c r="C22" s="255">
        <v>3389</v>
      </c>
      <c r="D22" s="255">
        <v>3060</v>
      </c>
      <c r="E22" s="255">
        <v>3558</v>
      </c>
      <c r="F22" s="340">
        <v>4730</v>
      </c>
      <c r="G22" s="255">
        <v>798</v>
      </c>
      <c r="H22" s="255">
        <v>782</v>
      </c>
      <c r="I22" s="255">
        <v>1326</v>
      </c>
      <c r="J22" s="340">
        <v>2103</v>
      </c>
      <c r="K22" s="255">
        <v>21</v>
      </c>
      <c r="L22" s="255">
        <v>32</v>
      </c>
      <c r="M22" s="255">
        <v>35</v>
      </c>
      <c r="N22" s="323">
        <v>61</v>
      </c>
      <c r="O22" s="255">
        <v>124</v>
      </c>
      <c r="P22" s="255">
        <v>295</v>
      </c>
      <c r="Q22" s="255">
        <v>962</v>
      </c>
      <c r="R22" s="323">
        <v>986</v>
      </c>
      <c r="S22" s="255">
        <v>310</v>
      </c>
      <c r="T22" s="255">
        <v>198</v>
      </c>
      <c r="U22" s="255">
        <v>345</v>
      </c>
      <c r="V22" s="323">
        <v>135</v>
      </c>
      <c r="W22" s="255">
        <v>87</v>
      </c>
      <c r="X22" s="255"/>
      <c r="Y22" s="255"/>
      <c r="Z22" s="323">
        <v>0</v>
      </c>
      <c r="AA22" s="254">
        <f>+W22+S22+O22+K22+G22+C22</f>
        <v>4729</v>
      </c>
      <c r="AB22" s="255">
        <f>+X22+T22+P22+L22+H22+D22</f>
        <v>4367</v>
      </c>
      <c r="AC22" s="255">
        <f>+Y22+U22+Q22+M22+I22+E22</f>
        <v>6226</v>
      </c>
      <c r="AD22" s="323">
        <f>+Z22+V22+R22+N22+J22+F22</f>
        <v>8015</v>
      </c>
    </row>
    <row r="23" spans="1:43" s="332" customFormat="1" ht="22.5" customHeight="1">
      <c r="A23" s="1026" t="s">
        <v>866</v>
      </c>
      <c r="B23" s="1045"/>
      <c r="C23" s="1276">
        <v>23673</v>
      </c>
      <c r="D23" s="1276">
        <v>27521</v>
      </c>
      <c r="E23" s="1276">
        <f>+E14+E18+E21+E22</f>
        <v>31898</v>
      </c>
      <c r="F23" s="1277">
        <f t="shared" ref="F23:Z23" si="6">+F14+F18+F21+F22</f>
        <v>37963</v>
      </c>
      <c r="G23" s="1276">
        <f t="shared" si="6"/>
        <v>2924</v>
      </c>
      <c r="H23" s="1276">
        <f t="shared" si="6"/>
        <v>3413</v>
      </c>
      <c r="I23" s="1276">
        <f t="shared" si="6"/>
        <v>6629</v>
      </c>
      <c r="J23" s="1277">
        <f t="shared" si="6"/>
        <v>8358</v>
      </c>
      <c r="K23" s="1276">
        <f t="shared" si="6"/>
        <v>210</v>
      </c>
      <c r="L23" s="1276">
        <f t="shared" si="6"/>
        <v>130</v>
      </c>
      <c r="M23" s="1276">
        <f t="shared" si="6"/>
        <v>630</v>
      </c>
      <c r="N23" s="1277">
        <f t="shared" si="6"/>
        <v>808</v>
      </c>
      <c r="O23" s="1276">
        <f t="shared" si="6"/>
        <v>1572</v>
      </c>
      <c r="P23" s="1276">
        <f t="shared" si="6"/>
        <v>3755</v>
      </c>
      <c r="Q23" s="1276">
        <f t="shared" si="6"/>
        <v>6553</v>
      </c>
      <c r="R23" s="1277">
        <f t="shared" si="6"/>
        <v>8279</v>
      </c>
      <c r="S23" s="1276">
        <f t="shared" si="6"/>
        <v>2788</v>
      </c>
      <c r="T23" s="1276">
        <f t="shared" si="6"/>
        <v>2234</v>
      </c>
      <c r="U23" s="1276">
        <f t="shared" si="6"/>
        <v>2057</v>
      </c>
      <c r="V23" s="1277">
        <f t="shared" si="6"/>
        <v>2223</v>
      </c>
      <c r="W23" s="1276">
        <f t="shared" si="6"/>
        <v>906</v>
      </c>
      <c r="X23" s="1276">
        <f t="shared" si="6"/>
        <v>785</v>
      </c>
      <c r="Y23" s="1276">
        <f t="shared" si="6"/>
        <v>185</v>
      </c>
      <c r="Z23" s="1277">
        <f t="shared" si="6"/>
        <v>0</v>
      </c>
      <c r="AA23" s="1278">
        <f>+AA14+AA18+AA21+AA22</f>
        <v>32073</v>
      </c>
      <c r="AB23" s="1276">
        <f>+AB14+AB18+AB21+AB22</f>
        <v>37838</v>
      </c>
      <c r="AC23" s="1276">
        <f>+AC14+AC18+AC21+AC22</f>
        <v>47952</v>
      </c>
      <c r="AD23" s="1277">
        <f>+AD14+AD18+AD21+AD22</f>
        <v>57631</v>
      </c>
      <c r="AE23" s="334"/>
      <c r="AF23" s="334"/>
      <c r="AG23" s="334"/>
      <c r="AH23" s="334"/>
      <c r="AI23" s="334"/>
      <c r="AJ23" s="334"/>
      <c r="AK23" s="334"/>
      <c r="AL23" s="334"/>
      <c r="AM23" s="334"/>
      <c r="AN23" s="334"/>
      <c r="AO23" s="334"/>
      <c r="AP23" s="334"/>
      <c r="AQ23" s="334"/>
    </row>
    <row r="24" spans="1:43" s="332" customFormat="1" ht="22.5" customHeight="1">
      <c r="A24" s="322" t="s">
        <v>867</v>
      </c>
      <c r="B24" s="211" t="s">
        <v>1176</v>
      </c>
      <c r="C24" s="255">
        <v>3761</v>
      </c>
      <c r="D24" s="255">
        <v>5602</v>
      </c>
      <c r="E24" s="255">
        <v>7634</v>
      </c>
      <c r="F24" s="340">
        <v>8031</v>
      </c>
      <c r="G24" s="255">
        <v>486</v>
      </c>
      <c r="H24" s="255">
        <v>639</v>
      </c>
      <c r="I24" s="255">
        <v>992</v>
      </c>
      <c r="J24" s="340">
        <v>962</v>
      </c>
      <c r="K24" s="255">
        <v>38</v>
      </c>
      <c r="L24" s="255">
        <v>37</v>
      </c>
      <c r="M24" s="255">
        <v>72</v>
      </c>
      <c r="N24" s="323">
        <v>257</v>
      </c>
      <c r="O24" s="255">
        <v>977</v>
      </c>
      <c r="P24" s="255">
        <v>1656</v>
      </c>
      <c r="Q24" s="255">
        <v>3539</v>
      </c>
      <c r="R24" s="323">
        <v>3031</v>
      </c>
      <c r="S24" s="255">
        <v>443</v>
      </c>
      <c r="T24" s="255">
        <v>610</v>
      </c>
      <c r="U24" s="255">
        <v>714</v>
      </c>
      <c r="V24" s="323">
        <v>595</v>
      </c>
      <c r="W24" s="255"/>
      <c r="X24" s="255"/>
      <c r="Y24" s="255"/>
      <c r="Z24" s="323">
        <v>0</v>
      </c>
      <c r="AA24" s="254">
        <f t="shared" ref="AA24:AD30" si="7">+W24+S24+O24+K24+G24+C24</f>
        <v>5705</v>
      </c>
      <c r="AB24" s="255">
        <f t="shared" si="7"/>
        <v>8544</v>
      </c>
      <c r="AC24" s="255">
        <f t="shared" si="7"/>
        <v>12951</v>
      </c>
      <c r="AD24" s="323">
        <f t="shared" si="7"/>
        <v>12876</v>
      </c>
    </row>
    <row r="25" spans="1:43" s="332" customFormat="1" ht="22.5" customHeight="1">
      <c r="A25" s="322"/>
      <c r="B25" s="211" t="s">
        <v>1175</v>
      </c>
      <c r="C25" s="255">
        <v>6122</v>
      </c>
      <c r="D25" s="255">
        <v>6931</v>
      </c>
      <c r="E25" s="255">
        <v>11769</v>
      </c>
      <c r="F25" s="340">
        <v>10884</v>
      </c>
      <c r="G25" s="255">
        <v>1020</v>
      </c>
      <c r="H25" s="255">
        <v>329</v>
      </c>
      <c r="I25" s="255">
        <v>3577</v>
      </c>
      <c r="J25" s="340">
        <v>4530</v>
      </c>
      <c r="K25" s="255">
        <v>30</v>
      </c>
      <c r="L25" s="255">
        <v>33</v>
      </c>
      <c r="M25" s="255">
        <v>266</v>
      </c>
      <c r="N25" s="323">
        <v>481</v>
      </c>
      <c r="O25" s="255">
        <v>356</v>
      </c>
      <c r="P25" s="255">
        <v>553</v>
      </c>
      <c r="Q25" s="255">
        <v>895</v>
      </c>
      <c r="R25" s="323">
        <v>778</v>
      </c>
      <c r="S25" s="255">
        <v>371</v>
      </c>
      <c r="T25" s="255">
        <v>476</v>
      </c>
      <c r="U25" s="255">
        <v>420</v>
      </c>
      <c r="V25" s="323">
        <v>616</v>
      </c>
      <c r="W25" s="255">
        <v>1</v>
      </c>
      <c r="X25" s="255"/>
      <c r="Y25" s="255"/>
      <c r="Z25" s="323">
        <v>0</v>
      </c>
      <c r="AA25" s="254">
        <f t="shared" si="7"/>
        <v>7900</v>
      </c>
      <c r="AB25" s="255">
        <f t="shared" si="7"/>
        <v>8322</v>
      </c>
      <c r="AC25" s="255">
        <f t="shared" si="7"/>
        <v>16927</v>
      </c>
      <c r="AD25" s="323">
        <f t="shared" si="7"/>
        <v>17289</v>
      </c>
    </row>
    <row r="26" spans="1:43" s="332" customFormat="1" ht="22.5" customHeight="1">
      <c r="A26" s="322"/>
      <c r="B26" s="243" t="s">
        <v>489</v>
      </c>
      <c r="C26" s="255">
        <v>949</v>
      </c>
      <c r="D26" s="255">
        <v>1301</v>
      </c>
      <c r="E26" s="255">
        <v>1522</v>
      </c>
      <c r="F26" s="340">
        <v>1560</v>
      </c>
      <c r="G26" s="255">
        <v>140</v>
      </c>
      <c r="H26" s="255">
        <v>109</v>
      </c>
      <c r="I26" s="255">
        <v>355</v>
      </c>
      <c r="J26" s="340">
        <v>378</v>
      </c>
      <c r="K26" s="255">
        <v>8</v>
      </c>
      <c r="L26" s="255">
        <v>9</v>
      </c>
      <c r="M26" s="255">
        <v>119</v>
      </c>
      <c r="N26" s="323">
        <v>133</v>
      </c>
      <c r="O26" s="255">
        <v>36</v>
      </c>
      <c r="P26" s="255">
        <v>78</v>
      </c>
      <c r="Q26" s="255">
        <v>153</v>
      </c>
      <c r="R26" s="323">
        <v>177</v>
      </c>
      <c r="S26" s="255">
        <v>82</v>
      </c>
      <c r="T26" s="255">
        <v>56</v>
      </c>
      <c r="U26" s="255">
        <v>98</v>
      </c>
      <c r="V26" s="323">
        <v>117</v>
      </c>
      <c r="W26" s="255"/>
      <c r="X26" s="255"/>
      <c r="Y26" s="255"/>
      <c r="Z26" s="323">
        <v>0</v>
      </c>
      <c r="AA26" s="254">
        <f t="shared" si="7"/>
        <v>1215</v>
      </c>
      <c r="AB26" s="255">
        <f t="shared" si="7"/>
        <v>1553</v>
      </c>
      <c r="AC26" s="255">
        <f t="shared" si="7"/>
        <v>2247</v>
      </c>
      <c r="AD26" s="323">
        <f t="shared" si="7"/>
        <v>2365</v>
      </c>
    </row>
    <row r="27" spans="1:43" s="332" customFormat="1" ht="22.5" customHeight="1">
      <c r="A27" s="322"/>
      <c r="B27" s="211" t="s">
        <v>1338</v>
      </c>
      <c r="C27" s="255">
        <v>1</v>
      </c>
      <c r="D27" s="255"/>
      <c r="E27" s="255">
        <v>5</v>
      </c>
      <c r="F27" s="340">
        <v>10</v>
      </c>
      <c r="G27" s="255"/>
      <c r="H27" s="255"/>
      <c r="I27" s="255"/>
      <c r="J27" s="340">
        <v>0</v>
      </c>
      <c r="K27" s="255"/>
      <c r="L27" s="255"/>
      <c r="M27" s="255"/>
      <c r="N27" s="323">
        <v>0</v>
      </c>
      <c r="O27" s="255"/>
      <c r="P27" s="255"/>
      <c r="Q27" s="255"/>
      <c r="R27" s="323">
        <v>0</v>
      </c>
      <c r="S27" s="255"/>
      <c r="T27" s="255"/>
      <c r="U27" s="255"/>
      <c r="V27" s="323">
        <v>0</v>
      </c>
      <c r="W27" s="255"/>
      <c r="X27" s="255"/>
      <c r="Y27" s="255"/>
      <c r="Z27" s="323">
        <v>0</v>
      </c>
      <c r="AA27" s="254">
        <f t="shared" si="7"/>
        <v>1</v>
      </c>
      <c r="AB27" s="255">
        <f t="shared" si="7"/>
        <v>0</v>
      </c>
      <c r="AC27" s="255">
        <f t="shared" si="7"/>
        <v>5</v>
      </c>
      <c r="AD27" s="323">
        <f t="shared" si="7"/>
        <v>10</v>
      </c>
    </row>
    <row r="28" spans="1:43" s="332" customFormat="1" ht="22.5" customHeight="1">
      <c r="A28" s="322"/>
      <c r="B28" s="211" t="s">
        <v>1059</v>
      </c>
      <c r="C28" s="255"/>
      <c r="D28" s="255"/>
      <c r="E28" s="255"/>
      <c r="F28" s="340">
        <v>0</v>
      </c>
      <c r="G28" s="255"/>
      <c r="H28" s="255"/>
      <c r="I28" s="255"/>
      <c r="J28" s="340">
        <v>0</v>
      </c>
      <c r="K28" s="255"/>
      <c r="L28" s="255"/>
      <c r="M28" s="255"/>
      <c r="N28" s="323">
        <v>0</v>
      </c>
      <c r="O28" s="255"/>
      <c r="P28" s="255"/>
      <c r="Q28" s="255"/>
      <c r="R28" s="323">
        <v>0</v>
      </c>
      <c r="S28" s="255">
        <v>35</v>
      </c>
      <c r="T28" s="255">
        <v>43</v>
      </c>
      <c r="U28" s="255">
        <v>96</v>
      </c>
      <c r="V28" s="323">
        <v>172</v>
      </c>
      <c r="W28" s="255"/>
      <c r="X28" s="255"/>
      <c r="Y28" s="255"/>
      <c r="Z28" s="323">
        <v>0</v>
      </c>
      <c r="AA28" s="254">
        <f t="shared" si="7"/>
        <v>35</v>
      </c>
      <c r="AB28" s="255">
        <f t="shared" si="7"/>
        <v>43</v>
      </c>
      <c r="AC28" s="255">
        <f t="shared" si="7"/>
        <v>96</v>
      </c>
      <c r="AD28" s="323">
        <f t="shared" si="7"/>
        <v>172</v>
      </c>
    </row>
    <row r="29" spans="1:43" s="332" customFormat="1" ht="22.5" customHeight="1">
      <c r="A29" s="322"/>
      <c r="B29" s="211" t="s">
        <v>1337</v>
      </c>
      <c r="C29" s="255"/>
      <c r="D29" s="255">
        <v>7</v>
      </c>
      <c r="E29" s="255"/>
      <c r="F29" s="340">
        <v>0</v>
      </c>
      <c r="G29" s="255">
        <v>1997</v>
      </c>
      <c r="H29" s="255">
        <v>393</v>
      </c>
      <c r="I29" s="255">
        <v>349</v>
      </c>
      <c r="J29" s="340">
        <v>284</v>
      </c>
      <c r="K29" s="255"/>
      <c r="L29" s="255"/>
      <c r="M29" s="255"/>
      <c r="N29" s="323">
        <v>0</v>
      </c>
      <c r="O29" s="255"/>
      <c r="P29" s="255"/>
      <c r="Q29" s="255"/>
      <c r="R29" s="323">
        <v>0</v>
      </c>
      <c r="S29" s="255">
        <v>22</v>
      </c>
      <c r="T29" s="255">
        <v>67</v>
      </c>
      <c r="U29" s="255">
        <v>88</v>
      </c>
      <c r="V29" s="323">
        <v>94</v>
      </c>
      <c r="W29" s="255">
        <v>709</v>
      </c>
      <c r="X29" s="255">
        <v>768</v>
      </c>
      <c r="Y29" s="255">
        <v>748</v>
      </c>
      <c r="Z29" s="323">
        <v>0</v>
      </c>
      <c r="AA29" s="254">
        <f t="shared" si="7"/>
        <v>2728</v>
      </c>
      <c r="AB29" s="255">
        <f t="shared" si="7"/>
        <v>1235</v>
      </c>
      <c r="AC29" s="255">
        <f t="shared" si="7"/>
        <v>1185</v>
      </c>
      <c r="AD29" s="323">
        <f t="shared" si="7"/>
        <v>378</v>
      </c>
    </row>
    <row r="30" spans="1:43" s="332" customFormat="1" ht="22.5" customHeight="1">
      <c r="A30" s="322"/>
      <c r="B30" s="243" t="s">
        <v>747</v>
      </c>
      <c r="C30" s="255">
        <v>1421</v>
      </c>
      <c r="D30" s="255">
        <v>2659</v>
      </c>
      <c r="E30" s="255">
        <v>3083</v>
      </c>
      <c r="F30" s="340">
        <v>2518</v>
      </c>
      <c r="G30" s="255">
        <v>421</v>
      </c>
      <c r="H30" s="255">
        <v>772</v>
      </c>
      <c r="I30" s="255">
        <v>1007</v>
      </c>
      <c r="J30" s="340">
        <v>1359</v>
      </c>
      <c r="K30" s="255">
        <v>83</v>
      </c>
      <c r="L30" s="255">
        <v>246</v>
      </c>
      <c r="M30" s="255">
        <v>467</v>
      </c>
      <c r="N30" s="323">
        <v>647</v>
      </c>
      <c r="O30" s="255">
        <v>96</v>
      </c>
      <c r="P30" s="255">
        <v>250</v>
      </c>
      <c r="Q30" s="255">
        <v>436</v>
      </c>
      <c r="R30" s="323">
        <v>462</v>
      </c>
      <c r="S30" s="255">
        <v>39</v>
      </c>
      <c r="T30" s="255">
        <v>98</v>
      </c>
      <c r="U30" s="255">
        <v>107</v>
      </c>
      <c r="V30" s="323">
        <v>121</v>
      </c>
      <c r="W30" s="255"/>
      <c r="X30" s="255"/>
      <c r="Y30" s="255"/>
      <c r="Z30" s="323">
        <v>0</v>
      </c>
      <c r="AA30" s="254">
        <f t="shared" si="7"/>
        <v>2060</v>
      </c>
      <c r="AB30" s="255">
        <f t="shared" si="7"/>
        <v>4025</v>
      </c>
      <c r="AC30" s="255">
        <f t="shared" si="7"/>
        <v>5100</v>
      </c>
      <c r="AD30" s="323">
        <f t="shared" si="7"/>
        <v>5107</v>
      </c>
    </row>
    <row r="31" spans="1:43" s="332" customFormat="1" ht="22.5" customHeight="1">
      <c r="A31" s="322"/>
      <c r="B31" s="1271" t="s">
        <v>582</v>
      </c>
      <c r="C31" s="1272">
        <v>12254</v>
      </c>
      <c r="D31" s="1272">
        <v>16500</v>
      </c>
      <c r="E31" s="1272">
        <f>SUM(E24:E30)</f>
        <v>24013</v>
      </c>
      <c r="F31" s="1273">
        <f t="shared" ref="F31:Z31" si="8">SUM(F24:F30)</f>
        <v>23003</v>
      </c>
      <c r="G31" s="1272">
        <f t="shared" si="8"/>
        <v>4064</v>
      </c>
      <c r="H31" s="1272">
        <f t="shared" si="8"/>
        <v>2242</v>
      </c>
      <c r="I31" s="1272">
        <f t="shared" si="8"/>
        <v>6280</v>
      </c>
      <c r="J31" s="1273">
        <f t="shared" si="8"/>
        <v>7513</v>
      </c>
      <c r="K31" s="1272">
        <f t="shared" si="8"/>
        <v>159</v>
      </c>
      <c r="L31" s="1272">
        <f t="shared" si="8"/>
        <v>325</v>
      </c>
      <c r="M31" s="1272">
        <f t="shared" si="8"/>
        <v>924</v>
      </c>
      <c r="N31" s="1274">
        <f t="shared" si="8"/>
        <v>1518</v>
      </c>
      <c r="O31" s="1272">
        <f t="shared" si="8"/>
        <v>1465</v>
      </c>
      <c r="P31" s="1272">
        <f t="shared" si="8"/>
        <v>2537</v>
      </c>
      <c r="Q31" s="1272">
        <f t="shared" si="8"/>
        <v>5023</v>
      </c>
      <c r="R31" s="1274">
        <f t="shared" si="8"/>
        <v>4448</v>
      </c>
      <c r="S31" s="1272">
        <f t="shared" si="8"/>
        <v>992</v>
      </c>
      <c r="T31" s="1272">
        <f t="shared" si="8"/>
        <v>1350</v>
      </c>
      <c r="U31" s="1272">
        <f t="shared" si="8"/>
        <v>1523</v>
      </c>
      <c r="V31" s="1274">
        <f t="shared" si="8"/>
        <v>1715</v>
      </c>
      <c r="W31" s="1272">
        <f t="shared" si="8"/>
        <v>710</v>
      </c>
      <c r="X31" s="1272">
        <f t="shared" si="8"/>
        <v>768</v>
      </c>
      <c r="Y31" s="1272">
        <f t="shared" si="8"/>
        <v>748</v>
      </c>
      <c r="Z31" s="1274">
        <f t="shared" si="8"/>
        <v>0</v>
      </c>
      <c r="AA31" s="1275">
        <f>SUM(AA24:AA30)</f>
        <v>19644</v>
      </c>
      <c r="AB31" s="1272">
        <f>SUM(AB24:AB30)</f>
        <v>23722</v>
      </c>
      <c r="AC31" s="1272">
        <f>SUM(AC24:AC30)</f>
        <v>38511</v>
      </c>
      <c r="AD31" s="1274">
        <f>SUM(AD24:AD30)</f>
        <v>38197</v>
      </c>
    </row>
    <row r="32" spans="1:43" s="332" customFormat="1" ht="22.5" customHeight="1">
      <c r="A32" s="322" t="s">
        <v>484</v>
      </c>
      <c r="B32" s="243" t="s">
        <v>748</v>
      </c>
      <c r="C32" s="255">
        <v>3801</v>
      </c>
      <c r="D32" s="255">
        <v>4261</v>
      </c>
      <c r="E32" s="255">
        <v>6275</v>
      </c>
      <c r="F32" s="340">
        <v>7106</v>
      </c>
      <c r="G32" s="255">
        <v>563</v>
      </c>
      <c r="H32" s="255">
        <v>561</v>
      </c>
      <c r="I32" s="255">
        <v>1443</v>
      </c>
      <c r="J32" s="340">
        <v>1658</v>
      </c>
      <c r="K32" s="255">
        <v>28</v>
      </c>
      <c r="L32" s="255">
        <v>43</v>
      </c>
      <c r="M32" s="255">
        <v>161</v>
      </c>
      <c r="N32" s="323">
        <v>82</v>
      </c>
      <c r="O32" s="255">
        <v>294</v>
      </c>
      <c r="P32" s="255">
        <v>447</v>
      </c>
      <c r="Q32" s="255">
        <v>1336</v>
      </c>
      <c r="R32" s="323">
        <v>1446</v>
      </c>
      <c r="S32" s="255">
        <v>205</v>
      </c>
      <c r="T32" s="255">
        <v>172</v>
      </c>
      <c r="U32" s="255">
        <v>181</v>
      </c>
      <c r="V32" s="323">
        <v>128</v>
      </c>
      <c r="W32" s="255"/>
      <c r="X32" s="255"/>
      <c r="Y32" s="255"/>
      <c r="Z32" s="323">
        <v>0</v>
      </c>
      <c r="AA32" s="254">
        <f t="shared" ref="AA32:AD36" si="9">+W32+S32+O32+K32+G32+C32</f>
        <v>4891</v>
      </c>
      <c r="AB32" s="255">
        <f t="shared" si="9"/>
        <v>5484</v>
      </c>
      <c r="AC32" s="255">
        <f t="shared" si="9"/>
        <v>9396</v>
      </c>
      <c r="AD32" s="323">
        <f t="shared" si="9"/>
        <v>10420</v>
      </c>
    </row>
    <row r="33" spans="1:30" s="332" customFormat="1" ht="22.5" customHeight="1">
      <c r="A33" s="322"/>
      <c r="B33" s="211" t="s">
        <v>1296</v>
      </c>
      <c r="C33" s="255">
        <v>545</v>
      </c>
      <c r="D33" s="255">
        <v>680</v>
      </c>
      <c r="E33" s="255">
        <v>635</v>
      </c>
      <c r="F33" s="340">
        <v>651</v>
      </c>
      <c r="G33" s="255">
        <v>50</v>
      </c>
      <c r="H33" s="255">
        <v>95</v>
      </c>
      <c r="I33" s="255">
        <v>178</v>
      </c>
      <c r="J33" s="340">
        <v>347</v>
      </c>
      <c r="K33" s="255">
        <v>16</v>
      </c>
      <c r="L33" s="255">
        <v>12</v>
      </c>
      <c r="M33" s="255">
        <v>24</v>
      </c>
      <c r="N33" s="323">
        <v>5</v>
      </c>
      <c r="O33" s="255">
        <v>18</v>
      </c>
      <c r="P33" s="255">
        <v>31</v>
      </c>
      <c r="Q33" s="255">
        <v>68</v>
      </c>
      <c r="R33" s="323">
        <v>142</v>
      </c>
      <c r="S33" s="255">
        <v>35</v>
      </c>
      <c r="T33" s="255">
        <v>24</v>
      </c>
      <c r="U33" s="255">
        <v>10</v>
      </c>
      <c r="V33" s="323">
        <v>95</v>
      </c>
      <c r="W33" s="255"/>
      <c r="X33" s="255"/>
      <c r="Y33" s="255"/>
      <c r="Z33" s="323">
        <v>0</v>
      </c>
      <c r="AA33" s="254">
        <f t="shared" si="9"/>
        <v>664</v>
      </c>
      <c r="AB33" s="255">
        <f t="shared" si="9"/>
        <v>842</v>
      </c>
      <c r="AC33" s="255">
        <f t="shared" si="9"/>
        <v>915</v>
      </c>
      <c r="AD33" s="323">
        <f t="shared" si="9"/>
        <v>1240</v>
      </c>
    </row>
    <row r="34" spans="1:30" s="332" customFormat="1" ht="22.5" customHeight="1">
      <c r="A34" s="322"/>
      <c r="B34" s="211" t="s">
        <v>1050</v>
      </c>
      <c r="C34" s="255">
        <v>1135</v>
      </c>
      <c r="D34" s="255">
        <v>1359</v>
      </c>
      <c r="E34" s="255">
        <v>1521</v>
      </c>
      <c r="F34" s="340">
        <v>2271</v>
      </c>
      <c r="G34" s="255">
        <v>299</v>
      </c>
      <c r="H34" s="255">
        <v>297</v>
      </c>
      <c r="I34" s="255">
        <v>608</v>
      </c>
      <c r="J34" s="340">
        <v>709</v>
      </c>
      <c r="K34" s="255">
        <v>5</v>
      </c>
      <c r="L34" s="255">
        <v>33</v>
      </c>
      <c r="M34" s="255">
        <v>68</v>
      </c>
      <c r="N34" s="323">
        <v>58</v>
      </c>
      <c r="O34" s="255">
        <v>174</v>
      </c>
      <c r="P34" s="255">
        <v>187</v>
      </c>
      <c r="Q34" s="255">
        <v>403</v>
      </c>
      <c r="R34" s="323">
        <v>472</v>
      </c>
      <c r="S34" s="255">
        <v>9</v>
      </c>
      <c r="T34" s="255">
        <v>27</v>
      </c>
      <c r="U34" s="255">
        <v>24</v>
      </c>
      <c r="V34" s="323">
        <v>47</v>
      </c>
      <c r="W34" s="255"/>
      <c r="X34" s="255"/>
      <c r="Y34" s="255">
        <v>1</v>
      </c>
      <c r="Z34" s="323">
        <v>4</v>
      </c>
      <c r="AA34" s="254">
        <f t="shared" si="9"/>
        <v>1622</v>
      </c>
      <c r="AB34" s="255">
        <f t="shared" si="9"/>
        <v>1903</v>
      </c>
      <c r="AC34" s="255">
        <f t="shared" si="9"/>
        <v>2625</v>
      </c>
      <c r="AD34" s="323">
        <f t="shared" si="9"/>
        <v>3561</v>
      </c>
    </row>
    <row r="35" spans="1:30" s="332" customFormat="1" ht="22.5" customHeight="1">
      <c r="A35" s="322"/>
      <c r="B35" s="211" t="s">
        <v>1094</v>
      </c>
      <c r="C35" s="255">
        <v>16</v>
      </c>
      <c r="D35" s="255">
        <v>61</v>
      </c>
      <c r="E35" s="255">
        <v>276</v>
      </c>
      <c r="F35" s="340">
        <v>267</v>
      </c>
      <c r="G35" s="255">
        <v>47</v>
      </c>
      <c r="H35" s="255">
        <v>87</v>
      </c>
      <c r="I35" s="255">
        <v>259</v>
      </c>
      <c r="J35" s="340">
        <v>235</v>
      </c>
      <c r="K35" s="255"/>
      <c r="L35" s="255"/>
      <c r="M35" s="255"/>
      <c r="N35" s="323">
        <v>0</v>
      </c>
      <c r="O35" s="255"/>
      <c r="P35" s="255"/>
      <c r="Q35" s="255"/>
      <c r="R35" s="323">
        <v>0</v>
      </c>
      <c r="S35" s="255">
        <v>471</v>
      </c>
      <c r="T35" s="255">
        <v>414</v>
      </c>
      <c r="U35" s="255">
        <v>987</v>
      </c>
      <c r="V35" s="323">
        <v>1043</v>
      </c>
      <c r="W35" s="255"/>
      <c r="X35" s="255"/>
      <c r="Y35" s="255"/>
      <c r="Z35" s="323">
        <v>0</v>
      </c>
      <c r="AA35" s="254">
        <f t="shared" si="9"/>
        <v>534</v>
      </c>
      <c r="AB35" s="255">
        <f t="shared" si="9"/>
        <v>562</v>
      </c>
      <c r="AC35" s="255">
        <f t="shared" si="9"/>
        <v>1522</v>
      </c>
      <c r="AD35" s="323">
        <f t="shared" si="9"/>
        <v>1545</v>
      </c>
    </row>
    <row r="36" spans="1:30" s="332" customFormat="1" ht="22.5" customHeight="1">
      <c r="A36" s="322"/>
      <c r="B36" s="243" t="s">
        <v>868</v>
      </c>
      <c r="C36" s="255"/>
      <c r="D36" s="255"/>
      <c r="E36" s="255">
        <v>1</v>
      </c>
      <c r="F36" s="340">
        <v>0</v>
      </c>
      <c r="G36" s="255"/>
      <c r="H36" s="255"/>
      <c r="I36" s="255"/>
      <c r="J36" s="340">
        <v>0</v>
      </c>
      <c r="K36" s="255"/>
      <c r="L36" s="255"/>
      <c r="M36" s="255"/>
      <c r="N36" s="323">
        <v>0</v>
      </c>
      <c r="O36" s="255"/>
      <c r="P36" s="255"/>
      <c r="Q36" s="255"/>
      <c r="R36" s="323">
        <v>0</v>
      </c>
      <c r="S36" s="255"/>
      <c r="T36" s="255"/>
      <c r="U36" s="255"/>
      <c r="V36" s="323">
        <v>0</v>
      </c>
      <c r="W36" s="255"/>
      <c r="X36" s="255"/>
      <c r="Y36" s="255"/>
      <c r="Z36" s="323">
        <v>0</v>
      </c>
      <c r="AA36" s="254">
        <f t="shared" si="9"/>
        <v>0</v>
      </c>
      <c r="AB36" s="255">
        <f t="shared" si="9"/>
        <v>0</v>
      </c>
      <c r="AC36" s="255">
        <f t="shared" si="9"/>
        <v>1</v>
      </c>
      <c r="AD36" s="323">
        <f t="shared" si="9"/>
        <v>0</v>
      </c>
    </row>
    <row r="37" spans="1:30" s="332" customFormat="1" ht="22.5" customHeight="1">
      <c r="A37" s="322"/>
      <c r="B37" s="1271" t="s">
        <v>582</v>
      </c>
      <c r="C37" s="1272">
        <v>5497</v>
      </c>
      <c r="D37" s="1272">
        <v>6361</v>
      </c>
      <c r="E37" s="1272">
        <f>SUM(E32:E36)</f>
        <v>8708</v>
      </c>
      <c r="F37" s="1273">
        <f t="shared" ref="F37:Z37" si="10">SUM(F32:F36)</f>
        <v>10295</v>
      </c>
      <c r="G37" s="1272">
        <f t="shared" si="10"/>
        <v>959</v>
      </c>
      <c r="H37" s="1272">
        <f t="shared" si="10"/>
        <v>1040</v>
      </c>
      <c r="I37" s="1272">
        <f t="shared" si="10"/>
        <v>2488</v>
      </c>
      <c r="J37" s="1273">
        <f t="shared" si="10"/>
        <v>2949</v>
      </c>
      <c r="K37" s="1272">
        <f t="shared" si="10"/>
        <v>49</v>
      </c>
      <c r="L37" s="1272">
        <f t="shared" si="10"/>
        <v>88</v>
      </c>
      <c r="M37" s="1272">
        <f t="shared" si="10"/>
        <v>253</v>
      </c>
      <c r="N37" s="1274">
        <f t="shared" si="10"/>
        <v>145</v>
      </c>
      <c r="O37" s="1272">
        <f t="shared" si="10"/>
        <v>486</v>
      </c>
      <c r="P37" s="1272">
        <f t="shared" si="10"/>
        <v>665</v>
      </c>
      <c r="Q37" s="1272">
        <f t="shared" si="10"/>
        <v>1807</v>
      </c>
      <c r="R37" s="1274">
        <f t="shared" si="10"/>
        <v>2060</v>
      </c>
      <c r="S37" s="1272">
        <f t="shared" si="10"/>
        <v>720</v>
      </c>
      <c r="T37" s="1272">
        <f t="shared" si="10"/>
        <v>637</v>
      </c>
      <c r="U37" s="1272">
        <f t="shared" si="10"/>
        <v>1202</v>
      </c>
      <c r="V37" s="1274">
        <f t="shared" si="10"/>
        <v>1313</v>
      </c>
      <c r="W37" s="1272">
        <f t="shared" si="10"/>
        <v>0</v>
      </c>
      <c r="X37" s="1272">
        <f t="shared" si="10"/>
        <v>0</v>
      </c>
      <c r="Y37" s="1272">
        <f t="shared" si="10"/>
        <v>1</v>
      </c>
      <c r="Z37" s="1274">
        <f t="shared" si="10"/>
        <v>4</v>
      </c>
      <c r="AA37" s="1275">
        <f>SUM(AA32:AA36)</f>
        <v>7711</v>
      </c>
      <c r="AB37" s="1272">
        <f>SUM(AB32:AB36)</f>
        <v>8791</v>
      </c>
      <c r="AC37" s="1272">
        <f>SUM(AC32:AC36)</f>
        <v>14459</v>
      </c>
      <c r="AD37" s="1274">
        <f>SUM(AD32:AD36)</f>
        <v>16766</v>
      </c>
    </row>
    <row r="38" spans="1:30" s="332" customFormat="1" ht="22.5" customHeight="1">
      <c r="A38" s="322" t="s">
        <v>485</v>
      </c>
      <c r="B38" s="211" t="s">
        <v>586</v>
      </c>
      <c r="C38" s="255">
        <v>3108</v>
      </c>
      <c r="D38" s="255">
        <v>4958</v>
      </c>
      <c r="E38" s="255">
        <v>4694</v>
      </c>
      <c r="F38" s="340">
        <v>4120</v>
      </c>
      <c r="G38" s="255">
        <v>351</v>
      </c>
      <c r="H38" s="255">
        <v>448</v>
      </c>
      <c r="I38" s="255">
        <v>1173</v>
      </c>
      <c r="J38" s="340">
        <v>1575</v>
      </c>
      <c r="K38" s="255">
        <v>52</v>
      </c>
      <c r="L38" s="255">
        <v>178</v>
      </c>
      <c r="M38" s="255">
        <v>326</v>
      </c>
      <c r="N38" s="323">
        <v>527</v>
      </c>
      <c r="O38" s="255">
        <v>185</v>
      </c>
      <c r="P38" s="255">
        <v>277</v>
      </c>
      <c r="Q38" s="255">
        <v>480</v>
      </c>
      <c r="R38" s="323">
        <v>543</v>
      </c>
      <c r="S38" s="255">
        <v>61</v>
      </c>
      <c r="T38" s="255">
        <v>56</v>
      </c>
      <c r="U38" s="255">
        <v>70</v>
      </c>
      <c r="V38" s="323">
        <v>76</v>
      </c>
      <c r="W38" s="255"/>
      <c r="X38" s="255"/>
      <c r="Y38" s="255"/>
      <c r="Z38" s="323">
        <v>0</v>
      </c>
      <c r="AA38" s="254">
        <f t="shared" ref="AA38:AD40" si="11">+W38+S38+O38+K38+G38+C38</f>
        <v>3757</v>
      </c>
      <c r="AB38" s="255">
        <f t="shared" si="11"/>
        <v>5917</v>
      </c>
      <c r="AC38" s="255">
        <f t="shared" si="11"/>
        <v>6743</v>
      </c>
      <c r="AD38" s="323">
        <f t="shared" si="11"/>
        <v>6841</v>
      </c>
    </row>
    <row r="39" spans="1:30" s="332" customFormat="1" ht="22.5" customHeight="1">
      <c r="A39" s="322"/>
      <c r="B39" s="243" t="s">
        <v>750</v>
      </c>
      <c r="C39" s="255">
        <v>373</v>
      </c>
      <c r="D39" s="255">
        <v>1425</v>
      </c>
      <c r="E39" s="255">
        <v>1505</v>
      </c>
      <c r="F39" s="340">
        <v>1293</v>
      </c>
      <c r="G39" s="255">
        <v>74</v>
      </c>
      <c r="H39" s="255">
        <v>115</v>
      </c>
      <c r="I39" s="255">
        <v>175</v>
      </c>
      <c r="J39" s="340">
        <v>292</v>
      </c>
      <c r="K39" s="255">
        <v>69</v>
      </c>
      <c r="L39" s="255">
        <v>319</v>
      </c>
      <c r="M39" s="255">
        <v>144</v>
      </c>
      <c r="N39" s="323">
        <v>218</v>
      </c>
      <c r="O39" s="255">
        <v>30</v>
      </c>
      <c r="P39" s="255">
        <v>104</v>
      </c>
      <c r="Q39" s="255">
        <v>141</v>
      </c>
      <c r="R39" s="323">
        <v>129</v>
      </c>
      <c r="S39" s="255">
        <v>6</v>
      </c>
      <c r="T39" s="255">
        <v>26</v>
      </c>
      <c r="U39" s="255">
        <v>27</v>
      </c>
      <c r="V39" s="323">
        <v>28</v>
      </c>
      <c r="W39" s="255"/>
      <c r="X39" s="255"/>
      <c r="Y39" s="255"/>
      <c r="Z39" s="323">
        <v>0</v>
      </c>
      <c r="AA39" s="254">
        <f t="shared" si="11"/>
        <v>552</v>
      </c>
      <c r="AB39" s="255">
        <f t="shared" si="11"/>
        <v>1989</v>
      </c>
      <c r="AC39" s="255">
        <f t="shared" si="11"/>
        <v>1992</v>
      </c>
      <c r="AD39" s="323">
        <f t="shared" si="11"/>
        <v>1960</v>
      </c>
    </row>
    <row r="40" spans="1:30" s="332" customFormat="1" ht="22.5" customHeight="1">
      <c r="A40" s="322"/>
      <c r="B40" s="211" t="s">
        <v>1051</v>
      </c>
      <c r="C40" s="255">
        <v>509</v>
      </c>
      <c r="D40" s="255">
        <v>751</v>
      </c>
      <c r="E40" s="255">
        <v>450</v>
      </c>
      <c r="F40" s="340">
        <v>606</v>
      </c>
      <c r="G40" s="255">
        <v>24</v>
      </c>
      <c r="H40" s="255">
        <v>50</v>
      </c>
      <c r="I40" s="255">
        <v>185</v>
      </c>
      <c r="J40" s="340">
        <v>184</v>
      </c>
      <c r="K40" s="255">
        <v>19</v>
      </c>
      <c r="L40" s="255">
        <v>48</v>
      </c>
      <c r="M40" s="255">
        <v>17</v>
      </c>
      <c r="N40" s="323">
        <v>20</v>
      </c>
      <c r="O40" s="255">
        <v>14</v>
      </c>
      <c r="P40" s="255">
        <v>60</v>
      </c>
      <c r="Q40" s="255">
        <v>66</v>
      </c>
      <c r="R40" s="323">
        <v>74</v>
      </c>
      <c r="S40" s="255">
        <v>3</v>
      </c>
      <c r="T40" s="255">
        <v>2</v>
      </c>
      <c r="U40" s="255">
        <v>8</v>
      </c>
      <c r="V40" s="323">
        <v>4</v>
      </c>
      <c r="W40" s="255"/>
      <c r="X40" s="255"/>
      <c r="Y40" s="255"/>
      <c r="Z40" s="323">
        <v>6</v>
      </c>
      <c r="AA40" s="254">
        <f t="shared" si="11"/>
        <v>569</v>
      </c>
      <c r="AB40" s="255">
        <f t="shared" si="11"/>
        <v>911</v>
      </c>
      <c r="AC40" s="255">
        <f t="shared" si="11"/>
        <v>726</v>
      </c>
      <c r="AD40" s="323">
        <f t="shared" si="11"/>
        <v>894</v>
      </c>
    </row>
    <row r="41" spans="1:30" s="332" customFormat="1" ht="22.5" customHeight="1">
      <c r="A41" s="322"/>
      <c r="B41" s="1271" t="s">
        <v>582</v>
      </c>
      <c r="C41" s="1272">
        <v>3990</v>
      </c>
      <c r="D41" s="1272">
        <v>7134</v>
      </c>
      <c r="E41" s="1272">
        <f>SUM(E38:E40)</f>
        <v>6649</v>
      </c>
      <c r="F41" s="1273">
        <f t="shared" ref="F41:Z41" si="12">SUM(F38:F40)</f>
        <v>6019</v>
      </c>
      <c r="G41" s="1272">
        <f t="shared" si="12"/>
        <v>449</v>
      </c>
      <c r="H41" s="1272">
        <f t="shared" si="12"/>
        <v>613</v>
      </c>
      <c r="I41" s="1272">
        <f t="shared" si="12"/>
        <v>1533</v>
      </c>
      <c r="J41" s="1273">
        <f t="shared" si="12"/>
        <v>2051</v>
      </c>
      <c r="K41" s="1272">
        <f t="shared" si="12"/>
        <v>140</v>
      </c>
      <c r="L41" s="1272">
        <f t="shared" si="12"/>
        <v>545</v>
      </c>
      <c r="M41" s="1272">
        <f t="shared" si="12"/>
        <v>487</v>
      </c>
      <c r="N41" s="1274">
        <f t="shared" si="12"/>
        <v>765</v>
      </c>
      <c r="O41" s="1272">
        <f t="shared" si="12"/>
        <v>229</v>
      </c>
      <c r="P41" s="1272">
        <f t="shared" si="12"/>
        <v>441</v>
      </c>
      <c r="Q41" s="1272">
        <f t="shared" si="12"/>
        <v>687</v>
      </c>
      <c r="R41" s="1274">
        <f t="shared" si="12"/>
        <v>746</v>
      </c>
      <c r="S41" s="1272">
        <f t="shared" si="12"/>
        <v>70</v>
      </c>
      <c r="T41" s="1272">
        <f t="shared" si="12"/>
        <v>84</v>
      </c>
      <c r="U41" s="1272">
        <f t="shared" si="12"/>
        <v>105</v>
      </c>
      <c r="V41" s="1274">
        <f t="shared" si="12"/>
        <v>108</v>
      </c>
      <c r="W41" s="1272">
        <f t="shared" si="12"/>
        <v>0</v>
      </c>
      <c r="X41" s="1272">
        <f t="shared" si="12"/>
        <v>0</v>
      </c>
      <c r="Y41" s="1272">
        <f t="shared" si="12"/>
        <v>0</v>
      </c>
      <c r="Z41" s="1274">
        <f t="shared" si="12"/>
        <v>6</v>
      </c>
      <c r="AA41" s="1275">
        <f>SUM(AA38:AA40)</f>
        <v>4878</v>
      </c>
      <c r="AB41" s="1272">
        <f>SUM(AB38:AB40)</f>
        <v>8817</v>
      </c>
      <c r="AC41" s="1272">
        <f>SUM(AC38:AC40)</f>
        <v>9461</v>
      </c>
      <c r="AD41" s="1274">
        <f>SUM(AD38:AD40)</f>
        <v>9695</v>
      </c>
    </row>
    <row r="42" spans="1:30" s="332" customFormat="1" ht="22.5" customHeight="1">
      <c r="A42" s="322" t="s">
        <v>486</v>
      </c>
      <c r="B42" s="243" t="s">
        <v>751</v>
      </c>
      <c r="C42" s="255">
        <v>2448</v>
      </c>
      <c r="D42" s="255">
        <v>3155</v>
      </c>
      <c r="E42" s="255">
        <v>4899</v>
      </c>
      <c r="F42" s="340">
        <v>4463</v>
      </c>
      <c r="G42" s="255">
        <v>337</v>
      </c>
      <c r="H42" s="255">
        <v>258</v>
      </c>
      <c r="I42" s="255">
        <v>691</v>
      </c>
      <c r="J42" s="340">
        <v>1205</v>
      </c>
      <c r="K42" s="255">
        <v>26</v>
      </c>
      <c r="L42" s="255">
        <v>65</v>
      </c>
      <c r="M42" s="255">
        <v>158</v>
      </c>
      <c r="N42" s="323">
        <v>77</v>
      </c>
      <c r="O42" s="255">
        <v>205</v>
      </c>
      <c r="P42" s="255">
        <v>249</v>
      </c>
      <c r="Q42" s="255">
        <v>463</v>
      </c>
      <c r="R42" s="323">
        <v>369</v>
      </c>
      <c r="S42" s="255">
        <v>138</v>
      </c>
      <c r="T42" s="255">
        <v>278</v>
      </c>
      <c r="U42" s="255">
        <v>234</v>
      </c>
      <c r="V42" s="323">
        <v>252</v>
      </c>
      <c r="W42" s="255"/>
      <c r="X42" s="255"/>
      <c r="Y42" s="255"/>
      <c r="Z42" s="323">
        <v>0</v>
      </c>
      <c r="AA42" s="254">
        <f t="shared" ref="AA42:AD46" si="13">+W42+S42+O42+K42+G42+C42</f>
        <v>3154</v>
      </c>
      <c r="AB42" s="255">
        <f t="shared" si="13"/>
        <v>4005</v>
      </c>
      <c r="AC42" s="255">
        <f t="shared" si="13"/>
        <v>6445</v>
      </c>
      <c r="AD42" s="323">
        <f t="shared" si="13"/>
        <v>6366</v>
      </c>
    </row>
    <row r="43" spans="1:30" s="332" customFormat="1" ht="22.5" customHeight="1">
      <c r="A43" s="322" t="s">
        <v>869</v>
      </c>
      <c r="B43" s="211" t="s">
        <v>752</v>
      </c>
      <c r="C43" s="255">
        <v>4782</v>
      </c>
      <c r="D43" s="255">
        <v>5168</v>
      </c>
      <c r="E43" s="255">
        <v>6731</v>
      </c>
      <c r="F43" s="340">
        <v>6225</v>
      </c>
      <c r="G43" s="255">
        <v>676</v>
      </c>
      <c r="H43" s="255">
        <v>511</v>
      </c>
      <c r="I43" s="255">
        <v>2659</v>
      </c>
      <c r="J43" s="340">
        <v>3034</v>
      </c>
      <c r="K43" s="255">
        <v>0</v>
      </c>
      <c r="L43" s="255"/>
      <c r="M43" s="255">
        <v>4</v>
      </c>
      <c r="N43" s="323">
        <v>1</v>
      </c>
      <c r="O43" s="255">
        <v>408</v>
      </c>
      <c r="P43" s="255">
        <v>845</v>
      </c>
      <c r="Q43" s="255">
        <v>908</v>
      </c>
      <c r="R43" s="323">
        <v>2054</v>
      </c>
      <c r="S43" s="255">
        <v>87</v>
      </c>
      <c r="T43" s="255">
        <v>87</v>
      </c>
      <c r="U43" s="255">
        <v>85</v>
      </c>
      <c r="V43" s="323">
        <v>120</v>
      </c>
      <c r="W43" s="255"/>
      <c r="X43" s="255"/>
      <c r="Y43" s="255"/>
      <c r="Z43" s="323">
        <v>47</v>
      </c>
      <c r="AA43" s="254">
        <f t="shared" si="13"/>
        <v>5953</v>
      </c>
      <c r="AB43" s="255">
        <f t="shared" si="13"/>
        <v>6611</v>
      </c>
      <c r="AC43" s="255">
        <f t="shared" si="13"/>
        <v>10387</v>
      </c>
      <c r="AD43" s="323">
        <f t="shared" si="13"/>
        <v>11481</v>
      </c>
    </row>
    <row r="44" spans="1:30" s="332" customFormat="1" ht="22.5" customHeight="1">
      <c r="A44" s="322"/>
      <c r="B44" s="211" t="s">
        <v>902</v>
      </c>
      <c r="C44" s="255">
        <v>217</v>
      </c>
      <c r="D44" s="255">
        <v>512</v>
      </c>
      <c r="E44" s="255">
        <v>691</v>
      </c>
      <c r="F44" s="340">
        <v>832</v>
      </c>
      <c r="G44" s="255">
        <v>426</v>
      </c>
      <c r="H44" s="255">
        <v>69</v>
      </c>
      <c r="I44" s="255">
        <v>161</v>
      </c>
      <c r="J44" s="340">
        <v>279</v>
      </c>
      <c r="K44" s="255"/>
      <c r="L44" s="255"/>
      <c r="M44" s="255"/>
      <c r="N44" s="323">
        <v>0</v>
      </c>
      <c r="O44" s="255"/>
      <c r="P44" s="255"/>
      <c r="Q44" s="255"/>
      <c r="R44" s="323">
        <v>1</v>
      </c>
      <c r="S44" s="255">
        <v>378</v>
      </c>
      <c r="T44" s="255">
        <v>511</v>
      </c>
      <c r="U44" s="255">
        <v>578</v>
      </c>
      <c r="V44" s="323">
        <v>544</v>
      </c>
      <c r="W44" s="255">
        <v>134</v>
      </c>
      <c r="X44" s="255">
        <v>121</v>
      </c>
      <c r="Y44" s="255"/>
      <c r="Z44" s="323">
        <v>0</v>
      </c>
      <c r="AA44" s="254">
        <f t="shared" si="13"/>
        <v>1155</v>
      </c>
      <c r="AB44" s="255">
        <f t="shared" si="13"/>
        <v>1213</v>
      </c>
      <c r="AC44" s="255">
        <f t="shared" si="13"/>
        <v>1430</v>
      </c>
      <c r="AD44" s="323">
        <f t="shared" si="13"/>
        <v>1656</v>
      </c>
    </row>
    <row r="45" spans="1:30" s="332" customFormat="1" ht="22.5" customHeight="1">
      <c r="A45" s="322" t="s">
        <v>488</v>
      </c>
      <c r="B45" s="211" t="s">
        <v>753</v>
      </c>
      <c r="C45" s="255">
        <v>4768</v>
      </c>
      <c r="D45" s="255">
        <v>5014</v>
      </c>
      <c r="E45" s="255">
        <v>5805</v>
      </c>
      <c r="F45" s="340">
        <v>6238</v>
      </c>
      <c r="G45" s="255">
        <v>451</v>
      </c>
      <c r="H45" s="255">
        <v>1377</v>
      </c>
      <c r="I45" s="255">
        <v>1650</v>
      </c>
      <c r="J45" s="340">
        <v>1761</v>
      </c>
      <c r="K45" s="255">
        <v>6</v>
      </c>
      <c r="L45" s="255">
        <v>6</v>
      </c>
      <c r="M45" s="255">
        <v>1</v>
      </c>
      <c r="N45" s="323">
        <v>54</v>
      </c>
      <c r="O45" s="255">
        <v>403</v>
      </c>
      <c r="P45" s="255">
        <v>518</v>
      </c>
      <c r="Q45" s="255">
        <v>651</v>
      </c>
      <c r="R45" s="323">
        <v>735</v>
      </c>
      <c r="S45" s="255">
        <v>419</v>
      </c>
      <c r="T45" s="255">
        <v>559</v>
      </c>
      <c r="U45" s="255">
        <v>442</v>
      </c>
      <c r="V45" s="323">
        <v>525</v>
      </c>
      <c r="W45" s="255"/>
      <c r="X45" s="255">
        <v>7</v>
      </c>
      <c r="Y45" s="255"/>
      <c r="Z45" s="323">
        <v>0</v>
      </c>
      <c r="AA45" s="254">
        <f t="shared" si="13"/>
        <v>6047</v>
      </c>
      <c r="AB45" s="255">
        <f t="shared" si="13"/>
        <v>7481</v>
      </c>
      <c r="AC45" s="255">
        <f t="shared" si="13"/>
        <v>8549</v>
      </c>
      <c r="AD45" s="323">
        <f t="shared" si="13"/>
        <v>9313</v>
      </c>
    </row>
    <row r="46" spans="1:30" s="332" customFormat="1" ht="22.5" customHeight="1">
      <c r="A46" s="322"/>
      <c r="B46" s="211" t="s">
        <v>1045</v>
      </c>
      <c r="C46" s="255">
        <v>478</v>
      </c>
      <c r="D46" s="255">
        <v>644</v>
      </c>
      <c r="E46" s="255">
        <v>863</v>
      </c>
      <c r="F46" s="340">
        <v>819</v>
      </c>
      <c r="G46" s="255">
        <v>79</v>
      </c>
      <c r="H46" s="255">
        <v>215</v>
      </c>
      <c r="I46" s="255">
        <v>210</v>
      </c>
      <c r="J46" s="340">
        <v>288</v>
      </c>
      <c r="K46" s="255">
        <v>0</v>
      </c>
      <c r="L46" s="255">
        <v>0</v>
      </c>
      <c r="M46" s="255">
        <v>0</v>
      </c>
      <c r="N46" s="323">
        <v>1</v>
      </c>
      <c r="O46" s="255">
        <v>81</v>
      </c>
      <c r="P46" s="255">
        <v>148</v>
      </c>
      <c r="Q46" s="255">
        <v>88</v>
      </c>
      <c r="R46" s="323">
        <v>174</v>
      </c>
      <c r="S46" s="255">
        <v>54</v>
      </c>
      <c r="T46" s="255">
        <v>107</v>
      </c>
      <c r="U46" s="255">
        <v>77</v>
      </c>
      <c r="V46" s="323">
        <v>102</v>
      </c>
      <c r="W46" s="255"/>
      <c r="X46" s="255"/>
      <c r="Y46" s="255"/>
      <c r="Z46" s="323">
        <v>0</v>
      </c>
      <c r="AA46" s="254">
        <f t="shared" si="13"/>
        <v>692</v>
      </c>
      <c r="AB46" s="255">
        <f t="shared" si="13"/>
        <v>1114</v>
      </c>
      <c r="AC46" s="255">
        <f t="shared" si="13"/>
        <v>1238</v>
      </c>
      <c r="AD46" s="323">
        <f t="shared" si="13"/>
        <v>1384</v>
      </c>
    </row>
    <row r="47" spans="1:30" s="332" customFormat="1" ht="22.5" customHeight="1">
      <c r="A47" s="322"/>
      <c r="B47" s="1279" t="s">
        <v>582</v>
      </c>
      <c r="C47" s="1272">
        <v>5246</v>
      </c>
      <c r="D47" s="1272">
        <v>5658</v>
      </c>
      <c r="E47" s="1272">
        <f>SUM(E45:E46)</f>
        <v>6668</v>
      </c>
      <c r="F47" s="1273">
        <f t="shared" ref="F47:Z47" si="14">SUM(F45:F46)</f>
        <v>7057</v>
      </c>
      <c r="G47" s="1272">
        <f t="shared" si="14"/>
        <v>530</v>
      </c>
      <c r="H47" s="1272">
        <f t="shared" si="14"/>
        <v>1592</v>
      </c>
      <c r="I47" s="1272">
        <f t="shared" si="14"/>
        <v>1860</v>
      </c>
      <c r="J47" s="1273">
        <f t="shared" si="14"/>
        <v>2049</v>
      </c>
      <c r="K47" s="1272">
        <f t="shared" si="14"/>
        <v>6</v>
      </c>
      <c r="L47" s="1272">
        <f t="shared" si="14"/>
        <v>6</v>
      </c>
      <c r="M47" s="1272">
        <f t="shared" si="14"/>
        <v>1</v>
      </c>
      <c r="N47" s="1274">
        <f t="shared" si="14"/>
        <v>55</v>
      </c>
      <c r="O47" s="1272">
        <f t="shared" si="14"/>
        <v>484</v>
      </c>
      <c r="P47" s="1272">
        <f t="shared" si="14"/>
        <v>666</v>
      </c>
      <c r="Q47" s="1272">
        <f t="shared" si="14"/>
        <v>739</v>
      </c>
      <c r="R47" s="1274">
        <f t="shared" si="14"/>
        <v>909</v>
      </c>
      <c r="S47" s="1272">
        <f t="shared" si="14"/>
        <v>473</v>
      </c>
      <c r="T47" s="1272">
        <f t="shared" si="14"/>
        <v>666</v>
      </c>
      <c r="U47" s="1272">
        <f t="shared" si="14"/>
        <v>519</v>
      </c>
      <c r="V47" s="1274">
        <f t="shared" si="14"/>
        <v>627</v>
      </c>
      <c r="W47" s="1272">
        <f t="shared" si="14"/>
        <v>0</v>
      </c>
      <c r="X47" s="1272">
        <f t="shared" si="14"/>
        <v>7</v>
      </c>
      <c r="Y47" s="1272">
        <f t="shared" si="14"/>
        <v>0</v>
      </c>
      <c r="Z47" s="1274">
        <f t="shared" si="14"/>
        <v>0</v>
      </c>
      <c r="AA47" s="1275">
        <f>SUM(AA45:AA46)</f>
        <v>6739</v>
      </c>
      <c r="AB47" s="1272">
        <f>SUM(AB45:AB46)</f>
        <v>8595</v>
      </c>
      <c r="AC47" s="1272">
        <f>SUM(AC45:AC46)</f>
        <v>9787</v>
      </c>
      <c r="AD47" s="1274">
        <f>SUM(AD45:AD46)</f>
        <v>10697</v>
      </c>
    </row>
    <row r="48" spans="1:30" s="6" customFormat="1" ht="22.5" customHeight="1">
      <c r="A48" s="1280" t="s">
        <v>870</v>
      </c>
      <c r="B48" s="1281"/>
      <c r="C48" s="1282">
        <v>34434</v>
      </c>
      <c r="D48" s="1282">
        <v>44488</v>
      </c>
      <c r="E48" s="1282">
        <f>+E31+E37+E41+E42+E43+E47+E44</f>
        <v>58359</v>
      </c>
      <c r="F48" s="1283">
        <f t="shared" ref="F48:Z48" si="15">+F31+F37+F41+F42+F43+F47+F44</f>
        <v>57894</v>
      </c>
      <c r="G48" s="1282">
        <f t="shared" si="15"/>
        <v>7441</v>
      </c>
      <c r="H48" s="1282">
        <f t="shared" si="15"/>
        <v>6325</v>
      </c>
      <c r="I48" s="1282">
        <f t="shared" si="15"/>
        <v>15672</v>
      </c>
      <c r="J48" s="1283">
        <f t="shared" si="15"/>
        <v>19080</v>
      </c>
      <c r="K48" s="1282">
        <f t="shared" si="15"/>
        <v>380</v>
      </c>
      <c r="L48" s="1282">
        <f t="shared" si="15"/>
        <v>1029</v>
      </c>
      <c r="M48" s="1282">
        <f t="shared" si="15"/>
        <v>1827</v>
      </c>
      <c r="N48" s="1283">
        <f t="shared" si="15"/>
        <v>2561</v>
      </c>
      <c r="O48" s="1282">
        <f t="shared" si="15"/>
        <v>3277</v>
      </c>
      <c r="P48" s="1282">
        <f t="shared" si="15"/>
        <v>5403</v>
      </c>
      <c r="Q48" s="1282">
        <f t="shared" si="15"/>
        <v>9627</v>
      </c>
      <c r="R48" s="1283">
        <f t="shared" si="15"/>
        <v>10587</v>
      </c>
      <c r="S48" s="1282">
        <f t="shared" si="15"/>
        <v>2858</v>
      </c>
      <c r="T48" s="1282">
        <f t="shared" si="15"/>
        <v>3613</v>
      </c>
      <c r="U48" s="1282">
        <f t="shared" si="15"/>
        <v>4246</v>
      </c>
      <c r="V48" s="1283">
        <f t="shared" si="15"/>
        <v>4679</v>
      </c>
      <c r="W48" s="1282">
        <f t="shared" si="15"/>
        <v>844</v>
      </c>
      <c r="X48" s="1282">
        <f t="shared" si="15"/>
        <v>896</v>
      </c>
      <c r="Y48" s="1282">
        <f t="shared" si="15"/>
        <v>749</v>
      </c>
      <c r="Z48" s="1283">
        <f t="shared" si="15"/>
        <v>57</v>
      </c>
      <c r="AA48" s="1284">
        <f t="shared" ref="AA48:AC48" si="16">+AA31+AA37+AA41+AA42+AA43+AA47+AA44</f>
        <v>49234</v>
      </c>
      <c r="AB48" s="1282">
        <f t="shared" si="16"/>
        <v>61754</v>
      </c>
      <c r="AC48" s="1282">
        <f t="shared" si="16"/>
        <v>90480</v>
      </c>
      <c r="AD48" s="1283">
        <f t="shared" ref="AD48" si="17">+AD31+AD37+AD41+AD42+AD43+AD47+AD44</f>
        <v>94858</v>
      </c>
    </row>
    <row r="49" spans="1:52" s="332" customFormat="1" ht="22.5" customHeight="1">
      <c r="A49" s="1578" t="s">
        <v>594</v>
      </c>
      <c r="B49" s="1579"/>
      <c r="C49" s="1285">
        <v>58107</v>
      </c>
      <c r="D49" s="1285">
        <v>72009</v>
      </c>
      <c r="E49" s="1285">
        <f t="shared" ref="E49:AC49" si="18">+E23+E48</f>
        <v>90257</v>
      </c>
      <c r="F49" s="1286">
        <f t="shared" ref="F49:Z49" si="19">+F23+F48</f>
        <v>95857</v>
      </c>
      <c r="G49" s="1285">
        <f t="shared" si="19"/>
        <v>10365</v>
      </c>
      <c r="H49" s="1285">
        <f t="shared" si="19"/>
        <v>9738</v>
      </c>
      <c r="I49" s="1285">
        <f t="shared" si="19"/>
        <v>22301</v>
      </c>
      <c r="J49" s="1286">
        <f t="shared" si="19"/>
        <v>27438</v>
      </c>
      <c r="K49" s="1285">
        <f t="shared" si="19"/>
        <v>590</v>
      </c>
      <c r="L49" s="1285">
        <f t="shared" si="19"/>
        <v>1159</v>
      </c>
      <c r="M49" s="1285">
        <f t="shared" si="19"/>
        <v>2457</v>
      </c>
      <c r="N49" s="1286">
        <f t="shared" si="19"/>
        <v>3369</v>
      </c>
      <c r="O49" s="1285">
        <f t="shared" si="19"/>
        <v>4849</v>
      </c>
      <c r="P49" s="1285">
        <f t="shared" si="19"/>
        <v>9158</v>
      </c>
      <c r="Q49" s="1285">
        <f t="shared" si="19"/>
        <v>16180</v>
      </c>
      <c r="R49" s="1286">
        <f t="shared" si="19"/>
        <v>18866</v>
      </c>
      <c r="S49" s="1285">
        <f t="shared" si="19"/>
        <v>5646</v>
      </c>
      <c r="T49" s="1285">
        <f t="shared" si="19"/>
        <v>5847</v>
      </c>
      <c r="U49" s="1285">
        <f t="shared" si="19"/>
        <v>6303</v>
      </c>
      <c r="V49" s="1286">
        <f t="shared" si="19"/>
        <v>6902</v>
      </c>
      <c r="W49" s="1285">
        <f t="shared" si="19"/>
        <v>1750</v>
      </c>
      <c r="X49" s="1285">
        <f t="shared" si="19"/>
        <v>1681</v>
      </c>
      <c r="Y49" s="1285">
        <f t="shared" si="19"/>
        <v>934</v>
      </c>
      <c r="Z49" s="1286">
        <f t="shared" si="19"/>
        <v>57</v>
      </c>
      <c r="AA49" s="1287">
        <f t="shared" si="18"/>
        <v>81307</v>
      </c>
      <c r="AB49" s="1285">
        <f t="shared" si="18"/>
        <v>99592</v>
      </c>
      <c r="AC49" s="1285">
        <f t="shared" si="18"/>
        <v>138432</v>
      </c>
      <c r="AD49" s="1286">
        <f t="shared" ref="AD49" si="20">+AD23+AD48</f>
        <v>152489</v>
      </c>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row>
    <row r="51" spans="1:52">
      <c r="F51" s="842"/>
      <c r="G51" s="271"/>
      <c r="H51" s="271"/>
      <c r="J51" s="842"/>
      <c r="K51" s="271"/>
      <c r="L51" s="271"/>
      <c r="N51" s="842"/>
      <c r="O51" s="271"/>
      <c r="P51" s="271"/>
      <c r="R51" s="842"/>
      <c r="S51" s="271"/>
      <c r="T51" s="271"/>
      <c r="V51" s="842"/>
      <c r="W51" s="271"/>
      <c r="X51" s="271"/>
      <c r="Z51" s="842"/>
      <c r="AA51" s="271"/>
      <c r="AB51" s="271"/>
      <c r="AC51" s="271"/>
      <c r="AD51" s="842"/>
    </row>
    <row r="52" spans="1:52">
      <c r="F52" s="271"/>
      <c r="G52" s="271"/>
      <c r="H52" s="271"/>
      <c r="J52" s="271"/>
      <c r="K52" s="271"/>
      <c r="L52" s="271"/>
      <c r="N52" s="271"/>
      <c r="O52" s="271"/>
      <c r="P52" s="271"/>
      <c r="R52" s="271"/>
      <c r="S52" s="271"/>
      <c r="T52" s="271"/>
      <c r="V52" s="271"/>
      <c r="W52" s="271"/>
      <c r="X52" s="271"/>
      <c r="Z52" s="271"/>
      <c r="AA52" s="271"/>
      <c r="AB52" s="271"/>
      <c r="AC52" s="271"/>
      <c r="AD52" s="271"/>
    </row>
    <row r="53" spans="1:52">
      <c r="F53" s="271"/>
      <c r="G53" s="271"/>
      <c r="H53" s="271"/>
      <c r="J53" s="271"/>
      <c r="K53" s="271"/>
      <c r="L53" s="271"/>
      <c r="N53" s="271"/>
      <c r="O53" s="271"/>
      <c r="P53" s="271"/>
      <c r="R53" s="271"/>
      <c r="S53" s="271"/>
      <c r="T53" s="271"/>
      <c r="V53" s="271"/>
      <c r="W53" s="271"/>
      <c r="X53" s="271"/>
      <c r="Z53" s="271"/>
      <c r="AA53" s="271"/>
      <c r="AB53" s="271"/>
      <c r="AC53" s="271"/>
      <c r="AD53" s="271"/>
    </row>
    <row r="54" spans="1:52">
      <c r="F54" s="271"/>
      <c r="G54" s="300"/>
      <c r="H54" s="300"/>
      <c r="J54" s="271"/>
      <c r="K54" s="300"/>
      <c r="L54" s="300"/>
      <c r="N54" s="271"/>
      <c r="O54" s="300"/>
      <c r="P54" s="300"/>
      <c r="R54" s="271"/>
      <c r="S54" s="300"/>
      <c r="T54" s="300"/>
      <c r="V54" s="271"/>
      <c r="W54" s="300"/>
      <c r="X54" s="300"/>
      <c r="Z54" s="271"/>
      <c r="AA54" s="300"/>
      <c r="AB54" s="300"/>
      <c r="AC54" s="300"/>
      <c r="AD54" s="271"/>
    </row>
    <row r="55" spans="1:52">
      <c r="F55" s="271"/>
      <c r="G55" s="286"/>
      <c r="H55" s="286"/>
      <c r="J55" s="271"/>
      <c r="K55" s="286"/>
      <c r="N55" s="271"/>
      <c r="R55" s="271"/>
      <c r="V55" s="271"/>
      <c r="Z55" s="271"/>
      <c r="AD55" s="271"/>
    </row>
    <row r="56" spans="1:52">
      <c r="F56" s="271"/>
      <c r="G56" s="286"/>
      <c r="H56" s="286"/>
      <c r="J56" s="271"/>
      <c r="K56" s="286"/>
      <c r="N56" s="271"/>
      <c r="R56" s="271"/>
      <c r="V56" s="271"/>
      <c r="Z56" s="271"/>
      <c r="AD56" s="271"/>
    </row>
  </sheetData>
  <mergeCells count="1">
    <mergeCell ref="A49:B49"/>
  </mergeCells>
  <phoneticPr fontId="18"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T56"/>
  <sheetViews>
    <sheetView workbookViewId="0">
      <selection activeCell="AA7" sqref="AA7"/>
    </sheetView>
  </sheetViews>
  <sheetFormatPr baseColWidth="10" defaultColWidth="11.42578125" defaultRowHeight="12.75"/>
  <cols>
    <col min="1" max="1" width="12.42578125" customWidth="1"/>
    <col min="2" max="2" width="19.7109375" customWidth="1"/>
    <col min="3" max="3" width="8.28515625" customWidth="1"/>
    <col min="4" max="5" width="8" customWidth="1"/>
    <col min="6" max="6" width="7.7109375" customWidth="1"/>
    <col min="7" max="8" width="8.28515625" customWidth="1"/>
    <col min="9" max="9" width="8" customWidth="1"/>
    <col min="10" max="10" width="7.7109375" customWidth="1"/>
    <col min="11" max="12" width="7.28515625" customWidth="1"/>
    <col min="13" max="13" width="8" customWidth="1"/>
    <col min="14" max="14" width="7.7109375" customWidth="1"/>
    <col min="15" max="16" width="8.28515625" customWidth="1"/>
    <col min="17" max="17" width="8" customWidth="1"/>
    <col min="18" max="18" width="7.7109375" customWidth="1"/>
    <col min="19" max="20" width="7.28515625" customWidth="1"/>
    <col min="21" max="21" width="8" customWidth="1"/>
    <col min="22" max="22" width="7.7109375" customWidth="1"/>
    <col min="23" max="24" width="7.28515625" customWidth="1"/>
    <col min="25" max="25" width="8" customWidth="1"/>
    <col min="26" max="26" width="7.7109375" customWidth="1"/>
    <col min="27" max="27" width="8.7109375" customWidth="1"/>
    <col min="28" max="29" width="8.5703125" customWidth="1"/>
    <col min="30" max="30" width="9.28515625" customWidth="1"/>
    <col min="31" max="67" width="7.28515625" style="277" customWidth="1"/>
    <col min="68" max="16384" width="11.42578125" style="277"/>
  </cols>
  <sheetData>
    <row r="1" spans="1:72" ht="12">
      <c r="A1" s="1504" t="s">
        <v>857</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row>
    <row r="2" spans="1:72" ht="12">
      <c r="A2" s="1504" t="s">
        <v>875</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row>
    <row r="3" spans="1:72" ht="12">
      <c r="A3" s="1504" t="s">
        <v>814</v>
      </c>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row>
    <row r="4" spans="1:72" ht="12">
      <c r="A4" s="1504" t="str">
        <f>+'45'!A4:AC4</f>
        <v>2020 - 2023</v>
      </c>
      <c r="B4" s="1504"/>
      <c r="C4" s="1504"/>
      <c r="D4" s="1504"/>
      <c r="E4" s="1504"/>
      <c r="F4" s="1504"/>
      <c r="G4" s="1504"/>
      <c r="H4" s="1504"/>
      <c r="I4" s="1504"/>
      <c r="J4" s="1504"/>
      <c r="K4" s="1504"/>
      <c r="L4" s="1504"/>
      <c r="M4" s="1504"/>
      <c r="N4" s="1504"/>
      <c r="O4" s="1504"/>
      <c r="P4" s="1504"/>
      <c r="Q4" s="1504"/>
      <c r="R4" s="1504"/>
      <c r="S4" s="1504"/>
      <c r="T4" s="1504"/>
      <c r="U4" s="1504"/>
      <c r="V4" s="1504"/>
      <c r="W4" s="1504"/>
      <c r="X4" s="1504"/>
      <c r="Y4" s="1504"/>
      <c r="Z4" s="1504"/>
      <c r="AA4" s="1504"/>
      <c r="AB4" s="1504"/>
      <c r="AC4" s="1504"/>
      <c r="AD4" s="1504"/>
    </row>
    <row r="5" spans="1:72" ht="12">
      <c r="A5" s="277"/>
      <c r="B5" s="277"/>
      <c r="C5" s="277"/>
      <c r="D5" s="277"/>
      <c r="E5" s="277"/>
      <c r="F5" s="277"/>
      <c r="G5" s="277"/>
      <c r="H5" s="277"/>
      <c r="I5" s="277"/>
      <c r="J5" s="277"/>
      <c r="K5" s="277"/>
      <c r="L5" s="277"/>
      <c r="M5" s="277"/>
      <c r="N5" s="277"/>
      <c r="O5" s="277"/>
      <c r="P5" s="277"/>
      <c r="Q5" s="277"/>
      <c r="R5" s="277"/>
      <c r="S5" s="277"/>
      <c r="T5" s="277"/>
      <c r="U5" s="277"/>
      <c r="V5" s="277"/>
      <c r="W5" s="277"/>
      <c r="X5" s="277"/>
      <c r="Y5" s="277"/>
      <c r="Z5" s="277"/>
      <c r="AA5" s="277"/>
      <c r="AB5" s="277"/>
      <c r="AC5" s="277"/>
      <c r="AD5" s="277"/>
    </row>
    <row r="6" spans="1:72" ht="12">
      <c r="A6" s="277"/>
      <c r="B6" s="277"/>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7"/>
    </row>
    <row r="7" spans="1:72" ht="22.5" customHeight="1">
      <c r="A7" s="1266" t="s">
        <v>493</v>
      </c>
      <c r="B7" s="1267" t="s">
        <v>770</v>
      </c>
      <c r="C7" s="1105" t="s">
        <v>859</v>
      </c>
      <c r="D7" s="1259"/>
      <c r="E7" s="1259"/>
      <c r="F7" s="1117"/>
      <c r="G7" s="1105" t="s">
        <v>860</v>
      </c>
      <c r="H7" s="1259"/>
      <c r="I7" s="1259"/>
      <c r="J7" s="1117"/>
      <c r="K7" s="1105" t="s">
        <v>861</v>
      </c>
      <c r="L7" s="1259"/>
      <c r="M7" s="1259"/>
      <c r="N7" s="1117"/>
      <c r="O7" s="1105" t="s">
        <v>862</v>
      </c>
      <c r="P7" s="1259"/>
      <c r="Q7" s="1259"/>
      <c r="R7" s="1117"/>
      <c r="S7" s="1105" t="s">
        <v>863</v>
      </c>
      <c r="T7" s="1259"/>
      <c r="U7" s="1259"/>
      <c r="V7" s="1117"/>
      <c r="W7" s="1105" t="s">
        <v>1272</v>
      </c>
      <c r="X7" s="1259"/>
      <c r="Y7" s="1259"/>
      <c r="Z7" s="1117"/>
      <c r="AA7" s="1105" t="s">
        <v>594</v>
      </c>
      <c r="AB7" s="1259"/>
      <c r="AC7" s="1259"/>
      <c r="AD7" s="1117"/>
    </row>
    <row r="8" spans="1:72" ht="22.5" customHeight="1">
      <c r="A8" s="1269"/>
      <c r="B8" s="1270"/>
      <c r="C8" s="1145">
        <f>+'41'!C8</f>
        <v>2020</v>
      </c>
      <c r="D8" s="1268">
        <f>+'41'!D8</f>
        <v>2021</v>
      </c>
      <c r="E8" s="1268">
        <f>+'41'!E8</f>
        <v>2022</v>
      </c>
      <c r="F8" s="1146">
        <f>+'41'!F8</f>
        <v>2023</v>
      </c>
      <c r="G8" s="1145">
        <f>+'41'!G8</f>
        <v>2020</v>
      </c>
      <c r="H8" s="1268">
        <f>+'41'!H8</f>
        <v>2021</v>
      </c>
      <c r="I8" s="1268">
        <f>+'41'!I8</f>
        <v>2022</v>
      </c>
      <c r="J8" s="1146">
        <f>+'41'!J8</f>
        <v>2023</v>
      </c>
      <c r="K8" s="1145">
        <f>+'41'!K8</f>
        <v>2020</v>
      </c>
      <c r="L8" s="1268">
        <f>+'41'!L8</f>
        <v>2021</v>
      </c>
      <c r="M8" s="1268">
        <f>+'41'!M8</f>
        <v>2022</v>
      </c>
      <c r="N8" s="1146">
        <f>+'41'!N8</f>
        <v>2023</v>
      </c>
      <c r="O8" s="1145">
        <f>+'41'!O8</f>
        <v>2020</v>
      </c>
      <c r="P8" s="1268">
        <f>+'41'!P8</f>
        <v>2021</v>
      </c>
      <c r="Q8" s="1268">
        <f>+'41'!Q8</f>
        <v>2022</v>
      </c>
      <c r="R8" s="1146">
        <f>+'41'!R8</f>
        <v>2023</v>
      </c>
      <c r="S8" s="1145">
        <f>+'41'!S8</f>
        <v>2020</v>
      </c>
      <c r="T8" s="1268">
        <f>+'41'!T8</f>
        <v>2021</v>
      </c>
      <c r="U8" s="1268">
        <f>+'41'!U8</f>
        <v>2022</v>
      </c>
      <c r="V8" s="1146">
        <f>+'41'!V8</f>
        <v>2023</v>
      </c>
      <c r="W8" s="1145">
        <f>+'41'!W8</f>
        <v>2020</v>
      </c>
      <c r="X8" s="1268">
        <f>+'41'!X8</f>
        <v>2021</v>
      </c>
      <c r="Y8" s="1268">
        <f>+'41'!Y8</f>
        <v>2022</v>
      </c>
      <c r="Z8" s="1146">
        <f>+'41'!Z8</f>
        <v>2023</v>
      </c>
      <c r="AA8" s="1145">
        <f>+'41'!AA8</f>
        <v>2020</v>
      </c>
      <c r="AB8" s="1268">
        <f>+'41'!AB8</f>
        <v>2021</v>
      </c>
      <c r="AC8" s="1268">
        <f>+'41'!AC8</f>
        <v>2022</v>
      </c>
      <c r="AD8" s="1146">
        <f>+'41'!AD8</f>
        <v>2023</v>
      </c>
      <c r="AE8" s="300"/>
      <c r="AF8" s="300"/>
      <c r="AG8" s="300"/>
      <c r="AH8" s="300"/>
      <c r="AI8" s="300"/>
      <c r="AJ8" s="300"/>
      <c r="AK8" s="300"/>
      <c r="AL8" s="300"/>
      <c r="AM8" s="300"/>
      <c r="AN8" s="300"/>
      <c r="AO8" s="300"/>
      <c r="AP8" s="300"/>
    </row>
    <row r="9" spans="1:72" s="332" customFormat="1" ht="22.5" customHeight="1">
      <c r="A9" s="322" t="s">
        <v>864</v>
      </c>
      <c r="B9" s="211" t="s">
        <v>1173</v>
      </c>
      <c r="C9" s="255">
        <f>+'45'!C9+'44'!C9+'43'!C9+'42'!C9+'41'!C9</f>
        <v>21189</v>
      </c>
      <c r="D9" s="255">
        <f>+'45'!D9+'44'!D9+'43'!D9+'42'!D9+'41'!D9</f>
        <v>29129</v>
      </c>
      <c r="E9" s="255">
        <f>+'45'!E9+'44'!E9+'43'!E9+'42'!E9+'41'!E9</f>
        <v>28799</v>
      </c>
      <c r="F9" s="340">
        <f>+'45'!F9+'44'!F9+'43'!F9+'42'!F9+'41'!F9</f>
        <v>32381</v>
      </c>
      <c r="G9" s="255">
        <f>+'45'!G9+'44'!G9+'43'!G9+'42'!G9+'41'!G9</f>
        <v>1631</v>
      </c>
      <c r="H9" s="255">
        <f>+'45'!H9+'44'!H9+'43'!H9+'42'!H9+'41'!H9</f>
        <v>4472</v>
      </c>
      <c r="I9" s="255">
        <f>+'45'!I9+'44'!I9+'43'!I9+'42'!I9+'41'!I9</f>
        <v>5343</v>
      </c>
      <c r="J9" s="340">
        <f>+'45'!J9+'44'!J9+'43'!J9+'42'!J9+'41'!J9</f>
        <v>6558</v>
      </c>
      <c r="K9" s="255">
        <f>+'45'!K9+'44'!K9+'43'!K9+'42'!K9+'41'!K9</f>
        <v>3971</v>
      </c>
      <c r="L9" s="255">
        <f>+'45'!L9+'44'!L9+'43'!L9+'42'!L9+'41'!L9</f>
        <v>6237</v>
      </c>
      <c r="M9" s="255">
        <f>+'45'!M9+'44'!M9+'43'!M9+'42'!M9+'41'!M9</f>
        <v>6658</v>
      </c>
      <c r="N9" s="323">
        <f>+'45'!N9+'44'!N9+'43'!N9+'42'!N9+'41'!N9</f>
        <v>7540</v>
      </c>
      <c r="O9" s="255">
        <f>+'45'!O9+'44'!O9+'43'!O9+'42'!O9+'41'!O9</f>
        <v>1277</v>
      </c>
      <c r="P9" s="255">
        <f>+'45'!P9+'44'!P9+'43'!P9+'42'!P9+'41'!P9</f>
        <v>3279</v>
      </c>
      <c r="Q9" s="255">
        <f>+'45'!Q9+'44'!Q9+'43'!Q9+'42'!Q9+'41'!Q9</f>
        <v>4601</v>
      </c>
      <c r="R9" s="323">
        <f>+'45'!R9+'44'!R9+'43'!R9+'42'!R9+'41'!R9</f>
        <v>6711</v>
      </c>
      <c r="S9" s="255">
        <f>+'45'!S9+'44'!S9+'43'!S9+'42'!S9+'41'!S9</f>
        <v>744</v>
      </c>
      <c r="T9" s="255">
        <f>+'45'!T9+'44'!T9+'43'!T9+'42'!T9+'41'!T9</f>
        <v>1064</v>
      </c>
      <c r="U9" s="255">
        <f>+'45'!U9+'44'!U9+'43'!U9+'42'!U9+'41'!U9</f>
        <v>1234</v>
      </c>
      <c r="V9" s="323">
        <f>+'45'!V9+'44'!V9+'43'!V9+'42'!V9+'41'!V9</f>
        <v>1746</v>
      </c>
      <c r="W9" s="255">
        <f>+'45'!W9+'44'!W9+'43'!W9+'42'!W9+'41'!W9</f>
        <v>0</v>
      </c>
      <c r="X9" s="255">
        <f>+'45'!X9+'44'!X9+'43'!X9+'42'!X9+'41'!X9</f>
        <v>7</v>
      </c>
      <c r="Y9" s="255">
        <f>+'45'!Y9+'44'!Y9+'43'!Y9+'42'!Y9+'41'!Y9</f>
        <v>0</v>
      </c>
      <c r="Z9" s="323">
        <f>+'45'!Z9+'44'!Z9+'43'!Z9+'42'!Z9+'41'!Z9</f>
        <v>19</v>
      </c>
      <c r="AA9" s="254">
        <f t="shared" ref="AA9:AD13" si="0">+W9+S9+O9+K9+G9+C9</f>
        <v>28812</v>
      </c>
      <c r="AB9" s="255">
        <f t="shared" si="0"/>
        <v>44188</v>
      </c>
      <c r="AC9" s="255">
        <f t="shared" si="0"/>
        <v>46635</v>
      </c>
      <c r="AD9" s="323">
        <f t="shared" si="0"/>
        <v>54955</v>
      </c>
      <c r="AE9" s="255"/>
      <c r="AF9" s="255"/>
      <c r="AG9" s="255"/>
      <c r="AH9" s="255"/>
      <c r="AI9" s="255"/>
      <c r="AJ9" s="255"/>
      <c r="AK9" s="255"/>
      <c r="AL9" s="255"/>
      <c r="AM9" s="255"/>
      <c r="AN9" s="255"/>
      <c r="AO9" s="255"/>
      <c r="AP9" s="255"/>
      <c r="AQ9" s="335"/>
      <c r="AR9" s="335"/>
      <c r="AS9" s="335"/>
      <c r="AT9" s="335"/>
      <c r="AU9" s="335"/>
      <c r="AV9" s="335"/>
      <c r="AW9" s="335"/>
      <c r="AX9" s="335"/>
      <c r="AY9" s="335"/>
      <c r="AZ9" s="335"/>
      <c r="BA9" s="335"/>
      <c r="BB9" s="335"/>
      <c r="BC9" s="335"/>
      <c r="BD9" s="335"/>
      <c r="BE9" s="335"/>
      <c r="BF9" s="335"/>
      <c r="BG9" s="335"/>
      <c r="BH9" s="335"/>
      <c r="BI9" s="335"/>
      <c r="BJ9" s="335"/>
      <c r="BK9" s="335"/>
      <c r="BL9" s="335"/>
      <c r="BM9" s="335"/>
      <c r="BN9" s="335"/>
      <c r="BO9" s="335"/>
      <c r="BP9" s="335"/>
      <c r="BQ9" s="335"/>
      <c r="BR9" s="335"/>
      <c r="BS9" s="335"/>
      <c r="BT9" s="335"/>
    </row>
    <row r="10" spans="1:72" s="332" customFormat="1" ht="22.5" customHeight="1">
      <c r="A10" s="322"/>
      <c r="B10" s="211" t="s">
        <v>1174</v>
      </c>
      <c r="C10" s="255">
        <f>+'45'!C10+'44'!C10+'43'!C10+'42'!C10+'41'!C10</f>
        <v>15653</v>
      </c>
      <c r="D10" s="255">
        <f>+'45'!D10+'44'!D10+'43'!D10+'42'!D10+'41'!D10</f>
        <v>11388</v>
      </c>
      <c r="E10" s="255">
        <f>+'45'!E10+'44'!E10+'43'!E10+'42'!E10+'41'!E10</f>
        <v>20524</v>
      </c>
      <c r="F10" s="340">
        <f>+'45'!F10+'44'!F10+'43'!F10+'42'!F10+'41'!F10</f>
        <v>22225</v>
      </c>
      <c r="G10" s="255">
        <f>+'45'!G10+'44'!G10+'43'!G10+'42'!G10+'41'!G10</f>
        <v>1985</v>
      </c>
      <c r="H10" s="255">
        <f>+'45'!H10+'44'!H10+'43'!H10+'42'!H10+'41'!H10</f>
        <v>2335</v>
      </c>
      <c r="I10" s="255">
        <f>+'45'!I10+'44'!I10+'43'!I10+'42'!I10+'41'!I10</f>
        <v>3116</v>
      </c>
      <c r="J10" s="340">
        <f>+'45'!J10+'44'!J10+'43'!J10+'42'!J10+'41'!J10</f>
        <v>4212</v>
      </c>
      <c r="K10" s="255">
        <f>+'45'!K10+'44'!K10+'43'!K10+'42'!K10+'41'!K10</f>
        <v>6054</v>
      </c>
      <c r="L10" s="255">
        <f>+'45'!L10+'44'!L10+'43'!L10+'42'!L10+'41'!L10</f>
        <v>7350</v>
      </c>
      <c r="M10" s="255">
        <f>+'45'!M10+'44'!M10+'43'!M10+'42'!M10+'41'!M10</f>
        <v>8481</v>
      </c>
      <c r="N10" s="323">
        <f>+'45'!N10+'44'!N10+'43'!N10+'42'!N10+'41'!N10</f>
        <v>8494</v>
      </c>
      <c r="O10" s="255">
        <f>+'45'!O10+'44'!O10+'43'!O10+'42'!O10+'41'!O10</f>
        <v>1581</v>
      </c>
      <c r="P10" s="352">
        <f>+'45'!P10+'44'!P10+'43'!P10+'42'!P10+'41'!P10</f>
        <v>1894</v>
      </c>
      <c r="Q10" s="255">
        <f>+'45'!Q10+'44'!Q10+'43'!Q10+'42'!Q10+'41'!Q10</f>
        <v>3522</v>
      </c>
      <c r="R10" s="323">
        <f>+'45'!R10+'44'!R10+'43'!R10+'42'!R10+'41'!R10</f>
        <v>4636</v>
      </c>
      <c r="S10" s="255">
        <f>+'45'!S10+'44'!S10+'43'!S10+'42'!S10+'41'!S10</f>
        <v>684</v>
      </c>
      <c r="T10" s="255">
        <f>+'45'!T10+'44'!T10+'43'!T10+'42'!T10+'41'!T10</f>
        <v>1201</v>
      </c>
      <c r="U10" s="255">
        <f>+'45'!U10+'44'!U10+'43'!U10+'42'!U10+'41'!U10</f>
        <v>1800</v>
      </c>
      <c r="V10" s="323">
        <f>+'45'!V10+'44'!V10+'43'!V10+'42'!V10+'41'!V10</f>
        <v>781</v>
      </c>
      <c r="W10" s="255">
        <f>+'45'!W10+'44'!W10+'43'!W10+'42'!W10+'41'!W10</f>
        <v>155</v>
      </c>
      <c r="X10" s="255">
        <f>+'45'!X10+'44'!X10+'43'!X10+'42'!X10+'41'!X10</f>
        <v>3</v>
      </c>
      <c r="Y10" s="255">
        <f>+'45'!Y10+'44'!Y10+'43'!Y10+'42'!Y10+'41'!Y10</f>
        <v>43</v>
      </c>
      <c r="Z10" s="323">
        <f>+'45'!Z10+'44'!Z10+'43'!Z10+'42'!Z10+'41'!Z10</f>
        <v>0</v>
      </c>
      <c r="AA10" s="254">
        <f t="shared" si="0"/>
        <v>26112</v>
      </c>
      <c r="AB10" s="255">
        <f t="shared" si="0"/>
        <v>24171</v>
      </c>
      <c r="AC10" s="255">
        <f t="shared" si="0"/>
        <v>37486</v>
      </c>
      <c r="AD10" s="323">
        <f t="shared" si="0"/>
        <v>40348</v>
      </c>
      <c r="AE10" s="255"/>
      <c r="AF10" s="255"/>
      <c r="AG10" s="255"/>
      <c r="AH10" s="255"/>
      <c r="AI10" s="255"/>
      <c r="AJ10" s="255"/>
      <c r="AK10" s="255"/>
      <c r="AL10" s="255"/>
      <c r="AM10" s="255"/>
      <c r="AN10" s="255"/>
      <c r="AO10" s="255"/>
      <c r="AP10" s="255"/>
      <c r="AQ10" s="335"/>
      <c r="AR10" s="335"/>
      <c r="AS10" s="335"/>
      <c r="AT10" s="335"/>
      <c r="AU10" s="335"/>
      <c r="AV10" s="335"/>
      <c r="AW10" s="335"/>
      <c r="AX10" s="335"/>
      <c r="AY10" s="335"/>
      <c r="AZ10" s="335"/>
      <c r="BA10" s="335"/>
      <c r="BB10" s="335"/>
      <c r="BC10" s="335"/>
      <c r="BD10" s="335"/>
      <c r="BE10" s="335"/>
      <c r="BF10" s="335"/>
      <c r="BG10" s="335"/>
      <c r="BH10" s="335"/>
      <c r="BI10" s="335"/>
      <c r="BJ10" s="335"/>
      <c r="BK10" s="335"/>
      <c r="BL10" s="335"/>
      <c r="BM10" s="335"/>
      <c r="BN10" s="335"/>
      <c r="BO10" s="335"/>
      <c r="BP10" s="335"/>
      <c r="BQ10" s="335"/>
      <c r="BR10" s="335"/>
      <c r="BS10" s="335"/>
      <c r="BT10" s="335"/>
    </row>
    <row r="11" spans="1:72" s="332" customFormat="1" ht="22.5" customHeight="1">
      <c r="A11" s="322"/>
      <c r="B11" s="243" t="s">
        <v>739</v>
      </c>
      <c r="C11" s="255">
        <f>+'45'!C11+'44'!C11+'43'!C11+'42'!C11+'41'!C11</f>
        <v>3025</v>
      </c>
      <c r="D11" s="255">
        <f>+'45'!D11+'44'!D11+'43'!D11+'42'!D11+'41'!D11</f>
        <v>3126</v>
      </c>
      <c r="E11" s="255">
        <f>+'45'!E11+'44'!E11+'43'!E11+'42'!E11+'41'!E11</f>
        <v>3384</v>
      </c>
      <c r="F11" s="340">
        <f>+'45'!F11+'44'!F11+'43'!F11+'42'!F11+'41'!F11</f>
        <v>4073</v>
      </c>
      <c r="G11" s="255">
        <f>+'45'!G11+'44'!G11+'43'!G11+'42'!G11+'41'!G11</f>
        <v>303</v>
      </c>
      <c r="H11" s="255">
        <f>+'45'!H11+'44'!H11+'43'!H11+'42'!H11+'41'!H11</f>
        <v>820</v>
      </c>
      <c r="I11" s="255">
        <f>+'45'!I11+'44'!I11+'43'!I11+'42'!I11+'41'!I11</f>
        <v>961</v>
      </c>
      <c r="J11" s="340">
        <f>+'45'!J11+'44'!J11+'43'!J11+'42'!J11+'41'!J11</f>
        <v>1036</v>
      </c>
      <c r="K11" s="255">
        <f>+'45'!K11+'44'!K11+'43'!K11+'42'!K11+'41'!K11</f>
        <v>664</v>
      </c>
      <c r="L11" s="255">
        <f>+'45'!L11+'44'!L11+'43'!L11+'42'!L11+'41'!L11</f>
        <v>357</v>
      </c>
      <c r="M11" s="255">
        <f>+'45'!M11+'44'!M11+'43'!M11+'42'!M11+'41'!M11</f>
        <v>919</v>
      </c>
      <c r="N11" s="323">
        <f>+'45'!N11+'44'!N11+'43'!N11+'42'!N11+'41'!N11</f>
        <v>1163</v>
      </c>
      <c r="O11" s="255">
        <f>+'45'!O11+'44'!O11+'43'!O11+'42'!O11+'41'!O11</f>
        <v>203</v>
      </c>
      <c r="P11" s="255">
        <f>+'45'!P11+'44'!P11+'43'!P11+'42'!P11+'41'!P11</f>
        <v>417</v>
      </c>
      <c r="Q11" s="255">
        <f>+'45'!Q11+'44'!Q11+'43'!Q11+'42'!Q11+'41'!Q11</f>
        <v>710</v>
      </c>
      <c r="R11" s="323">
        <f>+'45'!R11+'44'!R11+'43'!R11+'42'!R11+'41'!R11</f>
        <v>919</v>
      </c>
      <c r="S11" s="255">
        <f>+'45'!S11+'44'!S11+'43'!S11+'42'!S11+'41'!S11</f>
        <v>813</v>
      </c>
      <c r="T11" s="255">
        <f>+'45'!T11+'44'!T11+'43'!T11+'42'!T11+'41'!T11</f>
        <v>507</v>
      </c>
      <c r="U11" s="255">
        <f>+'45'!U11+'44'!U11+'43'!U11+'42'!U11+'41'!U11</f>
        <v>376</v>
      </c>
      <c r="V11" s="323">
        <f>+'45'!V11+'44'!V11+'43'!V11+'42'!V11+'41'!V11</f>
        <v>325</v>
      </c>
      <c r="W11" s="255">
        <f>+'45'!W11+'44'!W11+'43'!W11+'42'!W11+'41'!W11</f>
        <v>0</v>
      </c>
      <c r="X11" s="255">
        <f>+'45'!X11+'44'!X11+'43'!X11+'42'!X11+'41'!X11</f>
        <v>0</v>
      </c>
      <c r="Y11" s="255">
        <f>+'45'!Y11+'44'!Y11+'43'!Y11+'42'!Y11+'41'!Y11</f>
        <v>0</v>
      </c>
      <c r="Z11" s="323">
        <f>+'45'!Z11+'44'!Z11+'43'!Z11+'42'!Z11+'41'!Z11</f>
        <v>0</v>
      </c>
      <c r="AA11" s="254">
        <f t="shared" si="0"/>
        <v>5008</v>
      </c>
      <c r="AB11" s="255">
        <f t="shared" si="0"/>
        <v>5227</v>
      </c>
      <c r="AC11" s="255">
        <f t="shared" si="0"/>
        <v>6350</v>
      </c>
      <c r="AD11" s="323">
        <f t="shared" si="0"/>
        <v>7516</v>
      </c>
      <c r="AE11" s="255"/>
      <c r="AF11" s="255"/>
      <c r="AG11" s="255"/>
      <c r="AH11" s="255"/>
      <c r="AI11" s="255"/>
      <c r="AJ11" s="255"/>
      <c r="AK11" s="255"/>
      <c r="AL11" s="255"/>
      <c r="AM11" s="255"/>
      <c r="AN11" s="255"/>
      <c r="AO11" s="255"/>
      <c r="AP11" s="255"/>
      <c r="AQ11" s="335"/>
      <c r="AR11" s="335"/>
      <c r="AS11" s="335"/>
      <c r="AT11" s="335"/>
      <c r="AU11" s="335"/>
      <c r="AV11" s="335"/>
      <c r="AW11" s="335"/>
      <c r="AX11" s="335"/>
      <c r="AY11" s="335"/>
      <c r="AZ11" s="335"/>
      <c r="BA11" s="335"/>
      <c r="BB11" s="335"/>
      <c r="BC11" s="335"/>
      <c r="BD11" s="335"/>
      <c r="BE11" s="335"/>
      <c r="BF11" s="335"/>
      <c r="BG11" s="335"/>
      <c r="BH11" s="335"/>
      <c r="BI11" s="335"/>
      <c r="BJ11" s="335"/>
      <c r="BK11" s="335"/>
      <c r="BL11" s="335"/>
      <c r="BM11" s="335"/>
      <c r="BN11" s="335"/>
      <c r="BO11" s="335"/>
      <c r="BP11" s="335"/>
      <c r="BQ11" s="335"/>
      <c r="BR11" s="335"/>
      <c r="BS11" s="335"/>
      <c r="BT11" s="335"/>
    </row>
    <row r="12" spans="1:72" s="332" customFormat="1" ht="22.5" customHeight="1">
      <c r="A12" s="322"/>
      <c r="B12" s="211" t="s">
        <v>1410</v>
      </c>
      <c r="C12" s="255">
        <f>+'45'!C12+'44'!C12+'43'!C12+'42'!C12+'41'!C12</f>
        <v>0</v>
      </c>
      <c r="D12" s="255">
        <f>+'45'!D12+'44'!D12+'43'!D12+'42'!D12+'41'!D12</f>
        <v>0</v>
      </c>
      <c r="E12" s="255">
        <f>+'45'!E12+'44'!E12+'43'!E12+'42'!E12+'41'!E12</f>
        <v>0</v>
      </c>
      <c r="F12" s="340">
        <f>+'45'!F12+'44'!F12+'43'!F12+'42'!F12+'41'!F12</f>
        <v>0</v>
      </c>
      <c r="G12" s="255">
        <f>+'45'!G12+'44'!G12+'43'!G12+'42'!G12+'41'!G12</f>
        <v>1335</v>
      </c>
      <c r="H12" s="255">
        <f>+'45'!H12+'44'!H12+'43'!H12+'42'!H12+'41'!H12</f>
        <v>2078</v>
      </c>
      <c r="I12" s="255">
        <f>+'45'!I12+'44'!I12+'43'!I12+'42'!I12+'41'!I12</f>
        <v>2699</v>
      </c>
      <c r="J12" s="340">
        <f>+'45'!J12+'44'!J12+'43'!J12+'42'!J12+'41'!J12</f>
        <v>2761</v>
      </c>
      <c r="K12" s="255">
        <f>+'45'!K12+'44'!K12+'43'!K12+'42'!K12+'41'!K12</f>
        <v>0</v>
      </c>
      <c r="L12" s="255">
        <f>+'45'!L12+'44'!L12+'43'!L12+'42'!L12+'41'!L12</f>
        <v>0</v>
      </c>
      <c r="M12" s="255">
        <f>+'45'!M12+'44'!M12+'43'!M12+'42'!M12+'41'!M12</f>
        <v>0</v>
      </c>
      <c r="N12" s="323">
        <f>+'45'!N12+'44'!N12+'43'!N12+'42'!N12+'41'!N12</f>
        <v>0</v>
      </c>
      <c r="O12" s="255">
        <f>+'45'!O12+'44'!O12+'43'!O12+'42'!O12+'41'!O12</f>
        <v>0</v>
      </c>
      <c r="P12" s="255">
        <f>+'45'!P12+'44'!P12+'43'!P12+'42'!P12+'41'!P12</f>
        <v>0</v>
      </c>
      <c r="Q12" s="255">
        <f>+'45'!Q12+'44'!Q12+'43'!Q12+'42'!Q12+'41'!Q12</f>
        <v>0</v>
      </c>
      <c r="R12" s="323">
        <f>+'45'!R12+'44'!R12+'43'!R12+'42'!R12+'41'!R12</f>
        <v>0</v>
      </c>
      <c r="S12" s="255">
        <f>+'45'!S12+'44'!S12+'43'!S12+'42'!S12+'41'!S12</f>
        <v>583</v>
      </c>
      <c r="T12" s="255">
        <f>+'45'!T12+'44'!T12+'43'!T12+'42'!T12+'41'!T12</f>
        <v>1375</v>
      </c>
      <c r="U12" s="255">
        <f>+'45'!U12+'44'!U12+'43'!U12+'42'!U12+'41'!U12</f>
        <v>1838</v>
      </c>
      <c r="V12" s="323">
        <f>+'45'!V12+'44'!V12+'43'!V12+'42'!V12+'41'!V12</f>
        <v>2117</v>
      </c>
      <c r="W12" s="255">
        <f>+'45'!W12+'44'!W12+'43'!W12+'42'!W12+'41'!W12</f>
        <v>2485</v>
      </c>
      <c r="X12" s="255">
        <f>+'45'!X12+'44'!X12+'43'!X12+'42'!X12+'41'!X12</f>
        <v>2531</v>
      </c>
      <c r="Y12" s="255">
        <f>+'45'!Y12+'44'!Y12+'43'!Y12+'42'!Y12+'41'!Y12</f>
        <v>1184</v>
      </c>
      <c r="Z12" s="323">
        <f>+'45'!Z12+'44'!Z12+'43'!Z12+'42'!Z12+'41'!Z12</f>
        <v>0</v>
      </c>
      <c r="AA12" s="254">
        <f t="shared" si="0"/>
        <v>4403</v>
      </c>
      <c r="AB12" s="255">
        <f t="shared" si="0"/>
        <v>5984</v>
      </c>
      <c r="AC12" s="255">
        <f t="shared" si="0"/>
        <v>5721</v>
      </c>
      <c r="AD12" s="323">
        <f t="shared" si="0"/>
        <v>4878</v>
      </c>
      <c r="AE12" s="255"/>
      <c r="AF12" s="255"/>
      <c r="AG12" s="255"/>
      <c r="AH12" s="255"/>
      <c r="AI12" s="255"/>
      <c r="AJ12" s="255"/>
      <c r="AK12" s="255"/>
      <c r="AL12" s="255"/>
      <c r="AM12" s="255"/>
      <c r="AN12" s="255"/>
      <c r="AO12" s="255"/>
      <c r="AP12" s="255"/>
      <c r="AQ12" s="335"/>
      <c r="AR12" s="335"/>
      <c r="AS12" s="335"/>
      <c r="AT12" s="335"/>
      <c r="AU12" s="335"/>
      <c r="AV12" s="335"/>
      <c r="AW12" s="335"/>
      <c r="AX12" s="335"/>
      <c r="AY12" s="335"/>
      <c r="AZ12" s="335"/>
      <c r="BA12" s="335"/>
      <c r="BB12" s="335"/>
      <c r="BC12" s="335"/>
      <c r="BD12" s="335"/>
      <c r="BE12" s="335"/>
      <c r="BF12" s="335"/>
      <c r="BG12" s="335"/>
      <c r="BH12" s="335"/>
      <c r="BI12" s="335"/>
      <c r="BJ12" s="335"/>
      <c r="BK12" s="335"/>
      <c r="BL12" s="335"/>
      <c r="BM12" s="335"/>
      <c r="BN12" s="335"/>
      <c r="BO12" s="335"/>
      <c r="BP12" s="335"/>
      <c r="BQ12" s="335"/>
      <c r="BR12" s="335"/>
      <c r="BS12" s="335"/>
      <c r="BT12" s="335"/>
    </row>
    <row r="13" spans="1:72" s="332" customFormat="1" ht="22.5" customHeight="1">
      <c r="A13" s="322"/>
      <c r="B13" s="211" t="s">
        <v>1056</v>
      </c>
      <c r="C13" s="352">
        <f>+'45'!C13+'44'!C13+'43'!C13+'42'!C13+'41'!C13</f>
        <v>906</v>
      </c>
      <c r="D13" s="352">
        <f>+'45'!D13+'44'!D13+'43'!D13+'42'!D13+'41'!D13</f>
        <v>991</v>
      </c>
      <c r="E13" s="352">
        <f>+'45'!E13+'44'!E13+'43'!E13+'42'!E13+'41'!E13</f>
        <v>1251</v>
      </c>
      <c r="F13" s="340">
        <f>+'45'!F13+'44'!F13+'43'!F13+'42'!F13+'41'!F13</f>
        <v>1359</v>
      </c>
      <c r="G13" s="255">
        <f>+'45'!G13+'44'!G13+'43'!G13+'42'!G13+'41'!G13</f>
        <v>79</v>
      </c>
      <c r="H13" s="255">
        <f>+'45'!H13+'44'!H13+'43'!H13+'42'!H13+'41'!H13</f>
        <v>144</v>
      </c>
      <c r="I13" s="352">
        <f>+'45'!I13+'44'!I13+'43'!I13+'42'!I13+'41'!I13</f>
        <v>188</v>
      </c>
      <c r="J13" s="340">
        <f>+'45'!J13+'44'!J13+'43'!J13+'42'!J13+'41'!J13</f>
        <v>231</v>
      </c>
      <c r="K13" s="255">
        <f>+'45'!K13+'44'!K13+'43'!K13+'42'!K13+'41'!K13</f>
        <v>107</v>
      </c>
      <c r="L13" s="255">
        <f>+'45'!L13+'44'!L13+'43'!L13+'42'!L13+'41'!L13</f>
        <v>174</v>
      </c>
      <c r="M13" s="352">
        <f>+'45'!M13+'44'!M13+'43'!M13+'42'!M13+'41'!M13</f>
        <v>240</v>
      </c>
      <c r="N13" s="340">
        <f>+'45'!N13+'44'!N13+'43'!N13+'42'!N13+'41'!N13</f>
        <v>224</v>
      </c>
      <c r="O13" s="255">
        <f>+'45'!O13+'44'!O13+'43'!O13+'42'!O13+'41'!O13</f>
        <v>98</v>
      </c>
      <c r="P13" s="255">
        <f>+'45'!P13+'44'!P13+'43'!P13+'42'!P13+'41'!P13</f>
        <v>253</v>
      </c>
      <c r="Q13" s="352">
        <f>+'45'!Q13+'44'!Q13+'43'!Q13+'42'!Q13+'41'!Q13</f>
        <v>309</v>
      </c>
      <c r="R13" s="340">
        <f>+'45'!R13+'44'!R13+'43'!R13+'42'!R13+'41'!R13</f>
        <v>363</v>
      </c>
      <c r="S13" s="255">
        <f>+'45'!S13+'44'!S13+'43'!S13+'42'!S13+'41'!S13</f>
        <v>54</v>
      </c>
      <c r="T13" s="255">
        <f>+'45'!T13+'44'!T13+'43'!T13+'42'!T13+'41'!T13</f>
        <v>54</v>
      </c>
      <c r="U13" s="352">
        <f>+'45'!U13+'44'!U13+'43'!U13+'42'!U13+'41'!U13</f>
        <v>25</v>
      </c>
      <c r="V13" s="340">
        <f>+'45'!V13+'44'!V13+'43'!V13+'42'!V13+'41'!V13</f>
        <v>39</v>
      </c>
      <c r="W13" s="255">
        <f>+'45'!W13+'44'!W13+'43'!W13+'42'!W13+'41'!W13</f>
        <v>0</v>
      </c>
      <c r="X13" s="255">
        <f>+'45'!X13+'44'!X13+'43'!X13+'42'!X13+'41'!X13</f>
        <v>0</v>
      </c>
      <c r="Y13" s="352">
        <f>+'45'!Y13+'44'!Y13+'43'!Y13+'42'!Y13+'41'!Y13</f>
        <v>0</v>
      </c>
      <c r="Z13" s="340">
        <f>+'45'!Z13+'44'!Z13+'43'!Z13+'42'!Z13+'41'!Z13</f>
        <v>0</v>
      </c>
      <c r="AA13" s="254">
        <f t="shared" si="0"/>
        <v>1244</v>
      </c>
      <c r="AB13" s="255">
        <f t="shared" si="0"/>
        <v>1616</v>
      </c>
      <c r="AC13" s="255">
        <f t="shared" si="0"/>
        <v>2013</v>
      </c>
      <c r="AD13" s="323">
        <f t="shared" si="0"/>
        <v>2216</v>
      </c>
      <c r="AE13" s="255"/>
      <c r="AF13" s="255"/>
      <c r="AG13" s="255"/>
      <c r="AH13" s="255"/>
      <c r="AI13" s="255"/>
      <c r="AJ13" s="255"/>
      <c r="AK13" s="255"/>
      <c r="AL13" s="255"/>
      <c r="AM13" s="255"/>
      <c r="AN13" s="255"/>
      <c r="AO13" s="255"/>
      <c r="AP13" s="255"/>
      <c r="AQ13" s="335"/>
      <c r="AR13" s="335"/>
      <c r="AS13" s="335"/>
      <c r="AT13" s="335"/>
      <c r="AU13" s="335"/>
      <c r="AV13" s="335"/>
      <c r="AW13" s="335"/>
      <c r="AX13" s="335"/>
      <c r="AY13" s="335"/>
      <c r="AZ13" s="335"/>
      <c r="BA13" s="335"/>
      <c r="BB13" s="335"/>
      <c r="BC13" s="335"/>
      <c r="BD13" s="335"/>
      <c r="BE13" s="335"/>
      <c r="BF13" s="335"/>
      <c r="BG13" s="335"/>
      <c r="BH13" s="335"/>
      <c r="BI13" s="335"/>
      <c r="BJ13" s="335"/>
      <c r="BK13" s="335"/>
      <c r="BL13" s="335"/>
      <c r="BM13" s="335"/>
      <c r="BN13" s="335"/>
      <c r="BO13" s="335"/>
      <c r="BP13" s="335"/>
      <c r="BQ13" s="335"/>
      <c r="BR13" s="335"/>
      <c r="BS13" s="335"/>
      <c r="BT13" s="335"/>
    </row>
    <row r="14" spans="1:72" s="332" customFormat="1" ht="22.5" customHeight="1">
      <c r="A14" s="322">
        <v>10331</v>
      </c>
      <c r="B14" s="1271" t="s">
        <v>582</v>
      </c>
      <c r="C14" s="1272">
        <f t="shared" ref="C14:M14" si="1">SUM(C9:C13)</f>
        <v>40773</v>
      </c>
      <c r="D14" s="1272">
        <f t="shared" si="1"/>
        <v>44634</v>
      </c>
      <c r="E14" s="1272">
        <f>SUM(E9:E13)</f>
        <v>53958</v>
      </c>
      <c r="F14" s="1273">
        <f>SUM(F9:F13)</f>
        <v>60038</v>
      </c>
      <c r="G14" s="1272">
        <f t="shared" si="1"/>
        <v>5333</v>
      </c>
      <c r="H14" s="1272">
        <f t="shared" si="1"/>
        <v>9849</v>
      </c>
      <c r="I14" s="1272">
        <f>SUM(I9:I13)</f>
        <v>12307</v>
      </c>
      <c r="J14" s="1273">
        <f>SUM(J9:J13)</f>
        <v>14798</v>
      </c>
      <c r="K14" s="1272">
        <f t="shared" si="1"/>
        <v>10796</v>
      </c>
      <c r="L14" s="1272">
        <f t="shared" si="1"/>
        <v>14118</v>
      </c>
      <c r="M14" s="1272">
        <f t="shared" si="1"/>
        <v>16298</v>
      </c>
      <c r="N14" s="1274">
        <f t="shared" ref="N14" si="2">SUM(N9:N13)</f>
        <v>17421</v>
      </c>
      <c r="O14" s="1272">
        <f t="shared" ref="O14:Y14" si="3">SUM(O9:O13)</f>
        <v>3159</v>
      </c>
      <c r="P14" s="1272">
        <f t="shared" si="3"/>
        <v>5843</v>
      </c>
      <c r="Q14" s="1272">
        <f t="shared" si="3"/>
        <v>9142</v>
      </c>
      <c r="R14" s="1274">
        <f t="shared" ref="R14" si="4">SUM(R9:R13)</f>
        <v>12629</v>
      </c>
      <c r="S14" s="1272">
        <f t="shared" si="3"/>
        <v>2878</v>
      </c>
      <c r="T14" s="1272">
        <f t="shared" si="3"/>
        <v>4201</v>
      </c>
      <c r="U14" s="1272">
        <f t="shared" si="3"/>
        <v>5273</v>
      </c>
      <c r="V14" s="1274">
        <f t="shared" ref="V14" si="5">SUM(V9:V13)</f>
        <v>5008</v>
      </c>
      <c r="W14" s="1272">
        <f t="shared" si="3"/>
        <v>2640</v>
      </c>
      <c r="X14" s="1272">
        <f t="shared" si="3"/>
        <v>2541</v>
      </c>
      <c r="Y14" s="1272">
        <f t="shared" si="3"/>
        <v>1227</v>
      </c>
      <c r="Z14" s="1274">
        <f t="shared" ref="Z14" si="6">SUM(Z9:Z13)</f>
        <v>19</v>
      </c>
      <c r="AA14" s="1275">
        <f>SUM(AA9:AA13)</f>
        <v>65579</v>
      </c>
      <c r="AB14" s="1272">
        <f>SUM(AB9:AB13)</f>
        <v>81186</v>
      </c>
      <c r="AC14" s="1272">
        <f>SUM(AC9:AC13)</f>
        <v>98205</v>
      </c>
      <c r="AD14" s="1274">
        <f>SUM(AD9:AD13)</f>
        <v>109913</v>
      </c>
      <c r="AE14" s="255"/>
      <c r="AF14" s="255"/>
      <c r="AG14" s="255"/>
      <c r="AH14" s="255"/>
      <c r="AI14" s="255"/>
      <c r="AJ14" s="255"/>
      <c r="AK14" s="255"/>
      <c r="AL14" s="255"/>
      <c r="AM14" s="255"/>
      <c r="AN14" s="255"/>
      <c r="AO14" s="255"/>
      <c r="AP14" s="255"/>
      <c r="AQ14" s="335"/>
      <c r="AR14" s="335"/>
      <c r="AS14" s="335"/>
      <c r="AT14" s="335"/>
      <c r="AU14" s="335"/>
      <c r="AV14" s="335"/>
      <c r="AW14" s="335"/>
      <c r="AX14" s="335"/>
      <c r="AY14" s="335"/>
      <c r="AZ14" s="335"/>
      <c r="BA14" s="335"/>
      <c r="BB14" s="335"/>
      <c r="BC14" s="335"/>
      <c r="BD14" s="335"/>
      <c r="BE14" s="335"/>
      <c r="BF14" s="335"/>
      <c r="BG14" s="335"/>
      <c r="BH14" s="335"/>
      <c r="BI14" s="335"/>
      <c r="BJ14" s="335"/>
      <c r="BK14" s="335"/>
      <c r="BL14" s="335"/>
      <c r="BM14" s="335"/>
      <c r="BN14" s="335"/>
      <c r="BO14" s="335"/>
      <c r="BP14" s="335"/>
      <c r="BQ14" s="335"/>
      <c r="BR14" s="335"/>
      <c r="BS14" s="335"/>
      <c r="BT14" s="335"/>
    </row>
    <row r="15" spans="1:72" s="332" customFormat="1" ht="22.5" customHeight="1">
      <c r="A15" s="322" t="s">
        <v>479</v>
      </c>
      <c r="B15" s="211" t="s">
        <v>740</v>
      </c>
      <c r="C15" s="255">
        <f>+'45'!C15+'44'!C15+'43'!C15+'42'!C15+'41'!C15</f>
        <v>16787</v>
      </c>
      <c r="D15" s="255">
        <f>+'45'!D15+'44'!D15+'43'!D15+'42'!D15+'41'!D15</f>
        <v>20226</v>
      </c>
      <c r="E15" s="255">
        <f>+'45'!E15+'44'!E15+'43'!E15+'42'!E15+'41'!E15</f>
        <v>20162</v>
      </c>
      <c r="F15" s="340">
        <f>+'45'!F15+'44'!F15+'43'!F15+'42'!F15+'41'!F15</f>
        <v>18235</v>
      </c>
      <c r="G15" s="255">
        <f>+'45'!G15+'44'!G15+'43'!G15+'42'!G15+'41'!G15</f>
        <v>1273</v>
      </c>
      <c r="H15" s="255">
        <f>+'45'!H15+'44'!H15+'43'!H15+'42'!H15+'41'!H15</f>
        <v>997</v>
      </c>
      <c r="I15" s="255">
        <f>+'45'!I15+'44'!I15+'43'!I15+'42'!I15+'41'!I15</f>
        <v>3116</v>
      </c>
      <c r="J15" s="340">
        <f>+'45'!J15+'44'!J15+'43'!J15+'42'!J15+'41'!J15</f>
        <v>3157</v>
      </c>
      <c r="K15" s="255">
        <f>+'45'!K15+'44'!K15+'43'!K15+'42'!K15+'41'!K15</f>
        <v>2836</v>
      </c>
      <c r="L15" s="255">
        <f>+'45'!L15+'44'!L15+'43'!L15+'42'!L15+'41'!L15</f>
        <v>3384</v>
      </c>
      <c r="M15" s="255">
        <f>+'45'!M15+'44'!M15+'43'!M15+'42'!M15+'41'!M15</f>
        <v>4974</v>
      </c>
      <c r="N15" s="323">
        <f>+'45'!N15+'44'!N15+'43'!N15+'42'!N15+'41'!N15</f>
        <v>5221</v>
      </c>
      <c r="O15" s="255">
        <f>+'45'!O15+'44'!O15+'43'!O15+'42'!O15+'41'!O15</f>
        <v>464</v>
      </c>
      <c r="P15" s="255">
        <f>+'45'!P15+'44'!P15+'43'!P15+'42'!P15+'41'!P15</f>
        <v>1440</v>
      </c>
      <c r="Q15" s="255">
        <f>+'45'!Q15+'44'!Q15+'43'!Q15+'42'!Q15+'41'!Q15</f>
        <v>2385</v>
      </c>
      <c r="R15" s="323">
        <f>+'45'!R15+'44'!R15+'43'!R15+'42'!R15+'41'!R15</f>
        <v>2152</v>
      </c>
      <c r="S15" s="255">
        <f>+'45'!S15+'44'!S15+'43'!S15+'42'!S15+'41'!S15</f>
        <v>2300</v>
      </c>
      <c r="T15" s="255">
        <f>+'45'!T15+'44'!T15+'43'!T15+'42'!T15+'41'!T15</f>
        <v>1802</v>
      </c>
      <c r="U15" s="255">
        <f>+'45'!U15+'44'!U15+'43'!U15+'42'!U15+'41'!U15</f>
        <v>961</v>
      </c>
      <c r="V15" s="323">
        <f>+'45'!V15+'44'!V15+'43'!V15+'42'!V15+'41'!V15</f>
        <v>1981</v>
      </c>
      <c r="W15" s="255">
        <f>+'45'!W15+'44'!W15+'43'!W15+'42'!W15+'41'!W15</f>
        <v>0</v>
      </c>
      <c r="X15" s="255">
        <f>+'45'!X15+'44'!X15+'43'!X15+'42'!X15+'41'!X15</f>
        <v>0</v>
      </c>
      <c r="Y15" s="255">
        <f>+'45'!Y15+'44'!Y15+'43'!Y15+'42'!Y15+'41'!Y15</f>
        <v>8</v>
      </c>
      <c r="Z15" s="323">
        <f>+'45'!Z15+'44'!Z15+'43'!Z15+'42'!Z15+'41'!Z15</f>
        <v>0</v>
      </c>
      <c r="AA15" s="254">
        <f t="shared" ref="AA15:AD17" si="7">+W15+S15+O15+K15+G15+C15</f>
        <v>23660</v>
      </c>
      <c r="AB15" s="255">
        <f t="shared" si="7"/>
        <v>27849</v>
      </c>
      <c r="AC15" s="255">
        <f t="shared" si="7"/>
        <v>31606</v>
      </c>
      <c r="AD15" s="323">
        <f t="shared" si="7"/>
        <v>30746</v>
      </c>
      <c r="AE15" s="255"/>
      <c r="AF15" s="255"/>
      <c r="AG15" s="255"/>
      <c r="AH15" s="255"/>
      <c r="AI15" s="255"/>
      <c r="AJ15" s="255"/>
      <c r="AK15" s="255"/>
      <c r="AL15" s="255"/>
      <c r="AM15" s="255"/>
      <c r="AN15" s="255"/>
      <c r="AO15" s="255"/>
      <c r="AP15" s="255"/>
      <c r="AQ15" s="335"/>
      <c r="AR15" s="335"/>
      <c r="AS15" s="335"/>
      <c r="AT15" s="335"/>
      <c r="AU15" s="335"/>
      <c r="AV15" s="335"/>
      <c r="AW15" s="335"/>
      <c r="AX15" s="335"/>
      <c r="AY15" s="335"/>
      <c r="AZ15" s="335"/>
      <c r="BA15" s="335"/>
      <c r="BB15" s="335"/>
      <c r="BC15" s="335"/>
      <c r="BD15" s="335"/>
      <c r="BE15" s="335"/>
      <c r="BF15" s="335"/>
      <c r="BG15" s="335"/>
      <c r="BH15" s="335"/>
      <c r="BI15" s="335"/>
      <c r="BJ15" s="335"/>
      <c r="BK15" s="335"/>
      <c r="BL15" s="335"/>
      <c r="BM15" s="335"/>
      <c r="BN15" s="335"/>
      <c r="BO15" s="335"/>
      <c r="BP15" s="335"/>
      <c r="BQ15" s="335"/>
      <c r="BR15" s="335"/>
      <c r="BS15" s="335"/>
      <c r="BT15" s="335"/>
    </row>
    <row r="16" spans="1:72" s="332" customFormat="1" ht="22.5" customHeight="1">
      <c r="A16" s="322"/>
      <c r="B16" s="211" t="s">
        <v>1061</v>
      </c>
      <c r="C16" s="255">
        <f>+'45'!C16+'44'!C16+'43'!C16+'42'!C16+'41'!C16</f>
        <v>2474</v>
      </c>
      <c r="D16" s="255">
        <f>+'45'!D16+'44'!D16+'43'!D16+'42'!D16+'41'!D16</f>
        <v>1949</v>
      </c>
      <c r="E16" s="255">
        <f>+'45'!E16+'44'!E16+'43'!E16+'42'!E16+'41'!E16</f>
        <v>2603</v>
      </c>
      <c r="F16" s="340">
        <f>+'45'!F16+'44'!F16+'43'!F16+'42'!F16+'41'!F16</f>
        <v>3113</v>
      </c>
      <c r="G16" s="255">
        <f>+'45'!G16+'44'!G16+'43'!G16+'42'!G16+'41'!G16</f>
        <v>167</v>
      </c>
      <c r="H16" s="255">
        <f>+'45'!H16+'44'!H16+'43'!H16+'42'!H16+'41'!H16</f>
        <v>175</v>
      </c>
      <c r="I16" s="255">
        <f>+'45'!I16+'44'!I16+'43'!I16+'42'!I16+'41'!I16</f>
        <v>651</v>
      </c>
      <c r="J16" s="340">
        <f>+'45'!J16+'44'!J16+'43'!J16+'42'!J16+'41'!J16</f>
        <v>829</v>
      </c>
      <c r="K16" s="255">
        <f>+'45'!K16+'44'!K16+'43'!K16+'42'!K16+'41'!K16</f>
        <v>577</v>
      </c>
      <c r="L16" s="255">
        <f>+'45'!L16+'44'!L16+'43'!L16+'42'!L16+'41'!L16</f>
        <v>640</v>
      </c>
      <c r="M16" s="255">
        <f>+'45'!M16+'44'!M16+'43'!M16+'42'!M16+'41'!M16</f>
        <v>961</v>
      </c>
      <c r="N16" s="323">
        <f>+'45'!N16+'44'!N16+'43'!N16+'42'!N16+'41'!N16</f>
        <v>837</v>
      </c>
      <c r="O16" s="255">
        <f>+'45'!O16+'44'!O16+'43'!O16+'42'!O16+'41'!O16</f>
        <v>124</v>
      </c>
      <c r="P16" s="255">
        <f>+'45'!P16+'44'!P16+'43'!P16+'42'!P16+'41'!P16</f>
        <v>231</v>
      </c>
      <c r="Q16" s="255">
        <f>+'45'!Q16+'44'!Q16+'43'!Q16+'42'!Q16+'41'!Q16</f>
        <v>262</v>
      </c>
      <c r="R16" s="323">
        <f>+'45'!R16+'44'!R16+'43'!R16+'42'!R16+'41'!R16</f>
        <v>444</v>
      </c>
      <c r="S16" s="255">
        <f>+'45'!S16+'44'!S16+'43'!S16+'42'!S16+'41'!S16</f>
        <v>97</v>
      </c>
      <c r="T16" s="255">
        <f>+'45'!T16+'44'!T16+'43'!T16+'42'!T16+'41'!T16</f>
        <v>27</v>
      </c>
      <c r="U16" s="255">
        <f>+'45'!U16+'44'!U16+'43'!U16+'42'!U16+'41'!U16</f>
        <v>167</v>
      </c>
      <c r="V16" s="323">
        <f>+'45'!V16+'44'!V16+'43'!V16+'42'!V16+'41'!V16</f>
        <v>323</v>
      </c>
      <c r="W16" s="255">
        <f>+'45'!W16+'44'!W16+'43'!W16+'42'!W16+'41'!W16</f>
        <v>0</v>
      </c>
      <c r="X16" s="255">
        <f>+'45'!X16+'44'!X16+'43'!X16+'42'!X16+'41'!X16</f>
        <v>0</v>
      </c>
      <c r="Y16" s="255">
        <f>+'45'!Y16+'44'!Y16+'43'!Y16+'42'!Y16+'41'!Y16</f>
        <v>0</v>
      </c>
      <c r="Z16" s="323">
        <f>+'45'!Z16+'44'!Z16+'43'!Z16+'42'!Z16+'41'!Z16</f>
        <v>0</v>
      </c>
      <c r="AA16" s="254">
        <f t="shared" si="7"/>
        <v>3439</v>
      </c>
      <c r="AB16" s="255">
        <f t="shared" si="7"/>
        <v>3022</v>
      </c>
      <c r="AC16" s="255">
        <f t="shared" si="7"/>
        <v>4644</v>
      </c>
      <c r="AD16" s="323">
        <f t="shared" si="7"/>
        <v>5546</v>
      </c>
      <c r="AE16" s="255"/>
      <c r="AF16" s="255"/>
      <c r="AG16" s="255"/>
      <c r="AH16" s="255"/>
      <c r="AI16" s="255"/>
      <c r="AJ16" s="255"/>
      <c r="AK16" s="255"/>
      <c r="AL16" s="255"/>
      <c r="AM16" s="255"/>
      <c r="AN16" s="255"/>
      <c r="AO16" s="255"/>
      <c r="AP16" s="255"/>
      <c r="AQ16" s="335"/>
      <c r="AR16" s="335"/>
      <c r="AS16" s="335"/>
      <c r="AT16" s="335"/>
      <c r="AU16" s="335"/>
      <c r="AV16" s="335"/>
      <c r="AW16" s="335"/>
      <c r="AX16" s="335"/>
      <c r="AY16" s="335"/>
      <c r="AZ16" s="335"/>
      <c r="BA16" s="335"/>
      <c r="BB16" s="335"/>
      <c r="BC16" s="335"/>
      <c r="BD16" s="335"/>
      <c r="BE16" s="335"/>
      <c r="BF16" s="335"/>
      <c r="BG16" s="335"/>
      <c r="BH16" s="335"/>
      <c r="BI16" s="335"/>
      <c r="BJ16" s="335"/>
      <c r="BK16" s="335"/>
      <c r="BL16" s="335"/>
      <c r="BM16" s="335"/>
      <c r="BN16" s="335"/>
      <c r="BO16" s="335"/>
      <c r="BP16" s="335"/>
      <c r="BQ16" s="335"/>
      <c r="BR16" s="335"/>
      <c r="BS16" s="335"/>
      <c r="BT16" s="335"/>
    </row>
    <row r="17" spans="1:72" s="332" customFormat="1" ht="22.5" customHeight="1">
      <c r="A17" s="322"/>
      <c r="B17" s="211" t="s">
        <v>1058</v>
      </c>
      <c r="C17" s="255">
        <f>+'45'!C17+'44'!C17+'43'!C17+'42'!C17+'41'!C17</f>
        <v>1795</v>
      </c>
      <c r="D17" s="255">
        <f>+'45'!D17+'44'!D17+'43'!D17+'42'!D17+'41'!D17</f>
        <v>1907</v>
      </c>
      <c r="E17" s="255">
        <f>+'45'!E17+'44'!E17+'43'!E17+'42'!E17+'41'!E17</f>
        <v>2125</v>
      </c>
      <c r="F17" s="340">
        <f>+'45'!F17+'44'!F17+'43'!F17+'42'!F17+'41'!F17</f>
        <v>2600</v>
      </c>
      <c r="G17" s="255">
        <f>+'45'!G17+'44'!G17+'43'!G17+'42'!G17+'41'!G17</f>
        <v>168</v>
      </c>
      <c r="H17" s="255">
        <f>+'45'!H17+'44'!H17+'43'!H17+'42'!H17+'41'!H17</f>
        <v>315</v>
      </c>
      <c r="I17" s="255">
        <f>+'45'!I17+'44'!I17+'43'!I17+'42'!I17+'41'!I17</f>
        <v>573</v>
      </c>
      <c r="J17" s="340">
        <f>+'45'!J17+'44'!J17+'43'!J17+'42'!J17+'41'!J17</f>
        <v>588</v>
      </c>
      <c r="K17" s="255">
        <f>+'45'!K17+'44'!K17+'43'!K17+'42'!K17+'41'!K17</f>
        <v>477</v>
      </c>
      <c r="L17" s="255">
        <f>+'45'!L17+'44'!L17+'43'!L17+'42'!L17+'41'!L17</f>
        <v>618</v>
      </c>
      <c r="M17" s="255">
        <f>+'45'!M17+'44'!M17+'43'!M17+'42'!M17+'41'!M17</f>
        <v>720</v>
      </c>
      <c r="N17" s="323">
        <f>+'45'!N17+'44'!N17+'43'!N17+'42'!N17+'41'!N17</f>
        <v>830</v>
      </c>
      <c r="O17" s="255">
        <f>+'45'!O17+'44'!O17+'43'!O17+'42'!O17+'41'!O17</f>
        <v>124</v>
      </c>
      <c r="P17" s="255">
        <f>+'45'!P17+'44'!P17+'43'!P17+'42'!P17+'41'!P17</f>
        <v>355</v>
      </c>
      <c r="Q17" s="255">
        <f>+'45'!Q17+'44'!Q17+'43'!Q17+'42'!Q17+'41'!Q17</f>
        <v>401</v>
      </c>
      <c r="R17" s="323">
        <f>+'45'!R17+'44'!R17+'43'!R17+'42'!R17+'41'!R17</f>
        <v>415</v>
      </c>
      <c r="S17" s="255">
        <f>+'45'!S17+'44'!S17+'43'!S17+'42'!S17+'41'!S17</f>
        <v>4</v>
      </c>
      <c r="T17" s="255">
        <f>+'45'!T17+'44'!T17+'43'!T17+'42'!T17+'41'!T17</f>
        <v>4</v>
      </c>
      <c r="U17" s="255">
        <f>+'45'!U17+'44'!U17+'43'!U17+'42'!U17+'41'!U17</f>
        <v>15</v>
      </c>
      <c r="V17" s="323">
        <f>+'45'!V17+'44'!V17+'43'!V17+'42'!V17+'41'!V17</f>
        <v>74</v>
      </c>
      <c r="W17" s="255">
        <f>+'45'!W17+'44'!W17+'43'!W17+'42'!W17+'41'!W17</f>
        <v>0</v>
      </c>
      <c r="X17" s="255">
        <f>+'45'!X17+'44'!X17+'43'!X17+'42'!X17+'41'!X17</f>
        <v>0</v>
      </c>
      <c r="Y17" s="255">
        <f>+'45'!Y17+'44'!Y17+'43'!Y17+'42'!Y17+'41'!Y17</f>
        <v>20</v>
      </c>
      <c r="Z17" s="323">
        <f>+'45'!Z17+'44'!Z17+'43'!Z17+'42'!Z17+'41'!Z17</f>
        <v>0</v>
      </c>
      <c r="AA17" s="254">
        <f t="shared" si="7"/>
        <v>2568</v>
      </c>
      <c r="AB17" s="255">
        <f t="shared" si="7"/>
        <v>3199</v>
      </c>
      <c r="AC17" s="255">
        <f t="shared" si="7"/>
        <v>3854</v>
      </c>
      <c r="AD17" s="323">
        <f t="shared" si="7"/>
        <v>4507</v>
      </c>
      <c r="AE17" s="255"/>
      <c r="AF17" s="255"/>
      <c r="AG17" s="255"/>
      <c r="AH17" s="255"/>
      <c r="AI17" s="255"/>
      <c r="AJ17" s="255"/>
      <c r="AK17" s="255"/>
      <c r="AL17" s="255"/>
      <c r="AM17" s="255"/>
      <c r="AN17" s="255"/>
      <c r="AO17" s="255"/>
      <c r="AP17" s="255"/>
      <c r="AQ17" s="335"/>
      <c r="AR17" s="335"/>
      <c r="AS17" s="335"/>
      <c r="AT17" s="335"/>
      <c r="AU17" s="335"/>
      <c r="AV17" s="335"/>
      <c r="AW17" s="335"/>
      <c r="AX17" s="335"/>
      <c r="AY17" s="335"/>
      <c r="AZ17" s="335"/>
      <c r="BA17" s="335"/>
      <c r="BB17" s="335"/>
      <c r="BC17" s="335"/>
      <c r="BD17" s="335"/>
      <c r="BE17" s="335"/>
      <c r="BF17" s="335"/>
      <c r="BG17" s="335"/>
      <c r="BH17" s="335"/>
      <c r="BI17" s="335"/>
      <c r="BJ17" s="335"/>
      <c r="BK17" s="335"/>
      <c r="BL17" s="335"/>
      <c r="BM17" s="335"/>
      <c r="BN17" s="335"/>
      <c r="BO17" s="335"/>
      <c r="BP17" s="335"/>
      <c r="BQ17" s="335"/>
      <c r="BR17" s="335"/>
      <c r="BS17" s="335"/>
      <c r="BT17" s="335"/>
    </row>
    <row r="18" spans="1:72" s="332" customFormat="1" ht="22.5" customHeight="1">
      <c r="A18" s="322"/>
      <c r="B18" s="1271" t="s">
        <v>582</v>
      </c>
      <c r="C18" s="1272">
        <f t="shared" ref="C18:AC18" si="8">SUM(C15:C17)</f>
        <v>21056</v>
      </c>
      <c r="D18" s="1272">
        <f t="shared" si="8"/>
        <v>24082</v>
      </c>
      <c r="E18" s="1272">
        <f>SUM(E15:E17)</f>
        <v>24890</v>
      </c>
      <c r="F18" s="1273">
        <f>SUM(F15:F17)</f>
        <v>23948</v>
      </c>
      <c r="G18" s="1272">
        <f t="shared" si="8"/>
        <v>1608</v>
      </c>
      <c r="H18" s="1272">
        <f t="shared" si="8"/>
        <v>1487</v>
      </c>
      <c r="I18" s="1272">
        <f>SUM(I15:I17)</f>
        <v>4340</v>
      </c>
      <c r="J18" s="1273">
        <f>SUM(J15:J17)</f>
        <v>4574</v>
      </c>
      <c r="K18" s="1272">
        <f t="shared" si="8"/>
        <v>3890</v>
      </c>
      <c r="L18" s="1272">
        <f t="shared" si="8"/>
        <v>4642</v>
      </c>
      <c r="M18" s="1272">
        <f t="shared" si="8"/>
        <v>6655</v>
      </c>
      <c r="N18" s="1274">
        <f t="shared" ref="N18" si="9">SUM(N15:N17)</f>
        <v>6888</v>
      </c>
      <c r="O18" s="1272">
        <f t="shared" si="8"/>
        <v>712</v>
      </c>
      <c r="P18" s="1272">
        <f t="shared" si="8"/>
        <v>2026</v>
      </c>
      <c r="Q18" s="1272">
        <f t="shared" si="8"/>
        <v>3048</v>
      </c>
      <c r="R18" s="1274">
        <f t="shared" ref="R18" si="10">SUM(R15:R17)</f>
        <v>3011</v>
      </c>
      <c r="S18" s="1272">
        <f t="shared" si="8"/>
        <v>2401</v>
      </c>
      <c r="T18" s="1272">
        <f t="shared" si="8"/>
        <v>1833</v>
      </c>
      <c r="U18" s="1272">
        <f t="shared" si="8"/>
        <v>1143</v>
      </c>
      <c r="V18" s="1274">
        <f t="shared" ref="V18" si="11">SUM(V15:V17)</f>
        <v>2378</v>
      </c>
      <c r="W18" s="1272">
        <f t="shared" si="8"/>
        <v>0</v>
      </c>
      <c r="X18" s="1272">
        <f t="shared" si="8"/>
        <v>0</v>
      </c>
      <c r="Y18" s="1272">
        <f t="shared" si="8"/>
        <v>28</v>
      </c>
      <c r="Z18" s="1274">
        <f t="shared" ref="Z18" si="12">SUM(Z15:Z17)</f>
        <v>0</v>
      </c>
      <c r="AA18" s="1275">
        <f t="shared" si="8"/>
        <v>29667</v>
      </c>
      <c r="AB18" s="1272">
        <f t="shared" si="8"/>
        <v>34070</v>
      </c>
      <c r="AC18" s="1272">
        <f t="shared" si="8"/>
        <v>40104</v>
      </c>
      <c r="AD18" s="1274">
        <f t="shared" ref="AD18" si="13">SUM(AD15:AD17)</f>
        <v>40799</v>
      </c>
      <c r="AE18" s="255"/>
      <c r="AF18" s="255"/>
      <c r="AG18" s="255"/>
      <c r="AH18" s="255"/>
      <c r="AI18" s="255"/>
      <c r="AJ18" s="255"/>
      <c r="AK18" s="255"/>
      <c r="AL18" s="255"/>
      <c r="AM18" s="255"/>
      <c r="AN18" s="255"/>
      <c r="AO18" s="255"/>
      <c r="AP18" s="255"/>
      <c r="AQ18" s="335"/>
      <c r="AR18" s="335"/>
      <c r="AS18" s="335"/>
      <c r="AT18" s="335"/>
      <c r="AU18" s="335"/>
      <c r="AV18" s="335"/>
      <c r="AW18" s="335"/>
      <c r="AX18" s="335"/>
      <c r="AY18" s="335"/>
      <c r="AZ18" s="335"/>
      <c r="BA18" s="335"/>
      <c r="BB18" s="335"/>
      <c r="BC18" s="335"/>
      <c r="BD18" s="335"/>
      <c r="BE18" s="335"/>
      <c r="BF18" s="335"/>
      <c r="BG18" s="335"/>
      <c r="BH18" s="335"/>
      <c r="BI18" s="335"/>
      <c r="BJ18" s="335"/>
      <c r="BK18" s="335"/>
      <c r="BL18" s="335"/>
      <c r="BM18" s="335"/>
      <c r="BN18" s="335"/>
      <c r="BO18" s="335"/>
      <c r="BP18" s="335"/>
      <c r="BQ18" s="335"/>
      <c r="BR18" s="335"/>
      <c r="BS18" s="335"/>
      <c r="BT18" s="335"/>
    </row>
    <row r="19" spans="1:72" s="332" customFormat="1" ht="22.5" customHeight="1">
      <c r="A19" s="322" t="s">
        <v>865</v>
      </c>
      <c r="B19" s="243" t="s">
        <v>742</v>
      </c>
      <c r="C19" s="255">
        <f>+'45'!C19+'44'!C19+'43'!C19+'42'!C19+'41'!C19</f>
        <v>12790</v>
      </c>
      <c r="D19" s="255">
        <f>+'45'!D19+'44'!D19+'43'!D19+'42'!D19+'41'!D19</f>
        <v>15206</v>
      </c>
      <c r="E19" s="255">
        <f>+'45'!E19+'44'!E19+'43'!E19+'42'!E19+'41'!E19</f>
        <v>19352</v>
      </c>
      <c r="F19" s="340">
        <f>+'45'!F19+'44'!F19+'43'!F19+'42'!F19+'41'!F19</f>
        <v>21169</v>
      </c>
      <c r="G19" s="255">
        <f>+'45'!G19+'44'!G19+'43'!G19+'42'!G19+'41'!G19</f>
        <v>1788</v>
      </c>
      <c r="H19" s="255">
        <f>+'45'!H19+'44'!H19+'43'!H19+'42'!H19+'41'!H19</f>
        <v>1632</v>
      </c>
      <c r="I19" s="255">
        <f>+'45'!I19+'44'!I19+'43'!I19+'42'!I19+'41'!I19</f>
        <v>2236</v>
      </c>
      <c r="J19" s="340">
        <f>+'45'!J19+'44'!J19+'43'!J19+'42'!J19+'41'!J19</f>
        <v>2435</v>
      </c>
      <c r="K19" s="255">
        <f>+'45'!K19+'44'!K19+'43'!K19+'42'!K19+'41'!K19</f>
        <v>3289</v>
      </c>
      <c r="L19" s="255">
        <f>+'45'!L19+'44'!L19+'43'!L19+'42'!L19+'41'!L19</f>
        <v>4408</v>
      </c>
      <c r="M19" s="255">
        <f>+'45'!M19+'44'!M19+'43'!M19+'42'!M19+'41'!M19</f>
        <v>4318</v>
      </c>
      <c r="N19" s="323">
        <f>+'45'!N19+'44'!N19+'43'!N19+'42'!N19+'41'!N19</f>
        <v>5034</v>
      </c>
      <c r="O19" s="255">
        <f>+'45'!O19+'44'!O19+'43'!O19+'42'!O19+'41'!O19</f>
        <v>552</v>
      </c>
      <c r="P19" s="255">
        <f>+'45'!P19+'44'!P19+'43'!P19+'42'!P19+'41'!P19</f>
        <v>1235</v>
      </c>
      <c r="Q19" s="255">
        <f>+'45'!Q19+'44'!Q19+'43'!Q19+'42'!Q19+'41'!Q19</f>
        <v>2688</v>
      </c>
      <c r="R19" s="323">
        <f>+'45'!R19+'44'!R19+'43'!R19+'42'!R19+'41'!R19</f>
        <v>2923</v>
      </c>
      <c r="S19" s="255">
        <f>+'45'!S19+'44'!S19+'43'!S19+'42'!S19+'41'!S19</f>
        <v>1307</v>
      </c>
      <c r="T19" s="255">
        <f>+'45'!T19+'44'!T19+'43'!T19+'42'!T19+'41'!T19</f>
        <v>1144</v>
      </c>
      <c r="U19" s="255">
        <f>+'45'!U19+'44'!U19+'43'!U19+'42'!U19+'41'!U19</f>
        <v>1437</v>
      </c>
      <c r="V19" s="323">
        <f>+'45'!V19+'44'!V19+'43'!V19+'42'!V19+'41'!V19</f>
        <v>933</v>
      </c>
      <c r="W19" s="255">
        <f>+'45'!W19+'44'!W19+'43'!W19+'42'!W19+'41'!W19</f>
        <v>2</v>
      </c>
      <c r="X19" s="255">
        <f>+'45'!X19+'44'!X19+'43'!X19+'42'!X19+'41'!X19</f>
        <v>0</v>
      </c>
      <c r="Y19" s="255">
        <f>+'45'!Y19+'44'!Y19+'43'!Y19+'42'!Y19+'41'!Y19</f>
        <v>0</v>
      </c>
      <c r="Z19" s="323">
        <f>+'45'!Z19+'44'!Z19+'43'!Z19+'42'!Z19+'41'!Z19</f>
        <v>0</v>
      </c>
      <c r="AA19" s="254">
        <f t="shared" ref="AA19:AD20" si="14">+W19+S19+O19+K19+G19+C19</f>
        <v>19728</v>
      </c>
      <c r="AB19" s="255">
        <f t="shared" si="14"/>
        <v>23625</v>
      </c>
      <c r="AC19" s="255">
        <f t="shared" si="14"/>
        <v>30031</v>
      </c>
      <c r="AD19" s="323">
        <f t="shared" si="14"/>
        <v>32494</v>
      </c>
      <c r="AE19" s="255"/>
      <c r="AF19" s="255"/>
      <c r="AG19" s="255"/>
      <c r="AH19" s="255"/>
      <c r="AI19" s="255"/>
      <c r="AJ19" s="255"/>
      <c r="AK19" s="255"/>
      <c r="AL19" s="255"/>
      <c r="AM19" s="255"/>
      <c r="AN19" s="255"/>
      <c r="AO19" s="255"/>
      <c r="AP19" s="255"/>
      <c r="AQ19" s="335"/>
      <c r="AR19" s="335"/>
      <c r="AS19" s="335"/>
      <c r="AT19" s="335"/>
      <c r="AU19" s="335"/>
      <c r="AV19" s="335"/>
      <c r="AW19" s="335"/>
      <c r="AX19" s="335"/>
      <c r="AY19" s="335"/>
      <c r="AZ19" s="335"/>
      <c r="BA19" s="335"/>
      <c r="BB19" s="335"/>
      <c r="BC19" s="335"/>
      <c r="BD19" s="335"/>
      <c r="BE19" s="335"/>
      <c r="BF19" s="335"/>
      <c r="BG19" s="335"/>
      <c r="BH19" s="335"/>
      <c r="BI19" s="335"/>
      <c r="BJ19" s="335"/>
      <c r="BK19" s="335"/>
      <c r="BL19" s="335"/>
      <c r="BM19" s="335"/>
      <c r="BN19" s="335"/>
      <c r="BO19" s="335"/>
      <c r="BP19" s="335"/>
      <c r="BQ19" s="335"/>
      <c r="BR19" s="335"/>
      <c r="BS19" s="335"/>
      <c r="BT19" s="335"/>
    </row>
    <row r="20" spans="1:72" s="332" customFormat="1" ht="22.5" customHeight="1">
      <c r="A20" s="322"/>
      <c r="B20" s="211" t="s">
        <v>1060</v>
      </c>
      <c r="C20" s="255">
        <f>+'45'!C20+'44'!C20+'43'!C20+'42'!C20+'41'!C20</f>
        <v>672</v>
      </c>
      <c r="D20" s="255">
        <f>+'45'!D20+'44'!D20+'43'!D20+'42'!D20+'41'!D20</f>
        <v>1119</v>
      </c>
      <c r="E20" s="255">
        <f>+'45'!E20+'44'!E20+'43'!E20+'42'!E20+'41'!E20</f>
        <v>1773</v>
      </c>
      <c r="F20" s="340">
        <f>+'45'!F20+'44'!F20+'43'!F20+'42'!F20+'41'!F20</f>
        <v>2010</v>
      </c>
      <c r="G20" s="255">
        <f>+'45'!G20+'44'!G20+'43'!G20+'42'!G20+'41'!G20</f>
        <v>72</v>
      </c>
      <c r="H20" s="255">
        <f>+'45'!H20+'44'!H20+'43'!H20+'42'!H20+'41'!H20</f>
        <v>188</v>
      </c>
      <c r="I20" s="255">
        <f>+'45'!I20+'44'!I20+'43'!I20+'42'!I20+'41'!I20</f>
        <v>272</v>
      </c>
      <c r="J20" s="340">
        <f>+'45'!J20+'44'!J20+'43'!J20+'42'!J20+'41'!J20</f>
        <v>305</v>
      </c>
      <c r="K20" s="255">
        <f>+'45'!K20+'44'!K20+'43'!K20+'42'!K20+'41'!K20</f>
        <v>171</v>
      </c>
      <c r="L20" s="255">
        <f>+'45'!L20+'44'!L20+'43'!L20+'42'!L20+'41'!L20</f>
        <v>395</v>
      </c>
      <c r="M20" s="255">
        <f>+'45'!M20+'44'!M20+'43'!M20+'42'!M20+'41'!M20</f>
        <v>432</v>
      </c>
      <c r="N20" s="323">
        <f>+'45'!N20+'44'!N20+'43'!N20+'42'!N20+'41'!N20</f>
        <v>403</v>
      </c>
      <c r="O20" s="255">
        <f>+'45'!O20+'44'!O20+'43'!O20+'42'!O20+'41'!O20</f>
        <v>84</v>
      </c>
      <c r="P20" s="255">
        <f>+'45'!P20+'44'!P20+'43'!P20+'42'!P20+'41'!P20</f>
        <v>191</v>
      </c>
      <c r="Q20" s="255">
        <f>+'45'!Q20+'44'!Q20+'43'!Q20+'42'!Q20+'41'!Q20</f>
        <v>293</v>
      </c>
      <c r="R20" s="323">
        <f>+'45'!R20+'44'!R20+'43'!R20+'42'!R20+'41'!R20</f>
        <v>242</v>
      </c>
      <c r="S20" s="255">
        <f>+'45'!S20+'44'!S20+'43'!S20+'42'!S20+'41'!S20</f>
        <v>53</v>
      </c>
      <c r="T20" s="255">
        <f>+'45'!T20+'44'!T20+'43'!T20+'42'!T20+'41'!T20</f>
        <v>6</v>
      </c>
      <c r="U20" s="255">
        <f>+'45'!U20+'44'!U20+'43'!U20+'42'!U20+'41'!U20</f>
        <v>28</v>
      </c>
      <c r="V20" s="323">
        <f>+'45'!V20+'44'!V20+'43'!V20+'42'!V20+'41'!V20</f>
        <v>12</v>
      </c>
      <c r="W20" s="255">
        <f>+'45'!W20+'44'!W20+'43'!W20+'42'!W20+'41'!W20</f>
        <v>0</v>
      </c>
      <c r="X20" s="255">
        <f>+'45'!X20+'44'!X20+'43'!X20+'42'!X20+'41'!X20</f>
        <v>0</v>
      </c>
      <c r="Y20" s="255">
        <f>+'45'!Y20+'44'!Y20+'43'!Y20+'42'!Y20+'41'!Y20</f>
        <v>0</v>
      </c>
      <c r="Z20" s="323">
        <f>+'45'!Z20+'44'!Z20+'43'!Z20+'42'!Z20+'41'!Z20</f>
        <v>0</v>
      </c>
      <c r="AA20" s="254">
        <f t="shared" si="14"/>
        <v>1052</v>
      </c>
      <c r="AB20" s="255">
        <f t="shared" si="14"/>
        <v>1899</v>
      </c>
      <c r="AC20" s="255">
        <f t="shared" si="14"/>
        <v>2798</v>
      </c>
      <c r="AD20" s="323">
        <f t="shared" si="14"/>
        <v>2972</v>
      </c>
      <c r="AE20" s="255"/>
      <c r="AF20" s="255"/>
      <c r="AG20" s="255"/>
      <c r="AH20" s="255"/>
      <c r="AI20" s="255"/>
      <c r="AJ20" s="255"/>
      <c r="AK20" s="255"/>
      <c r="AL20" s="255"/>
      <c r="AM20" s="255"/>
      <c r="AN20" s="255"/>
      <c r="AO20" s="255"/>
      <c r="AP20" s="255"/>
      <c r="AQ20" s="335"/>
      <c r="AR20" s="335"/>
      <c r="AS20" s="335"/>
      <c r="AT20" s="335"/>
      <c r="AU20" s="335"/>
      <c r="AV20" s="335"/>
      <c r="AW20" s="335"/>
      <c r="AX20" s="335"/>
      <c r="AY20" s="335"/>
      <c r="AZ20" s="335"/>
      <c r="BA20" s="335"/>
      <c r="BB20" s="335"/>
      <c r="BC20" s="335"/>
      <c r="BD20" s="335"/>
      <c r="BE20" s="335"/>
      <c r="BF20" s="335"/>
      <c r="BG20" s="335"/>
      <c r="BH20" s="335"/>
      <c r="BI20" s="335"/>
      <c r="BJ20" s="335"/>
      <c r="BK20" s="335"/>
      <c r="BL20" s="335"/>
      <c r="BM20" s="335"/>
      <c r="BN20" s="335"/>
      <c r="BO20" s="335"/>
      <c r="BP20" s="335"/>
      <c r="BQ20" s="335"/>
      <c r="BR20" s="335"/>
      <c r="BS20" s="335"/>
      <c r="BT20" s="335"/>
    </row>
    <row r="21" spans="1:72" s="332" customFormat="1" ht="22.5" customHeight="1">
      <c r="A21" s="322"/>
      <c r="B21" s="1271" t="s">
        <v>582</v>
      </c>
      <c r="C21" s="1272">
        <f t="shared" ref="C21:AC21" si="15">SUM(C19:C20)</f>
        <v>13462</v>
      </c>
      <c r="D21" s="1272">
        <f t="shared" si="15"/>
        <v>16325</v>
      </c>
      <c r="E21" s="1272">
        <f>SUM(E19:E20)</f>
        <v>21125</v>
      </c>
      <c r="F21" s="1273">
        <f>SUM(F19:F20)</f>
        <v>23179</v>
      </c>
      <c r="G21" s="1272">
        <f t="shared" si="15"/>
        <v>1860</v>
      </c>
      <c r="H21" s="1272">
        <f t="shared" si="15"/>
        <v>1820</v>
      </c>
      <c r="I21" s="1272">
        <f>SUM(I19:I20)</f>
        <v>2508</v>
      </c>
      <c r="J21" s="1273">
        <f>SUM(J19:J20)</f>
        <v>2740</v>
      </c>
      <c r="K21" s="1272">
        <f t="shared" si="15"/>
        <v>3460</v>
      </c>
      <c r="L21" s="1272">
        <f t="shared" si="15"/>
        <v>4803</v>
      </c>
      <c r="M21" s="1272">
        <f t="shared" si="15"/>
        <v>4750</v>
      </c>
      <c r="N21" s="1274">
        <f t="shared" ref="N21" si="16">SUM(N19:N20)</f>
        <v>5437</v>
      </c>
      <c r="O21" s="1272">
        <f t="shared" si="15"/>
        <v>636</v>
      </c>
      <c r="P21" s="1272">
        <f t="shared" si="15"/>
        <v>1426</v>
      </c>
      <c r="Q21" s="1272">
        <f t="shared" si="15"/>
        <v>2981</v>
      </c>
      <c r="R21" s="1274">
        <f t="shared" ref="R21" si="17">SUM(R19:R20)</f>
        <v>3165</v>
      </c>
      <c r="S21" s="1272">
        <f t="shared" si="15"/>
        <v>1360</v>
      </c>
      <c r="T21" s="1272">
        <f t="shared" si="15"/>
        <v>1150</v>
      </c>
      <c r="U21" s="1272">
        <f t="shared" si="15"/>
        <v>1465</v>
      </c>
      <c r="V21" s="1274">
        <f t="shared" ref="V21" si="18">SUM(V19:V20)</f>
        <v>945</v>
      </c>
      <c r="W21" s="1272">
        <f t="shared" si="15"/>
        <v>2</v>
      </c>
      <c r="X21" s="1272">
        <f t="shared" si="15"/>
        <v>0</v>
      </c>
      <c r="Y21" s="1272">
        <f t="shared" si="15"/>
        <v>0</v>
      </c>
      <c r="Z21" s="1274">
        <f t="shared" ref="Z21" si="19">SUM(Z19:Z20)</f>
        <v>0</v>
      </c>
      <c r="AA21" s="1275">
        <f t="shared" si="15"/>
        <v>20780</v>
      </c>
      <c r="AB21" s="1272">
        <f t="shared" si="15"/>
        <v>25524</v>
      </c>
      <c r="AC21" s="1272">
        <f t="shared" si="15"/>
        <v>32829</v>
      </c>
      <c r="AD21" s="1274">
        <f t="shared" ref="AD21" si="20">SUM(AD19:AD20)</f>
        <v>35466</v>
      </c>
      <c r="AE21" s="255"/>
      <c r="AF21" s="255"/>
      <c r="AG21" s="255"/>
      <c r="AH21" s="255"/>
      <c r="AI21" s="255"/>
      <c r="AJ21" s="255"/>
      <c r="AK21" s="255"/>
      <c r="AL21" s="255"/>
      <c r="AM21" s="255"/>
      <c r="AN21" s="255"/>
      <c r="AO21" s="255"/>
      <c r="AP21" s="255"/>
      <c r="AQ21" s="335"/>
      <c r="AR21" s="335"/>
      <c r="AS21" s="335"/>
      <c r="AT21" s="335"/>
      <c r="AU21" s="335"/>
      <c r="AV21" s="335"/>
      <c r="AW21" s="335"/>
      <c r="AX21" s="335"/>
      <c r="AY21" s="335"/>
      <c r="AZ21" s="335"/>
      <c r="BA21" s="335"/>
      <c r="BB21" s="335"/>
      <c r="BC21" s="335"/>
      <c r="BD21" s="335"/>
      <c r="BE21" s="335"/>
      <c r="BF21" s="335"/>
      <c r="BG21" s="335"/>
      <c r="BH21" s="335"/>
      <c r="BI21" s="335"/>
      <c r="BJ21" s="335"/>
      <c r="BK21" s="335"/>
      <c r="BL21" s="335"/>
      <c r="BM21" s="335"/>
      <c r="BN21" s="335"/>
      <c r="BO21" s="335"/>
      <c r="BP21" s="335"/>
      <c r="BQ21" s="335"/>
      <c r="BR21" s="335"/>
      <c r="BS21" s="335"/>
      <c r="BT21" s="335"/>
    </row>
    <row r="22" spans="1:72" s="332" customFormat="1" ht="22.5" customHeight="1">
      <c r="A22" s="322" t="s">
        <v>481</v>
      </c>
      <c r="B22" s="243" t="s">
        <v>743</v>
      </c>
      <c r="C22" s="255">
        <f>+'45'!C22+'44'!C22+'43'!C22+'42'!C22+'41'!C22</f>
        <v>14614</v>
      </c>
      <c r="D22" s="255">
        <f>+'45'!D22+'44'!D22+'43'!D22+'42'!D22+'41'!D22</f>
        <v>13465</v>
      </c>
      <c r="E22" s="255">
        <f>+'45'!E22+'44'!E22+'43'!E22+'42'!E22+'41'!E22</f>
        <v>17219</v>
      </c>
      <c r="F22" s="340">
        <f>+'45'!F22+'44'!F22+'43'!F22+'42'!F22+'41'!F22</f>
        <v>21239</v>
      </c>
      <c r="G22" s="255">
        <f>+'45'!G22+'44'!G22+'43'!G22+'42'!G22+'41'!G22</f>
        <v>2071</v>
      </c>
      <c r="H22" s="255">
        <f>+'45'!H22+'44'!H22+'43'!H22+'42'!H22+'41'!H22</f>
        <v>2089</v>
      </c>
      <c r="I22" s="255">
        <f>+'45'!I22+'44'!I22+'43'!I22+'42'!I22+'41'!I22</f>
        <v>3776</v>
      </c>
      <c r="J22" s="340">
        <f>+'45'!J22+'44'!J22+'43'!J22+'42'!J22+'41'!J22</f>
        <v>5292</v>
      </c>
      <c r="K22" s="255">
        <f>+'45'!K22+'44'!K22+'43'!K22+'42'!K22+'41'!K22</f>
        <v>3156</v>
      </c>
      <c r="L22" s="255">
        <f>+'45'!L22+'44'!L22+'43'!L22+'42'!L22+'41'!L22</f>
        <v>4262</v>
      </c>
      <c r="M22" s="255">
        <f>+'45'!M22+'44'!M22+'43'!M22+'42'!M22+'41'!M22</f>
        <v>4051</v>
      </c>
      <c r="N22" s="323">
        <f>+'45'!N22+'44'!N22+'43'!N22+'42'!N22+'41'!N22</f>
        <v>4387</v>
      </c>
      <c r="O22" s="255">
        <f>+'45'!O22+'44'!O22+'43'!O22+'42'!O22+'41'!O22</f>
        <v>473</v>
      </c>
      <c r="P22" s="255">
        <f>+'45'!P22+'44'!P22+'43'!P22+'42'!P22+'41'!P22</f>
        <v>1151</v>
      </c>
      <c r="Q22" s="255">
        <f>+'45'!Q22+'44'!Q22+'43'!Q22+'42'!Q22+'41'!Q22</f>
        <v>3155</v>
      </c>
      <c r="R22" s="323">
        <f>+'45'!R22+'44'!R22+'43'!R22+'42'!R22+'41'!R22</f>
        <v>3853</v>
      </c>
      <c r="S22" s="255">
        <f>+'45'!S22+'44'!S22+'43'!S22+'42'!S22+'41'!S22</f>
        <v>776</v>
      </c>
      <c r="T22" s="255">
        <f>+'45'!T22+'44'!T22+'43'!T22+'42'!T22+'41'!T22</f>
        <v>520</v>
      </c>
      <c r="U22" s="255">
        <f>+'45'!U22+'44'!U22+'43'!U22+'42'!U22+'41'!U22</f>
        <v>754</v>
      </c>
      <c r="V22" s="323">
        <f>+'45'!V22+'44'!V22+'43'!V22+'42'!V22+'41'!V22</f>
        <v>382</v>
      </c>
      <c r="W22" s="255">
        <f>+'45'!W22+'44'!W22+'43'!W22+'42'!W22+'41'!W22</f>
        <v>222</v>
      </c>
      <c r="X22" s="255">
        <f>+'45'!X22+'44'!X22+'43'!X22+'42'!X22+'41'!X22</f>
        <v>5</v>
      </c>
      <c r="Y22" s="255">
        <f>+'45'!Y22+'44'!Y22+'43'!Y22+'42'!Y22+'41'!Y22</f>
        <v>2</v>
      </c>
      <c r="Z22" s="323">
        <f>+'45'!Z22+'44'!Z22+'43'!Z22+'42'!Z22+'41'!Z22</f>
        <v>4</v>
      </c>
      <c r="AA22" s="254">
        <f>+W22+S22+O22+K22+G22+C22</f>
        <v>21312</v>
      </c>
      <c r="AB22" s="255">
        <f>+X22+T22+P22+L22+H22+D22</f>
        <v>21492</v>
      </c>
      <c r="AC22" s="255">
        <f>+Y22+U22+Q22+M22+I22+E22</f>
        <v>28957</v>
      </c>
      <c r="AD22" s="323">
        <f>+Z22+V22+R22+N22+J22+F22</f>
        <v>35157</v>
      </c>
      <c r="AE22" s="255"/>
      <c r="AF22" s="255"/>
      <c r="AG22" s="255"/>
      <c r="AH22" s="255"/>
      <c r="AI22" s="255"/>
      <c r="AJ22" s="255"/>
      <c r="AK22" s="255"/>
      <c r="AL22" s="255"/>
      <c r="AM22" s="255"/>
      <c r="AN22" s="255"/>
      <c r="AO22" s="255"/>
      <c r="AP22" s="255"/>
      <c r="AQ22" s="335"/>
      <c r="AR22" s="335"/>
      <c r="AS22" s="335"/>
      <c r="AT22" s="335"/>
      <c r="AU22" s="335"/>
      <c r="AV22" s="335"/>
      <c r="AW22" s="335"/>
      <c r="AX22" s="335"/>
      <c r="AY22" s="335"/>
      <c r="AZ22" s="335"/>
      <c r="BA22" s="335"/>
      <c r="BB22" s="335"/>
      <c r="BC22" s="335"/>
      <c r="BD22" s="335"/>
      <c r="BE22" s="335"/>
      <c r="BF22" s="335"/>
      <c r="BG22" s="335"/>
      <c r="BH22" s="335"/>
      <c r="BI22" s="335"/>
      <c r="BJ22" s="335"/>
      <c r="BK22" s="335"/>
      <c r="BL22" s="335"/>
      <c r="BM22" s="335"/>
      <c r="BN22" s="335"/>
      <c r="BO22" s="335"/>
      <c r="BP22" s="335"/>
      <c r="BQ22" s="335"/>
      <c r="BR22" s="335"/>
      <c r="BS22" s="335"/>
      <c r="BT22" s="335"/>
    </row>
    <row r="23" spans="1:72" s="332" customFormat="1" ht="22.5" customHeight="1">
      <c r="A23" s="1026" t="s">
        <v>866</v>
      </c>
      <c r="B23" s="1045"/>
      <c r="C23" s="1276">
        <f t="shared" ref="C23:AC23" si="21">+C14+C18+C21+C22</f>
        <v>89905</v>
      </c>
      <c r="D23" s="1276">
        <f>+D14+D18+D21+D22</f>
        <v>98506</v>
      </c>
      <c r="E23" s="1276">
        <f>+E14+E18+E21+E22</f>
        <v>117192</v>
      </c>
      <c r="F23" s="1277">
        <f>+F14+F18+F21+F22</f>
        <v>128404</v>
      </c>
      <c r="G23" s="1276">
        <f t="shared" si="21"/>
        <v>10872</v>
      </c>
      <c r="H23" s="1276">
        <f t="shared" si="21"/>
        <v>15245</v>
      </c>
      <c r="I23" s="1276">
        <f>+I14+I18+I21+I22</f>
        <v>22931</v>
      </c>
      <c r="J23" s="1277">
        <f>+J14+J18+J21+J22</f>
        <v>27404</v>
      </c>
      <c r="K23" s="1276">
        <f t="shared" si="21"/>
        <v>21302</v>
      </c>
      <c r="L23" s="1276">
        <f t="shared" si="21"/>
        <v>27825</v>
      </c>
      <c r="M23" s="1276">
        <f t="shared" si="21"/>
        <v>31754</v>
      </c>
      <c r="N23" s="1277">
        <f t="shared" ref="N23" si="22">+N14+N18+N21+N22</f>
        <v>34133</v>
      </c>
      <c r="O23" s="1276">
        <f t="shared" si="21"/>
        <v>4980</v>
      </c>
      <c r="P23" s="1276">
        <f t="shared" si="21"/>
        <v>10446</v>
      </c>
      <c r="Q23" s="1276">
        <f t="shared" si="21"/>
        <v>18326</v>
      </c>
      <c r="R23" s="1277">
        <f t="shared" ref="R23" si="23">+R14+R18+R21+R22</f>
        <v>22658</v>
      </c>
      <c r="S23" s="1276">
        <f t="shared" si="21"/>
        <v>7415</v>
      </c>
      <c r="T23" s="1276">
        <f t="shared" si="21"/>
        <v>7704</v>
      </c>
      <c r="U23" s="1276">
        <f t="shared" si="21"/>
        <v>8635</v>
      </c>
      <c r="V23" s="1277">
        <f t="shared" ref="V23" si="24">+V14+V18+V21+V22</f>
        <v>8713</v>
      </c>
      <c r="W23" s="1276">
        <f t="shared" si="21"/>
        <v>2864</v>
      </c>
      <c r="X23" s="1276">
        <f t="shared" si="21"/>
        <v>2546</v>
      </c>
      <c r="Y23" s="1276">
        <f t="shared" si="21"/>
        <v>1257</v>
      </c>
      <c r="Z23" s="1277">
        <f t="shared" ref="Z23" si="25">+Z14+Z18+Z21+Z22</f>
        <v>23</v>
      </c>
      <c r="AA23" s="1278">
        <f t="shared" si="21"/>
        <v>137338</v>
      </c>
      <c r="AB23" s="1276">
        <f t="shared" si="21"/>
        <v>162272</v>
      </c>
      <c r="AC23" s="1276">
        <f t="shared" si="21"/>
        <v>200095</v>
      </c>
      <c r="AD23" s="1277">
        <f t="shared" ref="AD23" si="26">+AD14+AD18+AD21+AD22</f>
        <v>221335</v>
      </c>
      <c r="AE23" s="255"/>
      <c r="AF23" s="327"/>
      <c r="AG23" s="327"/>
      <c r="AH23" s="327"/>
      <c r="AI23" s="327"/>
      <c r="AJ23" s="327"/>
      <c r="AK23" s="327"/>
      <c r="AL23" s="327"/>
      <c r="AM23" s="327"/>
      <c r="AN23" s="327"/>
      <c r="AO23" s="327"/>
      <c r="AP23" s="327"/>
      <c r="AQ23" s="336"/>
      <c r="AR23" s="336"/>
      <c r="AS23" s="336"/>
      <c r="AT23" s="336"/>
      <c r="AU23" s="336"/>
      <c r="AV23" s="336"/>
      <c r="AW23" s="336"/>
      <c r="AX23" s="336"/>
      <c r="AY23" s="336"/>
      <c r="AZ23" s="336"/>
      <c r="BA23" s="336"/>
      <c r="BB23" s="336"/>
      <c r="BC23" s="336"/>
      <c r="BD23" s="336"/>
      <c r="BE23" s="336"/>
      <c r="BF23" s="336"/>
      <c r="BG23" s="336"/>
      <c r="BH23" s="336"/>
      <c r="BI23" s="336"/>
      <c r="BJ23" s="336"/>
      <c r="BK23" s="336"/>
      <c r="BL23" s="335"/>
      <c r="BM23" s="335"/>
      <c r="BN23" s="335"/>
      <c r="BO23" s="335"/>
      <c r="BP23" s="335"/>
      <c r="BQ23" s="335"/>
      <c r="BR23" s="335"/>
      <c r="BS23" s="335"/>
      <c r="BT23" s="335"/>
    </row>
    <row r="24" spans="1:72" s="332" customFormat="1" ht="22.5" customHeight="1">
      <c r="A24" s="322" t="s">
        <v>867</v>
      </c>
      <c r="B24" s="211" t="s">
        <v>1176</v>
      </c>
      <c r="C24" s="255">
        <f>+'45'!C24+'44'!C24+'43'!C24+'42'!C24+'41'!C24</f>
        <v>14183</v>
      </c>
      <c r="D24" s="255">
        <f>+'45'!D24+'44'!D24+'43'!D24+'42'!D24+'41'!D24</f>
        <v>22306</v>
      </c>
      <c r="E24" s="255">
        <f>+'45'!E24+'44'!E24+'43'!E24+'42'!E24+'41'!E24</f>
        <v>29517</v>
      </c>
      <c r="F24" s="340">
        <f>+'45'!F24+'44'!F24+'43'!F24+'42'!F24+'41'!F24</f>
        <v>27825</v>
      </c>
      <c r="G24" s="255">
        <f>+'45'!G24+'44'!G24+'43'!G24+'42'!G24+'41'!G24</f>
        <v>2188</v>
      </c>
      <c r="H24" s="255">
        <f>+'45'!H24+'44'!H24+'43'!H24+'42'!H24+'41'!H24</f>
        <v>3125</v>
      </c>
      <c r="I24" s="255">
        <f>+'45'!I24+'44'!I24+'43'!I24+'42'!I24+'41'!I24</f>
        <v>4069</v>
      </c>
      <c r="J24" s="340">
        <f>+'45'!J24+'44'!J24+'43'!J24+'42'!J24+'41'!J24</f>
        <v>4676</v>
      </c>
      <c r="K24" s="255">
        <f>+'45'!K24+'44'!K24+'43'!K24+'42'!K24+'41'!K24</f>
        <v>4793</v>
      </c>
      <c r="L24" s="255">
        <f>+'45'!L24+'44'!L24+'43'!L24+'42'!L24+'41'!L24</f>
        <v>7228</v>
      </c>
      <c r="M24" s="255">
        <f>+'45'!M24+'44'!M24+'43'!M24+'42'!M24+'41'!M24</f>
        <v>9221</v>
      </c>
      <c r="N24" s="323">
        <f>+'45'!N24+'44'!N24+'43'!N24+'42'!N24+'41'!N24</f>
        <v>9320</v>
      </c>
      <c r="O24" s="255">
        <f>+'45'!O24+'44'!O24+'43'!O24+'42'!O24+'41'!O24</f>
        <v>2450</v>
      </c>
      <c r="P24" s="255">
        <f>+'45'!P24+'44'!P24+'43'!P24+'42'!P24+'41'!P24</f>
        <v>4465</v>
      </c>
      <c r="Q24" s="255">
        <f>+'45'!Q24+'44'!Q24+'43'!Q24+'42'!Q24+'41'!Q24</f>
        <v>8123</v>
      </c>
      <c r="R24" s="323">
        <f>+'45'!R24+'44'!R24+'43'!R24+'42'!R24+'41'!R24</f>
        <v>6928</v>
      </c>
      <c r="S24" s="255">
        <f>+'45'!S24+'44'!S24+'43'!S24+'42'!S24+'41'!S24</f>
        <v>1046</v>
      </c>
      <c r="T24" s="255">
        <f>+'45'!T24+'44'!T24+'43'!T24+'42'!T24+'41'!T24</f>
        <v>1889</v>
      </c>
      <c r="U24" s="255">
        <f>+'45'!U24+'44'!U24+'43'!U24+'42'!U24+'41'!U24</f>
        <v>2020</v>
      </c>
      <c r="V24" s="323">
        <f>+'45'!V24+'44'!V24+'43'!V24+'42'!V24+'41'!V24</f>
        <v>2010</v>
      </c>
      <c r="W24" s="255">
        <f>+'45'!W24+'44'!W24+'43'!W24+'42'!W24+'41'!W24</f>
        <v>0</v>
      </c>
      <c r="X24" s="255">
        <f>+'45'!X24+'44'!X24+'43'!X24+'42'!X24+'41'!X24</f>
        <v>0</v>
      </c>
      <c r="Y24" s="255">
        <f>+'45'!Y24+'44'!Y24+'43'!Y24+'42'!Y24+'41'!Y24</f>
        <v>0</v>
      </c>
      <c r="Z24" s="323">
        <f>+'45'!Z24+'44'!Z24+'43'!Z24+'42'!Z24+'41'!Z24</f>
        <v>0</v>
      </c>
      <c r="AA24" s="254">
        <f t="shared" ref="AA24:AD30" si="27">+W24+S24+O24+K24+G24+C24</f>
        <v>24660</v>
      </c>
      <c r="AB24" s="255">
        <f t="shared" si="27"/>
        <v>39013</v>
      </c>
      <c r="AC24" s="255">
        <f t="shared" si="27"/>
        <v>52950</v>
      </c>
      <c r="AD24" s="323">
        <f t="shared" si="27"/>
        <v>50759</v>
      </c>
      <c r="AE24" s="255"/>
      <c r="AF24" s="255"/>
      <c r="AG24" s="255"/>
      <c r="AH24" s="255"/>
      <c r="AI24" s="255"/>
      <c r="AJ24" s="255"/>
      <c r="AK24" s="255"/>
      <c r="AL24" s="255"/>
      <c r="AM24" s="255"/>
      <c r="AN24" s="255"/>
      <c r="AO24" s="255"/>
      <c r="AP24" s="255"/>
      <c r="AQ24" s="335"/>
      <c r="AR24" s="335"/>
      <c r="AS24" s="335"/>
      <c r="AT24" s="335"/>
      <c r="AU24" s="335"/>
      <c r="AV24" s="335"/>
      <c r="AW24" s="335"/>
      <c r="AX24" s="335"/>
      <c r="AY24" s="335"/>
      <c r="AZ24" s="335"/>
      <c r="BA24" s="335"/>
      <c r="BB24" s="335"/>
      <c r="BC24" s="335"/>
      <c r="BD24" s="335"/>
      <c r="BE24" s="335"/>
      <c r="BF24" s="335"/>
      <c r="BG24" s="335"/>
      <c r="BH24" s="335"/>
      <c r="BI24" s="335"/>
      <c r="BJ24" s="335"/>
      <c r="BK24" s="335"/>
      <c r="BL24" s="335"/>
      <c r="BM24" s="335"/>
      <c r="BN24" s="335"/>
      <c r="BO24" s="335"/>
      <c r="BP24" s="335"/>
      <c r="BQ24" s="335"/>
      <c r="BR24" s="335"/>
      <c r="BS24" s="335"/>
      <c r="BT24" s="335"/>
    </row>
    <row r="25" spans="1:72" s="332" customFormat="1" ht="22.5" customHeight="1">
      <c r="A25" s="322"/>
      <c r="B25" s="211" t="s">
        <v>1175</v>
      </c>
      <c r="C25" s="255">
        <f>+'45'!C25+'44'!C25+'43'!C25+'42'!C25+'41'!C25</f>
        <v>24963</v>
      </c>
      <c r="D25" s="255">
        <f>+'45'!D25+'44'!D25+'43'!D25+'42'!D25+'41'!D25</f>
        <v>27948</v>
      </c>
      <c r="E25" s="255">
        <f>+'45'!E25+'44'!E25+'43'!E25+'42'!E25+'41'!E25</f>
        <v>37415</v>
      </c>
      <c r="F25" s="340">
        <f>+'45'!F25+'44'!F25+'43'!F25+'42'!F25+'41'!F25</f>
        <v>37499</v>
      </c>
      <c r="G25" s="255">
        <f>+'45'!G25+'44'!G25+'43'!G25+'42'!G25+'41'!G25</f>
        <v>3400</v>
      </c>
      <c r="H25" s="255">
        <f>+'45'!H25+'44'!H25+'43'!H25+'42'!H25+'41'!H25</f>
        <v>2249</v>
      </c>
      <c r="I25" s="255">
        <f>+'45'!I25+'44'!I25+'43'!I25+'42'!I25+'41'!I25</f>
        <v>8833</v>
      </c>
      <c r="J25" s="340">
        <f>+'45'!J25+'44'!J25+'43'!J25+'42'!J25+'41'!J25</f>
        <v>11902</v>
      </c>
      <c r="K25" s="255">
        <f>+'45'!K25+'44'!K25+'43'!K25+'42'!K25+'41'!K25</f>
        <v>6160</v>
      </c>
      <c r="L25" s="255">
        <f>+'45'!L25+'44'!L25+'43'!L25+'42'!L25+'41'!L25</f>
        <v>6917</v>
      </c>
      <c r="M25" s="255">
        <f>+'45'!M25+'44'!M25+'43'!M25+'42'!M25+'41'!M25</f>
        <v>11535</v>
      </c>
      <c r="N25" s="323">
        <f>+'45'!N25+'44'!N25+'43'!N25+'42'!N25+'41'!N25</f>
        <v>17308</v>
      </c>
      <c r="O25" s="255">
        <f>+'45'!O25+'44'!O25+'43'!O25+'42'!O25+'41'!O25</f>
        <v>1550</v>
      </c>
      <c r="P25" s="255">
        <f>+'45'!P25+'44'!P25+'43'!P25+'42'!P25+'41'!P25</f>
        <v>2032</v>
      </c>
      <c r="Q25" s="255">
        <f>+'45'!Q25+'44'!Q25+'43'!Q25+'42'!Q25+'41'!Q25</f>
        <v>3316</v>
      </c>
      <c r="R25" s="323">
        <f>+'45'!R25+'44'!R25+'43'!R25+'42'!R25+'41'!R25</f>
        <v>3309</v>
      </c>
      <c r="S25" s="255">
        <f>+'45'!S25+'44'!S25+'43'!S25+'42'!S25+'41'!S25</f>
        <v>1260</v>
      </c>
      <c r="T25" s="255">
        <f>+'45'!T25+'44'!T25+'43'!T25+'42'!T25+'41'!T25</f>
        <v>1760</v>
      </c>
      <c r="U25" s="255">
        <f>+'45'!U25+'44'!U25+'43'!U25+'42'!U25+'41'!U25</f>
        <v>2964</v>
      </c>
      <c r="V25" s="323">
        <f>+'45'!V25+'44'!V25+'43'!V25+'42'!V25+'41'!V25</f>
        <v>3791</v>
      </c>
      <c r="W25" s="255">
        <f>+'45'!W25+'44'!W25+'43'!W25+'42'!W25+'41'!W25</f>
        <v>1</v>
      </c>
      <c r="X25" s="255">
        <f>+'45'!X25+'44'!X25+'43'!X25+'42'!X25+'41'!X25</f>
        <v>0</v>
      </c>
      <c r="Y25" s="255">
        <f>+'45'!Y25+'44'!Y25+'43'!Y25+'42'!Y25+'41'!Y25</f>
        <v>44</v>
      </c>
      <c r="Z25" s="323">
        <f>+'45'!Z25+'44'!Z25+'43'!Z25+'42'!Z25+'41'!Z25</f>
        <v>0</v>
      </c>
      <c r="AA25" s="254">
        <f t="shared" si="27"/>
        <v>37334</v>
      </c>
      <c r="AB25" s="255">
        <f t="shared" si="27"/>
        <v>40906</v>
      </c>
      <c r="AC25" s="255">
        <f t="shared" si="27"/>
        <v>64107</v>
      </c>
      <c r="AD25" s="323">
        <f t="shared" si="27"/>
        <v>73809</v>
      </c>
      <c r="AE25" s="255"/>
      <c r="AF25" s="255"/>
      <c r="AG25" s="255"/>
      <c r="AH25" s="255"/>
      <c r="AI25" s="255"/>
      <c r="AJ25" s="255"/>
      <c r="AK25" s="255"/>
      <c r="AL25" s="255"/>
      <c r="AM25" s="255"/>
      <c r="AN25" s="255"/>
      <c r="AO25" s="255"/>
      <c r="AP25" s="255"/>
      <c r="AQ25" s="335"/>
      <c r="AR25" s="335"/>
      <c r="AS25" s="335"/>
      <c r="AT25" s="335"/>
      <c r="AU25" s="335"/>
      <c r="AV25" s="335"/>
      <c r="AW25" s="335"/>
      <c r="AX25" s="335"/>
      <c r="AY25" s="335"/>
      <c r="AZ25" s="335"/>
      <c r="BA25" s="335"/>
      <c r="BB25" s="335"/>
      <c r="BC25" s="335"/>
      <c r="BD25" s="335"/>
      <c r="BE25" s="335"/>
      <c r="BF25" s="335"/>
      <c r="BG25" s="335"/>
      <c r="BH25" s="335"/>
      <c r="BI25" s="335"/>
      <c r="BJ25" s="335"/>
      <c r="BK25" s="335"/>
      <c r="BL25" s="335"/>
      <c r="BM25" s="335"/>
      <c r="BN25" s="335"/>
      <c r="BO25" s="335"/>
      <c r="BP25" s="335"/>
      <c r="BQ25" s="335"/>
      <c r="BR25" s="335"/>
      <c r="BS25" s="335"/>
      <c r="BT25" s="335"/>
    </row>
    <row r="26" spans="1:72" s="332" customFormat="1" ht="22.5" customHeight="1">
      <c r="A26" s="322"/>
      <c r="B26" s="243" t="s">
        <v>489</v>
      </c>
      <c r="C26" s="255">
        <f>+'45'!C26+'44'!C26+'43'!C26+'42'!C26+'41'!C26</f>
        <v>3367</v>
      </c>
      <c r="D26" s="255">
        <f>+'45'!D26+'44'!D26+'43'!D26+'42'!D26+'41'!D26</f>
        <v>4510</v>
      </c>
      <c r="E26" s="255">
        <f>+'45'!E26+'44'!E26+'43'!E26+'42'!E26+'41'!E26</f>
        <v>5764</v>
      </c>
      <c r="F26" s="340">
        <f>+'45'!F26+'44'!F26+'43'!F26+'42'!F26+'41'!F26</f>
        <v>5606</v>
      </c>
      <c r="G26" s="255">
        <f>+'45'!G26+'44'!G26+'43'!G26+'42'!G26+'41'!G26</f>
        <v>426</v>
      </c>
      <c r="H26" s="255">
        <f>+'45'!H26+'44'!H26+'43'!H26+'42'!H26+'41'!H26</f>
        <v>487</v>
      </c>
      <c r="I26" s="255">
        <f>+'45'!I26+'44'!I26+'43'!I26+'42'!I26+'41'!I26</f>
        <v>988</v>
      </c>
      <c r="J26" s="340">
        <f>+'45'!J26+'44'!J26+'43'!J26+'42'!J26+'41'!J26</f>
        <v>1156</v>
      </c>
      <c r="K26" s="255">
        <f>+'45'!K26+'44'!K26+'43'!K26+'42'!K26+'41'!K26</f>
        <v>473</v>
      </c>
      <c r="L26" s="255">
        <f>+'45'!L26+'44'!L26+'43'!L26+'42'!L26+'41'!L26</f>
        <v>881</v>
      </c>
      <c r="M26" s="255">
        <f>+'45'!M26+'44'!M26+'43'!M26+'42'!M26+'41'!M26</f>
        <v>1264</v>
      </c>
      <c r="N26" s="323">
        <f>+'45'!N26+'44'!N26+'43'!N26+'42'!N26+'41'!N26</f>
        <v>1556</v>
      </c>
      <c r="O26" s="255">
        <f>+'45'!O26+'44'!O26+'43'!O26+'42'!O26+'41'!O26</f>
        <v>129</v>
      </c>
      <c r="P26" s="255">
        <f>+'45'!P26+'44'!P26+'43'!P26+'42'!P26+'41'!P26</f>
        <v>380</v>
      </c>
      <c r="Q26" s="255">
        <f>+'45'!Q26+'44'!Q26+'43'!Q26+'42'!Q26+'41'!Q26</f>
        <v>510</v>
      </c>
      <c r="R26" s="323">
        <f>+'45'!R26+'44'!R26+'43'!R26+'42'!R26+'41'!R26</f>
        <v>566</v>
      </c>
      <c r="S26" s="255">
        <f>+'45'!S26+'44'!S26+'43'!S26+'42'!S26+'41'!S26</f>
        <v>174</v>
      </c>
      <c r="T26" s="255">
        <f>+'45'!T26+'44'!T26+'43'!T26+'42'!T26+'41'!T26</f>
        <v>153</v>
      </c>
      <c r="U26" s="255">
        <f>+'45'!U26+'44'!U26+'43'!U26+'42'!U26+'41'!U26</f>
        <v>246</v>
      </c>
      <c r="V26" s="323">
        <f>+'45'!V26+'44'!V26+'43'!V26+'42'!V26+'41'!V26</f>
        <v>369</v>
      </c>
      <c r="W26" s="255">
        <f>+'45'!W26+'44'!W26+'43'!W26+'42'!W26+'41'!W26</f>
        <v>0</v>
      </c>
      <c r="X26" s="255">
        <f>+'45'!X26+'44'!X26+'43'!X26+'42'!X26+'41'!X26</f>
        <v>0</v>
      </c>
      <c r="Y26" s="255">
        <f>+'45'!Y26+'44'!Y26+'43'!Y26+'42'!Y26+'41'!Y26</f>
        <v>0</v>
      </c>
      <c r="Z26" s="323">
        <f>+'45'!Z26+'44'!Z26+'43'!Z26+'42'!Z26+'41'!Z26</f>
        <v>0</v>
      </c>
      <c r="AA26" s="254">
        <f t="shared" si="27"/>
        <v>4569</v>
      </c>
      <c r="AB26" s="255">
        <f t="shared" si="27"/>
        <v>6411</v>
      </c>
      <c r="AC26" s="255">
        <f t="shared" si="27"/>
        <v>8772</v>
      </c>
      <c r="AD26" s="323">
        <f t="shared" si="27"/>
        <v>9253</v>
      </c>
      <c r="AE26" s="255"/>
      <c r="AF26" s="255"/>
      <c r="AG26" s="255"/>
      <c r="AH26" s="255"/>
      <c r="AI26" s="255"/>
      <c r="AJ26" s="255"/>
      <c r="AK26" s="255"/>
      <c r="AL26" s="255"/>
      <c r="AM26" s="255"/>
      <c r="AN26" s="255"/>
      <c r="AO26" s="255"/>
      <c r="AP26" s="255"/>
      <c r="AQ26" s="335"/>
      <c r="AR26" s="335"/>
      <c r="AS26" s="335"/>
      <c r="AT26" s="335"/>
      <c r="AU26" s="335"/>
      <c r="AV26" s="335"/>
      <c r="AW26" s="335"/>
      <c r="AX26" s="335"/>
      <c r="AY26" s="335"/>
      <c r="AZ26" s="335"/>
      <c r="BA26" s="335"/>
      <c r="BB26" s="335"/>
      <c r="BC26" s="335"/>
      <c r="BD26" s="335"/>
      <c r="BE26" s="335"/>
      <c r="BF26" s="335"/>
      <c r="BG26" s="335"/>
      <c r="BH26" s="335"/>
      <c r="BI26" s="335"/>
      <c r="BJ26" s="335"/>
      <c r="BK26" s="335"/>
      <c r="BL26" s="335"/>
      <c r="BM26" s="335"/>
      <c r="BN26" s="335"/>
      <c r="BO26" s="335"/>
      <c r="BP26" s="335"/>
      <c r="BQ26" s="335"/>
      <c r="BR26" s="335"/>
      <c r="BS26" s="335"/>
      <c r="BT26" s="335"/>
    </row>
    <row r="27" spans="1:72" s="332" customFormat="1" ht="22.5" customHeight="1">
      <c r="A27" s="322"/>
      <c r="B27" s="211" t="s">
        <v>1338</v>
      </c>
      <c r="C27" s="255">
        <f>+'45'!C27+'44'!C27+'43'!C27+'42'!C27+'41'!C27</f>
        <v>230</v>
      </c>
      <c r="D27" s="255">
        <f>+'45'!D27+'44'!D27+'43'!D27+'42'!D27+'41'!D27</f>
        <v>1072</v>
      </c>
      <c r="E27" s="255">
        <f>+'45'!E27+'44'!E27+'43'!E27+'42'!E27+'41'!E27</f>
        <v>1469</v>
      </c>
      <c r="F27" s="340">
        <f>+'45'!F27+'44'!F27+'43'!F27+'42'!F27+'41'!F27</f>
        <v>1799</v>
      </c>
      <c r="G27" s="255">
        <f>+'45'!G27+'44'!G27+'43'!G27+'42'!G27+'41'!G27</f>
        <v>0</v>
      </c>
      <c r="H27" s="255">
        <f>+'45'!H27+'44'!H27+'43'!H27+'42'!H27+'41'!H27</f>
        <v>0</v>
      </c>
      <c r="I27" s="255">
        <f>+'45'!I27+'44'!I27+'43'!I27+'42'!I27+'41'!I27</f>
        <v>0</v>
      </c>
      <c r="J27" s="340">
        <f>+'45'!J27+'44'!J27+'43'!J27+'42'!J27+'41'!J27</f>
        <v>0</v>
      </c>
      <c r="K27" s="255">
        <f>+'45'!K27+'44'!K27+'43'!K27+'42'!K27+'41'!K27</f>
        <v>0</v>
      </c>
      <c r="L27" s="255">
        <f>+'45'!L27+'44'!L27+'43'!L27+'42'!L27+'41'!L27</f>
        <v>0</v>
      </c>
      <c r="M27" s="255">
        <f>+'45'!M27+'44'!M27+'43'!M27+'42'!M27+'41'!M27</f>
        <v>0</v>
      </c>
      <c r="N27" s="323">
        <f>+'45'!N27+'44'!N27+'43'!N27+'42'!N27+'41'!N27</f>
        <v>0</v>
      </c>
      <c r="O27" s="255">
        <f>+'45'!O27+'44'!O27+'43'!O27+'42'!O27+'41'!O27</f>
        <v>0</v>
      </c>
      <c r="P27" s="255">
        <f>+'45'!P27+'44'!P27+'43'!P27+'42'!P27+'41'!P27</f>
        <v>0</v>
      </c>
      <c r="Q27" s="255">
        <f>+'45'!Q27+'44'!Q27+'43'!Q27+'42'!Q27+'41'!Q27</f>
        <v>0</v>
      </c>
      <c r="R27" s="323">
        <f>+'45'!R27+'44'!R27+'43'!R27+'42'!R27+'41'!R27</f>
        <v>0</v>
      </c>
      <c r="S27" s="255">
        <f>+'45'!S27+'44'!S27+'43'!S27+'42'!S27+'41'!S27</f>
        <v>0</v>
      </c>
      <c r="T27" s="255">
        <f>+'45'!T27+'44'!T27+'43'!T27+'42'!T27+'41'!T27</f>
        <v>0</v>
      </c>
      <c r="U27" s="255">
        <f>+'45'!U27+'44'!U27+'43'!U27+'42'!U27+'41'!U27</f>
        <v>0</v>
      </c>
      <c r="V27" s="323">
        <f>+'45'!V27+'44'!V27+'43'!V27+'42'!V27+'41'!V27</f>
        <v>0</v>
      </c>
      <c r="W27" s="255">
        <f>+'45'!W27+'44'!W27+'43'!W27+'42'!W27+'41'!W27</f>
        <v>0</v>
      </c>
      <c r="X27" s="255">
        <f>+'45'!X27+'44'!X27+'43'!X27+'42'!X27+'41'!X27</f>
        <v>0</v>
      </c>
      <c r="Y27" s="255">
        <f>+'45'!Y27+'44'!Y27+'43'!Y27+'42'!Y27+'41'!Y27</f>
        <v>0</v>
      </c>
      <c r="Z27" s="323">
        <f>+'45'!Z27+'44'!Z27+'43'!Z27+'42'!Z27+'41'!Z27</f>
        <v>0</v>
      </c>
      <c r="AA27" s="254">
        <f t="shared" si="27"/>
        <v>230</v>
      </c>
      <c r="AB27" s="255">
        <f t="shared" si="27"/>
        <v>1072</v>
      </c>
      <c r="AC27" s="255">
        <f t="shared" si="27"/>
        <v>1469</v>
      </c>
      <c r="AD27" s="323">
        <f t="shared" si="27"/>
        <v>1799</v>
      </c>
      <c r="AE27" s="255"/>
      <c r="AF27" s="255"/>
      <c r="AG27" s="255"/>
      <c r="AH27" s="255"/>
      <c r="AI27" s="255"/>
      <c r="AJ27" s="255"/>
      <c r="AK27" s="255"/>
      <c r="AL27" s="255"/>
      <c r="AM27" s="255"/>
      <c r="AN27" s="255"/>
      <c r="AO27" s="255"/>
      <c r="AP27" s="25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Q27" s="335"/>
      <c r="BR27" s="335"/>
      <c r="BS27" s="335"/>
      <c r="BT27" s="335"/>
    </row>
    <row r="28" spans="1:72" s="332" customFormat="1" ht="22.5" customHeight="1">
      <c r="A28" s="322"/>
      <c r="B28" s="211" t="s">
        <v>1059</v>
      </c>
      <c r="C28" s="255">
        <f>+'45'!C28+'44'!C28+'43'!C28+'42'!C28+'41'!C28</f>
        <v>0</v>
      </c>
      <c r="D28" s="255">
        <f>+'45'!D28+'44'!D28+'43'!D28+'42'!D28+'41'!D28</f>
        <v>0</v>
      </c>
      <c r="E28" s="255">
        <f>+'45'!E28+'44'!E28+'43'!E28+'42'!E28+'41'!E28</f>
        <v>0</v>
      </c>
      <c r="F28" s="340">
        <f>+'45'!F28+'44'!F28+'43'!F28+'42'!F28+'41'!F28</f>
        <v>0</v>
      </c>
      <c r="G28" s="255">
        <f>+'45'!G28+'44'!G28+'43'!G28+'42'!G28+'41'!G28</f>
        <v>0</v>
      </c>
      <c r="H28" s="255">
        <f>+'45'!H28+'44'!H28+'43'!H28+'42'!H28+'41'!H28</f>
        <v>0</v>
      </c>
      <c r="I28" s="255">
        <f>+'45'!I28+'44'!I28+'43'!I28+'42'!I28+'41'!I28</f>
        <v>0</v>
      </c>
      <c r="J28" s="340">
        <f>+'45'!J28+'44'!J28+'43'!J28+'42'!J28+'41'!J28</f>
        <v>0</v>
      </c>
      <c r="K28" s="255">
        <f>+'45'!K28+'44'!K28+'43'!K28+'42'!K28+'41'!K28</f>
        <v>0</v>
      </c>
      <c r="L28" s="255">
        <f>+'45'!L28+'44'!L28+'43'!L28+'42'!L28+'41'!L28</f>
        <v>0</v>
      </c>
      <c r="M28" s="255">
        <f>+'45'!M28+'44'!M28+'43'!M28+'42'!M28+'41'!M28</f>
        <v>0</v>
      </c>
      <c r="N28" s="323">
        <f>+'45'!N28+'44'!N28+'43'!N28+'42'!N28+'41'!N28</f>
        <v>0</v>
      </c>
      <c r="O28" s="255">
        <f>+'45'!O28+'44'!O28+'43'!O28+'42'!O28+'41'!O28</f>
        <v>0</v>
      </c>
      <c r="P28" s="255">
        <f>+'45'!P28+'44'!P28+'43'!P28+'42'!P28+'41'!P28</f>
        <v>0</v>
      </c>
      <c r="Q28" s="255">
        <f>+'45'!Q28+'44'!Q28+'43'!Q28+'42'!Q28+'41'!Q28</f>
        <v>0</v>
      </c>
      <c r="R28" s="323">
        <f>+'45'!R28+'44'!R28+'43'!R28+'42'!R28+'41'!R28</f>
        <v>0</v>
      </c>
      <c r="S28" s="255">
        <f>+'45'!S28+'44'!S28+'43'!S28+'42'!S28+'41'!S28</f>
        <v>169</v>
      </c>
      <c r="T28" s="255">
        <f>+'45'!T28+'44'!T28+'43'!T28+'42'!T28+'41'!T28</f>
        <v>167</v>
      </c>
      <c r="U28" s="255">
        <f>+'45'!U28+'44'!U28+'43'!U28+'42'!U28+'41'!U28</f>
        <v>317</v>
      </c>
      <c r="V28" s="323">
        <f>+'45'!V28+'44'!V28+'43'!V28+'42'!V28+'41'!V28</f>
        <v>485</v>
      </c>
      <c r="W28" s="255">
        <f>+'45'!W28+'44'!W28+'43'!W28+'42'!W28+'41'!W28</f>
        <v>0</v>
      </c>
      <c r="X28" s="255">
        <f>+'45'!X28+'44'!X28+'43'!X28+'42'!X28+'41'!X28</f>
        <v>0</v>
      </c>
      <c r="Y28" s="255">
        <f>+'45'!Y28+'44'!Y28+'43'!Y28+'42'!Y28+'41'!Y28</f>
        <v>0</v>
      </c>
      <c r="Z28" s="323">
        <f>+'45'!Z28+'44'!Z28+'43'!Z28+'42'!Z28+'41'!Z28</f>
        <v>0</v>
      </c>
      <c r="AA28" s="254">
        <f t="shared" si="27"/>
        <v>169</v>
      </c>
      <c r="AB28" s="255">
        <f t="shared" si="27"/>
        <v>167</v>
      </c>
      <c r="AC28" s="255">
        <f t="shared" si="27"/>
        <v>317</v>
      </c>
      <c r="AD28" s="323">
        <f t="shared" si="27"/>
        <v>485</v>
      </c>
      <c r="AE28" s="255"/>
      <c r="AF28" s="255"/>
      <c r="AG28" s="255"/>
      <c r="AH28" s="255"/>
      <c r="AI28" s="255"/>
      <c r="AJ28" s="255"/>
      <c r="AK28" s="255"/>
      <c r="AL28" s="255"/>
      <c r="AM28" s="255"/>
      <c r="AN28" s="255"/>
      <c r="AO28" s="255"/>
      <c r="AP28" s="255"/>
      <c r="AQ28" s="335"/>
      <c r="AR28" s="335"/>
      <c r="AS28" s="335"/>
      <c r="AT28" s="335"/>
      <c r="AU28" s="335"/>
      <c r="AV28" s="335"/>
      <c r="AW28" s="335"/>
      <c r="AX28" s="335"/>
      <c r="AY28" s="335"/>
      <c r="AZ28" s="335"/>
      <c r="BA28" s="335"/>
      <c r="BB28" s="335"/>
      <c r="BC28" s="335"/>
      <c r="BD28" s="335"/>
      <c r="BE28" s="335"/>
      <c r="BF28" s="335"/>
      <c r="BG28" s="335"/>
      <c r="BH28" s="335"/>
      <c r="BI28" s="335"/>
      <c r="BJ28" s="335"/>
      <c r="BK28" s="335"/>
      <c r="BL28" s="335"/>
      <c r="BM28" s="335"/>
      <c r="BN28" s="335"/>
      <c r="BO28" s="335"/>
      <c r="BP28" s="335"/>
      <c r="BQ28" s="335"/>
      <c r="BR28" s="335"/>
      <c r="BS28" s="335"/>
      <c r="BT28" s="335"/>
    </row>
    <row r="29" spans="1:72" s="332" customFormat="1" ht="22.5" customHeight="1">
      <c r="A29" s="322"/>
      <c r="B29" s="211" t="s">
        <v>1337</v>
      </c>
      <c r="C29" s="255">
        <f>+'45'!C29+'44'!C29+'43'!C29+'42'!C29+'41'!C29</f>
        <v>0</v>
      </c>
      <c r="D29" s="255">
        <f>+'45'!D29+'44'!D29+'43'!D29+'42'!D29+'41'!D29</f>
        <v>35</v>
      </c>
      <c r="E29" s="255">
        <f>+'45'!E29+'44'!E29+'43'!E29+'42'!E29+'41'!E29</f>
        <v>0</v>
      </c>
      <c r="F29" s="340">
        <f>+'45'!F29+'44'!F29+'43'!F29+'42'!F29+'41'!F29</f>
        <v>0</v>
      </c>
      <c r="G29" s="255">
        <f>+'45'!G29+'44'!G29+'43'!G29+'42'!G29+'41'!G29</f>
        <v>3737</v>
      </c>
      <c r="H29" s="255">
        <f>+'45'!H29+'44'!H29+'43'!H29+'42'!H29+'41'!H29</f>
        <v>2422</v>
      </c>
      <c r="I29" s="255">
        <f>+'45'!I29+'44'!I29+'43'!I29+'42'!I29+'41'!I29</f>
        <v>2782</v>
      </c>
      <c r="J29" s="340">
        <f>+'45'!J29+'44'!J29+'43'!J29+'42'!J29+'41'!J29</f>
        <v>3571</v>
      </c>
      <c r="K29" s="255">
        <f>+'45'!K29+'44'!K29+'43'!K29+'42'!K29+'41'!K29</f>
        <v>0</v>
      </c>
      <c r="L29" s="255">
        <f>+'45'!L29+'44'!L29+'43'!L29+'42'!L29+'41'!L29</f>
        <v>0</v>
      </c>
      <c r="M29" s="255">
        <f>+'45'!M29+'44'!M29+'43'!M29+'42'!M29+'41'!M29</f>
        <v>0</v>
      </c>
      <c r="N29" s="323">
        <f>+'45'!N29+'44'!N29+'43'!N29+'42'!N29+'41'!N29</f>
        <v>0</v>
      </c>
      <c r="O29" s="255">
        <f>+'45'!O29+'44'!O29+'43'!O29+'42'!O29+'41'!O29</f>
        <v>0</v>
      </c>
      <c r="P29" s="255">
        <f>+'45'!P29+'44'!P29+'43'!P29+'42'!P29+'41'!P29</f>
        <v>0</v>
      </c>
      <c r="Q29" s="255">
        <f>+'45'!Q29+'44'!Q29+'43'!Q29+'42'!Q29+'41'!Q29</f>
        <v>0</v>
      </c>
      <c r="R29" s="323">
        <f>+'45'!R29+'44'!R29+'43'!R29+'42'!R29+'41'!R29</f>
        <v>0</v>
      </c>
      <c r="S29" s="255">
        <f>+'45'!S29+'44'!S29+'43'!S29+'42'!S29+'41'!S29</f>
        <v>319</v>
      </c>
      <c r="T29" s="255">
        <f>+'45'!T29+'44'!T29+'43'!T29+'42'!T29+'41'!T29</f>
        <v>999</v>
      </c>
      <c r="U29" s="255">
        <f>+'45'!U29+'44'!U29+'43'!U29+'42'!U29+'41'!U29</f>
        <v>1173</v>
      </c>
      <c r="V29" s="323">
        <f>+'45'!V29+'44'!V29+'43'!V29+'42'!V29+'41'!V29</f>
        <v>1294</v>
      </c>
      <c r="W29" s="255">
        <f>+'45'!W29+'44'!W29+'43'!W29+'42'!W29+'41'!W29</f>
        <v>3372</v>
      </c>
      <c r="X29" s="255">
        <f>+'45'!X29+'44'!X29+'43'!X29+'42'!X29+'41'!X29</f>
        <v>4369</v>
      </c>
      <c r="Y29" s="255">
        <f>+'45'!Y29+'44'!Y29+'43'!Y29+'42'!Y29+'41'!Y29</f>
        <v>4150</v>
      </c>
      <c r="Z29" s="323">
        <f>+'45'!Z29+'44'!Z29+'43'!Z29+'42'!Z29+'41'!Z29</f>
        <v>0</v>
      </c>
      <c r="AA29" s="254">
        <f t="shared" si="27"/>
        <v>7428</v>
      </c>
      <c r="AB29" s="255">
        <f t="shared" si="27"/>
        <v>7825</v>
      </c>
      <c r="AC29" s="255">
        <f t="shared" si="27"/>
        <v>8105</v>
      </c>
      <c r="AD29" s="323">
        <f t="shared" si="27"/>
        <v>4865</v>
      </c>
      <c r="AE29" s="255"/>
      <c r="AF29" s="255"/>
      <c r="AG29" s="255"/>
      <c r="AH29" s="255"/>
      <c r="AI29" s="255"/>
      <c r="AJ29" s="255"/>
      <c r="AK29" s="255"/>
      <c r="AL29" s="255"/>
      <c r="AM29" s="255"/>
      <c r="AN29" s="255"/>
      <c r="AO29" s="255"/>
      <c r="AP29" s="255"/>
      <c r="AQ29" s="335"/>
      <c r="AR29" s="335"/>
      <c r="AS29" s="335"/>
      <c r="AT29" s="335"/>
      <c r="AU29" s="335"/>
      <c r="AV29" s="335"/>
      <c r="AW29" s="335"/>
      <c r="AX29" s="335"/>
      <c r="AY29" s="335"/>
      <c r="AZ29" s="335"/>
      <c r="BA29" s="335"/>
      <c r="BB29" s="335"/>
      <c r="BC29" s="335"/>
      <c r="BD29" s="335"/>
      <c r="BE29" s="335"/>
      <c r="BF29" s="335"/>
      <c r="BG29" s="335"/>
      <c r="BH29" s="335"/>
      <c r="BI29" s="335"/>
      <c r="BJ29" s="335"/>
      <c r="BK29" s="335"/>
      <c r="BL29" s="335"/>
      <c r="BM29" s="335"/>
      <c r="BN29" s="335"/>
      <c r="BO29" s="335"/>
      <c r="BP29" s="335"/>
      <c r="BQ29" s="335"/>
      <c r="BR29" s="335"/>
      <c r="BS29" s="335"/>
      <c r="BT29" s="335"/>
    </row>
    <row r="30" spans="1:72" s="332" customFormat="1" ht="22.5" customHeight="1">
      <c r="A30" s="322"/>
      <c r="B30" s="243" t="s">
        <v>747</v>
      </c>
      <c r="C30" s="255">
        <f>+'45'!C30+'44'!C30+'43'!C30+'42'!C30+'41'!C30</f>
        <v>5544</v>
      </c>
      <c r="D30" s="255">
        <f>+'45'!D30+'44'!D30+'43'!D30+'42'!D30+'41'!D30</f>
        <v>9218</v>
      </c>
      <c r="E30" s="255">
        <f>+'45'!E30+'44'!E30+'43'!E30+'42'!E30+'41'!E30</f>
        <v>10953</v>
      </c>
      <c r="F30" s="340">
        <f>+'45'!F30+'44'!F30+'43'!F30+'42'!F30+'41'!F30</f>
        <v>8716</v>
      </c>
      <c r="G30" s="255">
        <f>+'45'!G30+'44'!G30+'43'!G30+'42'!G30+'41'!G30</f>
        <v>1321</v>
      </c>
      <c r="H30" s="255">
        <f>+'45'!H30+'44'!H30+'43'!H30+'42'!H30+'41'!H30</f>
        <v>2508</v>
      </c>
      <c r="I30" s="255">
        <f>+'45'!I30+'44'!I30+'43'!I30+'42'!I30+'41'!I30</f>
        <v>2916</v>
      </c>
      <c r="J30" s="340">
        <f>+'45'!J30+'44'!J30+'43'!J30+'42'!J30+'41'!J30</f>
        <v>3522</v>
      </c>
      <c r="K30" s="255">
        <f>+'45'!K30+'44'!K30+'43'!K30+'42'!K30+'41'!K30</f>
        <v>1697</v>
      </c>
      <c r="L30" s="255">
        <f>+'45'!L30+'44'!L30+'43'!L30+'42'!L30+'41'!L30</f>
        <v>3213</v>
      </c>
      <c r="M30" s="255">
        <f>+'45'!M30+'44'!M30+'43'!M30+'42'!M30+'41'!M30</f>
        <v>3790</v>
      </c>
      <c r="N30" s="323">
        <f>+'45'!N30+'44'!N30+'43'!N30+'42'!N30+'41'!N30</f>
        <v>4511</v>
      </c>
      <c r="O30" s="255">
        <f>+'45'!O30+'44'!O30+'43'!O30+'42'!O30+'41'!O30</f>
        <v>452</v>
      </c>
      <c r="P30" s="255">
        <f>+'45'!P30+'44'!P30+'43'!P30+'42'!P30+'41'!P30</f>
        <v>1088</v>
      </c>
      <c r="Q30" s="255">
        <f>+'45'!Q30+'44'!Q30+'43'!Q30+'42'!Q30+'41'!Q30</f>
        <v>1503</v>
      </c>
      <c r="R30" s="323">
        <f>+'45'!R30+'44'!R30+'43'!R30+'42'!R30+'41'!R30</f>
        <v>1521</v>
      </c>
      <c r="S30" s="255">
        <f>+'45'!S30+'44'!S30+'43'!S30+'42'!S30+'41'!S30</f>
        <v>364</v>
      </c>
      <c r="T30" s="255">
        <f>+'45'!T30+'44'!T30+'43'!T30+'42'!T30+'41'!T30</f>
        <v>569</v>
      </c>
      <c r="U30" s="255">
        <f>+'45'!U30+'44'!U30+'43'!U30+'42'!U30+'41'!U30</f>
        <v>597</v>
      </c>
      <c r="V30" s="323">
        <f>+'45'!V30+'44'!V30+'43'!V30+'42'!V30+'41'!V30</f>
        <v>554</v>
      </c>
      <c r="W30" s="255">
        <f>+'45'!W30+'44'!W30+'43'!W30+'42'!W30+'41'!W30</f>
        <v>0</v>
      </c>
      <c r="X30" s="255">
        <f>+'45'!X30+'44'!X30+'43'!X30+'42'!X30+'41'!X30</f>
        <v>0</v>
      </c>
      <c r="Y30" s="255">
        <f>+'45'!Y30+'44'!Y30+'43'!Y30+'42'!Y30+'41'!Y30</f>
        <v>0</v>
      </c>
      <c r="Z30" s="323">
        <f>+'45'!Z30+'44'!Z30+'43'!Z30+'42'!Z30+'41'!Z30</f>
        <v>0</v>
      </c>
      <c r="AA30" s="254">
        <f t="shared" si="27"/>
        <v>9378</v>
      </c>
      <c r="AB30" s="255">
        <f t="shared" si="27"/>
        <v>16596</v>
      </c>
      <c r="AC30" s="255">
        <f t="shared" si="27"/>
        <v>19759</v>
      </c>
      <c r="AD30" s="323">
        <f t="shared" si="27"/>
        <v>18824</v>
      </c>
      <c r="AE30" s="255"/>
      <c r="AF30" s="255"/>
      <c r="AG30" s="255"/>
      <c r="AH30" s="255"/>
      <c r="AI30" s="255"/>
      <c r="AJ30" s="255"/>
      <c r="AK30" s="255"/>
      <c r="AL30" s="255"/>
      <c r="AM30" s="255"/>
      <c r="AN30" s="255"/>
      <c r="AO30" s="255"/>
      <c r="AP30" s="255"/>
      <c r="AQ30" s="335"/>
      <c r="AR30" s="335"/>
      <c r="AS30" s="335"/>
      <c r="AT30" s="335"/>
      <c r="AU30" s="335"/>
      <c r="AV30" s="335"/>
      <c r="AW30" s="335"/>
      <c r="AX30" s="335"/>
      <c r="AY30" s="335"/>
      <c r="AZ30" s="335"/>
      <c r="BA30" s="335"/>
      <c r="BB30" s="335"/>
      <c r="BC30" s="335"/>
      <c r="BD30" s="335"/>
      <c r="BE30" s="335"/>
      <c r="BF30" s="335"/>
      <c r="BG30" s="335"/>
      <c r="BH30" s="335"/>
      <c r="BI30" s="335"/>
      <c r="BJ30" s="335"/>
      <c r="BK30" s="335"/>
      <c r="BL30" s="335"/>
      <c r="BM30" s="335"/>
      <c r="BN30" s="335"/>
      <c r="BO30" s="335"/>
      <c r="BP30" s="335"/>
      <c r="BQ30" s="335"/>
      <c r="BR30" s="335"/>
      <c r="BS30" s="335"/>
      <c r="BT30" s="335"/>
    </row>
    <row r="31" spans="1:72" s="332" customFormat="1" ht="22.5" customHeight="1">
      <c r="A31" s="322"/>
      <c r="B31" s="1271" t="s">
        <v>582</v>
      </c>
      <c r="C31" s="1272">
        <f t="shared" ref="C31:AC31" si="28">SUM(C24:C30)</f>
        <v>48287</v>
      </c>
      <c r="D31" s="1272">
        <f t="shared" si="28"/>
        <v>65089</v>
      </c>
      <c r="E31" s="1272">
        <f>SUM(E24:E30)</f>
        <v>85118</v>
      </c>
      <c r="F31" s="1273">
        <f>SUM(F24:F30)</f>
        <v>81445</v>
      </c>
      <c r="G31" s="1272">
        <f t="shared" si="28"/>
        <v>11072</v>
      </c>
      <c r="H31" s="1272">
        <f t="shared" si="28"/>
        <v>10791</v>
      </c>
      <c r="I31" s="1272">
        <f>SUM(I24:I30)</f>
        <v>19588</v>
      </c>
      <c r="J31" s="1273">
        <f>SUM(J24:J30)</f>
        <v>24827</v>
      </c>
      <c r="K31" s="1272">
        <f t="shared" si="28"/>
        <v>13123</v>
      </c>
      <c r="L31" s="1272">
        <f t="shared" si="28"/>
        <v>18239</v>
      </c>
      <c r="M31" s="1272">
        <f>SUM(M24:M30)</f>
        <v>25810</v>
      </c>
      <c r="N31" s="1274">
        <f>SUM(N24:N30)</f>
        <v>32695</v>
      </c>
      <c r="O31" s="1272">
        <f t="shared" si="28"/>
        <v>4581</v>
      </c>
      <c r="P31" s="1272">
        <f t="shared" si="28"/>
        <v>7965</v>
      </c>
      <c r="Q31" s="1272">
        <f>SUM(Q24:Q30)</f>
        <v>13452</v>
      </c>
      <c r="R31" s="1274">
        <f>SUM(R24:R30)</f>
        <v>12324</v>
      </c>
      <c r="S31" s="1272">
        <f t="shared" si="28"/>
        <v>3332</v>
      </c>
      <c r="T31" s="1272">
        <f t="shared" si="28"/>
        <v>5537</v>
      </c>
      <c r="U31" s="1272">
        <f>SUM(U24:U30)</f>
        <v>7317</v>
      </c>
      <c r="V31" s="1274">
        <f>SUM(V24:V30)</f>
        <v>8503</v>
      </c>
      <c r="W31" s="1272">
        <f t="shared" si="28"/>
        <v>3373</v>
      </c>
      <c r="X31" s="1272">
        <f t="shared" si="28"/>
        <v>4369</v>
      </c>
      <c r="Y31" s="1272">
        <f>SUM(Y24:Y30)</f>
        <v>4194</v>
      </c>
      <c r="Z31" s="1274">
        <f>SUM(Z24:Z30)</f>
        <v>0</v>
      </c>
      <c r="AA31" s="1275">
        <f t="shared" si="28"/>
        <v>83768</v>
      </c>
      <c r="AB31" s="1272">
        <f t="shared" si="28"/>
        <v>111990</v>
      </c>
      <c r="AC31" s="1272">
        <f t="shared" si="28"/>
        <v>155479</v>
      </c>
      <c r="AD31" s="1274">
        <f t="shared" ref="AD31" si="29">SUM(AD24:AD30)</f>
        <v>159794</v>
      </c>
      <c r="AE31" s="255"/>
      <c r="AF31" s="255"/>
      <c r="AG31" s="255"/>
      <c r="AH31" s="255"/>
      <c r="AI31" s="255"/>
      <c r="AJ31" s="255"/>
      <c r="AK31" s="255"/>
      <c r="AL31" s="255"/>
      <c r="AM31" s="255"/>
      <c r="AN31" s="255"/>
      <c r="AO31" s="255"/>
      <c r="AP31" s="255"/>
      <c r="AQ31" s="335"/>
      <c r="AR31" s="335"/>
      <c r="AS31" s="335"/>
      <c r="AT31" s="335"/>
      <c r="AU31" s="335"/>
      <c r="AV31" s="335"/>
      <c r="AW31" s="335"/>
      <c r="AX31" s="335"/>
      <c r="AY31" s="335"/>
      <c r="AZ31" s="335"/>
      <c r="BA31" s="335"/>
      <c r="BB31" s="335"/>
      <c r="BC31" s="335"/>
      <c r="BD31" s="335"/>
      <c r="BE31" s="335"/>
      <c r="BF31" s="335"/>
      <c r="BG31" s="335"/>
      <c r="BH31" s="335"/>
      <c r="BI31" s="335"/>
      <c r="BJ31" s="335"/>
      <c r="BK31" s="335"/>
      <c r="BL31" s="335"/>
      <c r="BM31" s="335"/>
      <c r="BN31" s="335"/>
      <c r="BO31" s="335"/>
      <c r="BP31" s="335"/>
      <c r="BQ31" s="335"/>
      <c r="BR31" s="335"/>
      <c r="BS31" s="335"/>
      <c r="BT31" s="335"/>
    </row>
    <row r="32" spans="1:72" s="332" customFormat="1" ht="22.5" customHeight="1">
      <c r="A32" s="322" t="s">
        <v>484</v>
      </c>
      <c r="B32" s="243" t="s">
        <v>748</v>
      </c>
      <c r="C32" s="255">
        <f>+'45'!C32+'44'!C32+'43'!C32+'42'!C32+'41'!C32</f>
        <v>14581</v>
      </c>
      <c r="D32" s="255">
        <f>+'45'!D32+'44'!D32+'43'!D32+'42'!D32+'41'!D32</f>
        <v>15981</v>
      </c>
      <c r="E32" s="255">
        <f>+'45'!E32+'44'!E32+'43'!E32+'42'!E32+'41'!E32</f>
        <v>22988</v>
      </c>
      <c r="F32" s="340">
        <f>+'45'!F32+'44'!F32+'43'!F32+'42'!F32+'41'!F32</f>
        <v>27043</v>
      </c>
      <c r="G32" s="255">
        <f>+'45'!G32+'44'!G32+'43'!G32+'42'!G32+'41'!G32</f>
        <v>1809</v>
      </c>
      <c r="H32" s="255">
        <f>+'45'!H32+'44'!H32+'43'!H32+'42'!H32+'41'!H32</f>
        <v>2213</v>
      </c>
      <c r="I32" s="255">
        <f>+'45'!I32+'44'!I32+'43'!I32+'42'!I32+'41'!I32</f>
        <v>3619</v>
      </c>
      <c r="J32" s="340">
        <f>+'45'!J32+'44'!J32+'43'!J32+'42'!J32+'41'!J32</f>
        <v>4068</v>
      </c>
      <c r="K32" s="255">
        <f>+'45'!K32+'44'!K32+'43'!K32+'42'!K32+'41'!K32</f>
        <v>4054</v>
      </c>
      <c r="L32" s="255">
        <f>+'45'!L32+'44'!L32+'43'!L32+'42'!L32+'41'!L32</f>
        <v>4551</v>
      </c>
      <c r="M32" s="255">
        <f>+'45'!M32+'44'!M32+'43'!M32+'42'!M32+'41'!M32</f>
        <v>4907</v>
      </c>
      <c r="N32" s="323">
        <f>+'45'!N32+'44'!N32+'43'!N32+'42'!N32+'41'!N32</f>
        <v>5099</v>
      </c>
      <c r="O32" s="255">
        <f>+'45'!O32+'44'!O32+'43'!O32+'42'!O32+'41'!O32</f>
        <v>1013</v>
      </c>
      <c r="P32" s="255">
        <f>+'45'!P32+'44'!P32+'43'!P32+'42'!P32+'41'!P32</f>
        <v>1141</v>
      </c>
      <c r="Q32" s="255">
        <f>+'45'!Q32+'44'!Q32+'43'!Q32+'42'!Q32+'41'!Q32</f>
        <v>3437</v>
      </c>
      <c r="R32" s="323">
        <f>+'45'!R32+'44'!R32+'43'!R32+'42'!R32+'41'!R32</f>
        <v>3318</v>
      </c>
      <c r="S32" s="255">
        <f>+'45'!S32+'44'!S32+'43'!S32+'42'!S32+'41'!S32</f>
        <v>667</v>
      </c>
      <c r="T32" s="255">
        <f>+'45'!T32+'44'!T32+'43'!T32+'42'!T32+'41'!T32</f>
        <v>499</v>
      </c>
      <c r="U32" s="255">
        <f>+'45'!U32+'44'!U32+'43'!U32+'42'!U32+'41'!U32</f>
        <v>532</v>
      </c>
      <c r="V32" s="323">
        <f>+'45'!V32+'44'!V32+'43'!V32+'42'!V32+'41'!V32</f>
        <v>536</v>
      </c>
      <c r="W32" s="255">
        <f>+'45'!W32+'44'!W32+'43'!W32+'42'!W32+'41'!W32</f>
        <v>0</v>
      </c>
      <c r="X32" s="255">
        <f>+'45'!X32+'44'!X32+'43'!X32+'42'!X32+'41'!X32</f>
        <v>1</v>
      </c>
      <c r="Y32" s="255">
        <f>+'45'!Y32+'44'!Y32+'43'!Y32+'42'!Y32+'41'!Y32</f>
        <v>0</v>
      </c>
      <c r="Z32" s="323">
        <f>+'45'!Z32+'44'!Z32+'43'!Z32+'42'!Z32+'41'!Z32</f>
        <v>0</v>
      </c>
      <c r="AA32" s="254">
        <f t="shared" ref="AA32:AD36" si="30">+W32+S32+O32+K32+G32+C32</f>
        <v>22124</v>
      </c>
      <c r="AB32" s="255">
        <f t="shared" si="30"/>
        <v>24386</v>
      </c>
      <c r="AC32" s="255">
        <f t="shared" si="30"/>
        <v>35483</v>
      </c>
      <c r="AD32" s="323">
        <f t="shared" si="30"/>
        <v>40064</v>
      </c>
      <c r="AE32" s="255"/>
      <c r="AF32" s="255"/>
      <c r="AG32" s="255"/>
      <c r="AH32" s="255"/>
      <c r="AI32" s="255"/>
      <c r="AJ32" s="255"/>
      <c r="AK32" s="255"/>
      <c r="AL32" s="255"/>
      <c r="AM32" s="255"/>
      <c r="AN32" s="255"/>
      <c r="AO32" s="255"/>
      <c r="AP32" s="255"/>
      <c r="AQ32" s="335"/>
      <c r="AR32" s="335"/>
      <c r="AS32" s="335"/>
      <c r="AT32" s="335"/>
      <c r="AU32" s="335"/>
      <c r="AV32" s="335"/>
      <c r="AW32" s="335"/>
      <c r="AX32" s="335"/>
      <c r="AY32" s="335"/>
      <c r="AZ32" s="335"/>
      <c r="BA32" s="335"/>
      <c r="BB32" s="335"/>
      <c r="BC32" s="335"/>
      <c r="BD32" s="335"/>
      <c r="BE32" s="335"/>
      <c r="BF32" s="335"/>
      <c r="BG32" s="335"/>
      <c r="BH32" s="335"/>
      <c r="BI32" s="335"/>
      <c r="BJ32" s="335"/>
      <c r="BK32" s="335"/>
      <c r="BL32" s="335"/>
      <c r="BM32" s="335"/>
      <c r="BN32" s="335"/>
      <c r="BO32" s="335"/>
      <c r="BP32" s="335"/>
      <c r="BQ32" s="335"/>
      <c r="BR32" s="335"/>
      <c r="BS32" s="335"/>
      <c r="BT32" s="335"/>
    </row>
    <row r="33" spans="1:72" s="332" customFormat="1" ht="22.5" customHeight="1">
      <c r="A33" s="322"/>
      <c r="B33" s="211" t="s">
        <v>1296</v>
      </c>
      <c r="C33" s="255">
        <f>+'45'!C33+'44'!C33+'43'!C33+'42'!C33+'41'!C33</f>
        <v>2709</v>
      </c>
      <c r="D33" s="255">
        <f>+'45'!D33+'44'!D33+'43'!D33+'42'!D33+'41'!D33</f>
        <v>3051</v>
      </c>
      <c r="E33" s="255">
        <f>+'45'!E33+'44'!E33+'43'!E33+'42'!E33+'41'!E33</f>
        <v>3127</v>
      </c>
      <c r="F33" s="340">
        <f>+'45'!F33+'44'!F33+'43'!F33+'42'!F33+'41'!F33</f>
        <v>3049</v>
      </c>
      <c r="G33" s="255">
        <f>+'45'!G33+'44'!G33+'43'!G33+'42'!G33+'41'!G33</f>
        <v>273</v>
      </c>
      <c r="H33" s="255">
        <f>+'45'!H33+'44'!H33+'43'!H33+'42'!H33+'41'!H33</f>
        <v>414</v>
      </c>
      <c r="I33" s="255">
        <f>+'45'!I33+'44'!I33+'43'!I33+'42'!I33+'41'!I33</f>
        <v>637</v>
      </c>
      <c r="J33" s="340">
        <f>+'45'!J33+'44'!J33+'43'!J33+'42'!J33+'41'!J33</f>
        <v>1013</v>
      </c>
      <c r="K33" s="255">
        <f>+'45'!K33+'44'!K33+'43'!K33+'42'!K33+'41'!K33</f>
        <v>588</v>
      </c>
      <c r="L33" s="255">
        <f>+'45'!L33+'44'!L33+'43'!L33+'42'!L33+'41'!L33</f>
        <v>822</v>
      </c>
      <c r="M33" s="255">
        <f>+'45'!M33+'44'!M33+'43'!M33+'42'!M33+'41'!M33</f>
        <v>771</v>
      </c>
      <c r="N33" s="323">
        <f>+'45'!N33+'44'!N33+'43'!N33+'42'!N33+'41'!N33</f>
        <v>783</v>
      </c>
      <c r="O33" s="255">
        <f>+'45'!O33+'44'!O33+'43'!O33+'42'!O33+'41'!O33</f>
        <v>103</v>
      </c>
      <c r="P33" s="255">
        <f>+'45'!P33+'44'!P33+'43'!P33+'42'!P33+'41'!P33</f>
        <v>138</v>
      </c>
      <c r="Q33" s="255">
        <f>+'45'!Q33+'44'!Q33+'43'!Q33+'42'!Q33+'41'!Q33</f>
        <v>377</v>
      </c>
      <c r="R33" s="323">
        <f>+'45'!R33+'44'!R33+'43'!R33+'42'!R33+'41'!R33</f>
        <v>531</v>
      </c>
      <c r="S33" s="255">
        <f>+'45'!S33+'44'!S33+'43'!S33+'42'!S33+'41'!S33</f>
        <v>165</v>
      </c>
      <c r="T33" s="255">
        <f>+'45'!T33+'44'!T33+'43'!T33+'42'!T33+'41'!T33</f>
        <v>111</v>
      </c>
      <c r="U33" s="255">
        <f>+'45'!U33+'44'!U33+'43'!U33+'42'!U33+'41'!U33</f>
        <v>84</v>
      </c>
      <c r="V33" s="323">
        <f>+'45'!V33+'44'!V33+'43'!V33+'42'!V33+'41'!V33</f>
        <v>412</v>
      </c>
      <c r="W33" s="255">
        <f>+'45'!W33+'44'!W33+'43'!W33+'42'!W33+'41'!W33</f>
        <v>0</v>
      </c>
      <c r="X33" s="255">
        <f>+'45'!X33+'44'!X33+'43'!X33+'42'!X33+'41'!X33</f>
        <v>0</v>
      </c>
      <c r="Y33" s="255">
        <f>+'45'!Y33+'44'!Y33+'43'!Y33+'42'!Y33+'41'!Y33</f>
        <v>0</v>
      </c>
      <c r="Z33" s="323">
        <f>+'45'!Z33+'44'!Z33+'43'!Z33+'42'!Z33+'41'!Z33</f>
        <v>0</v>
      </c>
      <c r="AA33" s="254">
        <f t="shared" si="30"/>
        <v>3838</v>
      </c>
      <c r="AB33" s="255">
        <f t="shared" si="30"/>
        <v>4536</v>
      </c>
      <c r="AC33" s="255">
        <f t="shared" si="30"/>
        <v>4996</v>
      </c>
      <c r="AD33" s="323">
        <f t="shared" si="30"/>
        <v>5788</v>
      </c>
      <c r="AE33" s="255"/>
      <c r="AF33" s="255"/>
      <c r="AG33" s="255"/>
      <c r="AH33" s="255"/>
      <c r="AI33" s="255"/>
      <c r="AJ33" s="255"/>
      <c r="AK33" s="255"/>
      <c r="AL33" s="255"/>
      <c r="AM33" s="255"/>
      <c r="AN33" s="255"/>
      <c r="AO33" s="255"/>
      <c r="AP33" s="25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c r="BS33" s="335"/>
      <c r="BT33" s="335"/>
    </row>
    <row r="34" spans="1:72" s="332" customFormat="1" ht="22.5" customHeight="1">
      <c r="A34" s="322"/>
      <c r="B34" s="211" t="s">
        <v>1050</v>
      </c>
      <c r="C34" s="255">
        <f>+'45'!C34+'44'!C34+'43'!C34+'42'!C34+'41'!C34</f>
        <v>2989</v>
      </c>
      <c r="D34" s="255">
        <f>+'45'!D34+'44'!D34+'43'!D34+'42'!D34+'41'!D34</f>
        <v>3352</v>
      </c>
      <c r="E34" s="255">
        <f>+'45'!E34+'44'!E34+'43'!E34+'42'!E34+'41'!E34</f>
        <v>3638</v>
      </c>
      <c r="F34" s="340">
        <f>+'45'!F34+'44'!F34+'43'!F34+'42'!F34+'41'!F34</f>
        <v>5561</v>
      </c>
      <c r="G34" s="255">
        <f>+'45'!G34+'44'!G34+'43'!G34+'42'!G34+'41'!G34</f>
        <v>834</v>
      </c>
      <c r="H34" s="255">
        <f>+'45'!H34+'44'!H34+'43'!H34+'42'!H34+'41'!H34</f>
        <v>760</v>
      </c>
      <c r="I34" s="255">
        <f>+'45'!I34+'44'!I34+'43'!I34+'42'!I34+'41'!I34</f>
        <v>1365</v>
      </c>
      <c r="J34" s="340">
        <f>+'45'!J34+'44'!J34+'43'!J34+'42'!J34+'41'!J34</f>
        <v>1501</v>
      </c>
      <c r="K34" s="255">
        <f>+'45'!K34+'44'!K34+'43'!K34+'42'!K34+'41'!K34</f>
        <v>677</v>
      </c>
      <c r="L34" s="255">
        <f>+'45'!L34+'44'!L34+'43'!L34+'42'!L34+'41'!L34</f>
        <v>892</v>
      </c>
      <c r="M34" s="255">
        <f>+'45'!M34+'44'!M34+'43'!M34+'42'!M34+'41'!M34</f>
        <v>1049</v>
      </c>
      <c r="N34" s="323">
        <f>+'45'!N34+'44'!N34+'43'!N34+'42'!N34+'41'!N34</f>
        <v>981</v>
      </c>
      <c r="O34" s="255">
        <f>+'45'!O34+'44'!O34+'43'!O34+'42'!O34+'41'!O34</f>
        <v>452</v>
      </c>
      <c r="P34" s="255">
        <f>+'45'!P34+'44'!P34+'43'!P34+'42'!P34+'41'!P34</f>
        <v>645</v>
      </c>
      <c r="Q34" s="255">
        <f>+'45'!Q34+'44'!Q34+'43'!Q34+'42'!Q34+'41'!Q34</f>
        <v>973</v>
      </c>
      <c r="R34" s="323">
        <f>+'45'!R34+'44'!R34+'43'!R34+'42'!R34+'41'!R34</f>
        <v>1118</v>
      </c>
      <c r="S34" s="255">
        <f>+'45'!S34+'44'!S34+'43'!S34+'42'!S34+'41'!S34</f>
        <v>38</v>
      </c>
      <c r="T34" s="255">
        <f>+'45'!T34+'44'!T34+'43'!T34+'42'!T34+'41'!T34</f>
        <v>56</v>
      </c>
      <c r="U34" s="255">
        <f>+'45'!U34+'44'!U34+'43'!U34+'42'!U34+'41'!U34</f>
        <v>109</v>
      </c>
      <c r="V34" s="323">
        <f>+'45'!V34+'44'!V34+'43'!V34+'42'!V34+'41'!V34</f>
        <v>115</v>
      </c>
      <c r="W34" s="255">
        <f>+'45'!W34+'44'!W34+'43'!W34+'42'!W34+'41'!W34</f>
        <v>1</v>
      </c>
      <c r="X34" s="255">
        <f>+'45'!X34+'44'!X34+'43'!X34+'42'!X34+'41'!X34</f>
        <v>0</v>
      </c>
      <c r="Y34" s="255">
        <f>+'45'!Y34+'44'!Y34+'43'!Y34+'42'!Y34+'41'!Y34</f>
        <v>5</v>
      </c>
      <c r="Z34" s="323">
        <f>+'45'!Z34+'44'!Z34+'43'!Z34+'42'!Z34+'41'!Z34</f>
        <v>5</v>
      </c>
      <c r="AA34" s="254">
        <f t="shared" si="30"/>
        <v>4991</v>
      </c>
      <c r="AB34" s="255">
        <f t="shared" si="30"/>
        <v>5705</v>
      </c>
      <c r="AC34" s="255">
        <f t="shared" si="30"/>
        <v>7139</v>
      </c>
      <c r="AD34" s="323">
        <f t="shared" si="30"/>
        <v>9281</v>
      </c>
      <c r="AE34" s="255"/>
      <c r="AF34" s="255"/>
      <c r="AG34" s="255"/>
      <c r="AH34" s="255"/>
      <c r="AI34" s="255"/>
      <c r="AJ34" s="255"/>
      <c r="AK34" s="255"/>
      <c r="AL34" s="255"/>
      <c r="AM34" s="255"/>
      <c r="AN34" s="255"/>
      <c r="AO34" s="255"/>
      <c r="AP34" s="25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row>
    <row r="35" spans="1:72" s="332" customFormat="1" ht="22.5" customHeight="1">
      <c r="A35" s="322"/>
      <c r="B35" s="211" t="s">
        <v>1094</v>
      </c>
      <c r="C35" s="255">
        <f>+'45'!C35+'44'!C35+'43'!C35+'42'!C35+'41'!C35</f>
        <v>45</v>
      </c>
      <c r="D35" s="255">
        <f>+'45'!D35+'44'!D35+'43'!D35+'42'!D35+'41'!D35</f>
        <v>164</v>
      </c>
      <c r="E35" s="255">
        <f>+'45'!E35+'44'!E35+'43'!E35+'42'!E35+'41'!E35</f>
        <v>472</v>
      </c>
      <c r="F35" s="340">
        <f>+'45'!F35+'44'!F35+'43'!F35+'42'!F35+'41'!F35</f>
        <v>408</v>
      </c>
      <c r="G35" s="255">
        <f>+'45'!G35+'44'!G35+'43'!G35+'42'!G35+'41'!G35</f>
        <v>102</v>
      </c>
      <c r="H35" s="255">
        <f>+'45'!H35+'44'!H35+'43'!H35+'42'!H35+'41'!H35</f>
        <v>193</v>
      </c>
      <c r="I35" s="255">
        <f>+'45'!I35+'44'!I35+'43'!I35+'42'!I35+'41'!I35</f>
        <v>388</v>
      </c>
      <c r="J35" s="340">
        <f>+'45'!J35+'44'!J35+'43'!J35+'42'!J35+'41'!J35</f>
        <v>347</v>
      </c>
      <c r="K35" s="255">
        <f>+'45'!K35+'44'!K35+'43'!K35+'42'!K35+'41'!K35</f>
        <v>0</v>
      </c>
      <c r="L35" s="255">
        <f>+'45'!L35+'44'!L35+'43'!L35+'42'!L35+'41'!L35</f>
        <v>0</v>
      </c>
      <c r="M35" s="255">
        <f>+'45'!M35+'44'!M35+'43'!M35+'42'!M35+'41'!M35</f>
        <v>0</v>
      </c>
      <c r="N35" s="323">
        <f>+'45'!N35+'44'!N35+'43'!N35+'42'!N35+'41'!N35</f>
        <v>0</v>
      </c>
      <c r="O35" s="255">
        <f>+'45'!O35+'44'!O35+'43'!O35+'42'!O35+'41'!O35</f>
        <v>0</v>
      </c>
      <c r="P35" s="255">
        <f>+'45'!P35+'44'!P35+'43'!P35+'42'!P35+'41'!P35</f>
        <v>0</v>
      </c>
      <c r="Q35" s="255">
        <f>+'45'!Q35+'44'!Q35+'43'!Q35+'42'!Q35+'41'!Q35</f>
        <v>0</v>
      </c>
      <c r="R35" s="323">
        <f>+'45'!R35+'44'!R35+'43'!R35+'42'!R35+'41'!R35</f>
        <v>0</v>
      </c>
      <c r="S35" s="255">
        <f>+'45'!S35+'44'!S35+'43'!S35+'42'!S35+'41'!S35</f>
        <v>1279</v>
      </c>
      <c r="T35" s="255">
        <f>+'45'!T35+'44'!T35+'43'!T35+'42'!T35+'41'!T35</f>
        <v>774</v>
      </c>
      <c r="U35" s="255">
        <f>+'45'!U35+'44'!U35+'43'!U35+'42'!U35+'41'!U35</f>
        <v>1936</v>
      </c>
      <c r="V35" s="323">
        <f>+'45'!V35+'44'!V35+'43'!V35+'42'!V35+'41'!V35</f>
        <v>2409</v>
      </c>
      <c r="W35" s="255">
        <f>+'45'!W35+'44'!W35+'43'!W35+'42'!W35+'41'!W35</f>
        <v>0</v>
      </c>
      <c r="X35" s="255">
        <f>+'45'!X35+'44'!X35+'43'!X35+'42'!X35+'41'!X35</f>
        <v>0</v>
      </c>
      <c r="Y35" s="255">
        <f>+'45'!Y35+'44'!Y35+'43'!Y35+'42'!Y35+'41'!Y35</f>
        <v>0</v>
      </c>
      <c r="Z35" s="323">
        <f>+'45'!Z35+'44'!Z35+'43'!Z35+'42'!Z35+'41'!Z35</f>
        <v>0</v>
      </c>
      <c r="AA35" s="254">
        <f t="shared" si="30"/>
        <v>1426</v>
      </c>
      <c r="AB35" s="255">
        <f t="shared" si="30"/>
        <v>1131</v>
      </c>
      <c r="AC35" s="255">
        <f t="shared" si="30"/>
        <v>2796</v>
      </c>
      <c r="AD35" s="323">
        <f t="shared" si="30"/>
        <v>3164</v>
      </c>
      <c r="AE35" s="255"/>
      <c r="AF35" s="255"/>
      <c r="AG35" s="255"/>
      <c r="AH35" s="255"/>
      <c r="AI35" s="255"/>
      <c r="AJ35" s="255"/>
      <c r="AK35" s="255"/>
      <c r="AL35" s="255"/>
      <c r="AM35" s="255"/>
      <c r="AN35" s="255"/>
      <c r="AO35" s="255"/>
      <c r="AP35" s="25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row>
    <row r="36" spans="1:72" s="332" customFormat="1" ht="22.5" customHeight="1">
      <c r="A36" s="322"/>
      <c r="B36" s="243" t="s">
        <v>868</v>
      </c>
      <c r="C36" s="255">
        <f>+'45'!C36+'44'!C36+'43'!C36+'42'!C36+'41'!C36</f>
        <v>0</v>
      </c>
      <c r="D36" s="255">
        <f>+'45'!D36+'44'!D36+'43'!D36+'42'!D36+'41'!D36</f>
        <v>103</v>
      </c>
      <c r="E36" s="255">
        <f>+'45'!E36+'44'!E36+'43'!E36+'42'!E36+'41'!E36</f>
        <v>261</v>
      </c>
      <c r="F36" s="340">
        <f>+'45'!F36+'44'!F36+'43'!F36+'42'!F36+'41'!F36</f>
        <v>59</v>
      </c>
      <c r="G36" s="255">
        <f>+'45'!G36+'44'!G36+'43'!G36+'42'!G36+'41'!G36</f>
        <v>0</v>
      </c>
      <c r="H36" s="255">
        <f>+'45'!H36+'44'!H36+'43'!H36+'42'!H36+'41'!H36</f>
        <v>0</v>
      </c>
      <c r="I36" s="255">
        <f>+'45'!I36+'44'!I36+'43'!I36+'42'!I36+'41'!I36</f>
        <v>0</v>
      </c>
      <c r="J36" s="340">
        <f>+'45'!J36+'44'!J36+'43'!J36+'42'!J36+'41'!J36</f>
        <v>0</v>
      </c>
      <c r="K36" s="255">
        <f>+'45'!K36+'44'!K36+'43'!K36+'42'!K36+'41'!K36</f>
        <v>0</v>
      </c>
      <c r="L36" s="255">
        <f>+'45'!L36+'44'!L36+'43'!L36+'42'!L36+'41'!L36</f>
        <v>0</v>
      </c>
      <c r="M36" s="255">
        <f>+'45'!M36+'44'!M36+'43'!M36+'42'!M36+'41'!M36</f>
        <v>0</v>
      </c>
      <c r="N36" s="323">
        <f>+'45'!N36+'44'!N36+'43'!N36+'42'!N36+'41'!N36</f>
        <v>0</v>
      </c>
      <c r="O36" s="255">
        <f>+'45'!O36+'44'!O36+'43'!O36+'42'!O36+'41'!O36</f>
        <v>0</v>
      </c>
      <c r="P36" s="255">
        <f>+'45'!P36+'44'!P36+'43'!P36+'42'!P36+'41'!P36</f>
        <v>0</v>
      </c>
      <c r="Q36" s="255">
        <f>+'45'!Q36+'44'!Q36+'43'!Q36+'42'!Q36+'41'!Q36</f>
        <v>0</v>
      </c>
      <c r="R36" s="323">
        <f>+'45'!R36+'44'!R36+'43'!R36+'42'!R36+'41'!R36</f>
        <v>0</v>
      </c>
      <c r="S36" s="255">
        <f>+'45'!S36+'44'!S36+'43'!S36+'42'!S36+'41'!S36</f>
        <v>0</v>
      </c>
      <c r="T36" s="255">
        <f>+'45'!T36+'44'!T36+'43'!T36+'42'!T36+'41'!T36</f>
        <v>0</v>
      </c>
      <c r="U36" s="255">
        <f>+'45'!U36+'44'!U36+'43'!U36+'42'!U36+'41'!U36</f>
        <v>0</v>
      </c>
      <c r="V36" s="323">
        <f>+'45'!V36+'44'!V36+'43'!V36+'42'!V36+'41'!V36</f>
        <v>0</v>
      </c>
      <c r="W36" s="255">
        <f>+'45'!W36+'44'!W36+'43'!W36+'42'!W36+'41'!W36</f>
        <v>0</v>
      </c>
      <c r="X36" s="255">
        <f>+'45'!X36+'44'!X36+'43'!X36+'42'!X36+'41'!X36</f>
        <v>0</v>
      </c>
      <c r="Y36" s="255">
        <f>+'45'!Y36+'44'!Y36+'43'!Y36+'42'!Y36+'41'!Y36</f>
        <v>0</v>
      </c>
      <c r="Z36" s="323">
        <f>+'45'!Z36+'44'!Z36+'43'!Z36+'42'!Z36+'41'!Z36</f>
        <v>0</v>
      </c>
      <c r="AA36" s="254">
        <f t="shared" si="30"/>
        <v>0</v>
      </c>
      <c r="AB36" s="255">
        <f t="shared" si="30"/>
        <v>103</v>
      </c>
      <c r="AC36" s="255">
        <f t="shared" si="30"/>
        <v>261</v>
      </c>
      <c r="AD36" s="323">
        <f t="shared" si="30"/>
        <v>59</v>
      </c>
      <c r="AE36" s="255"/>
      <c r="AF36" s="255"/>
      <c r="AG36" s="255"/>
      <c r="AH36" s="255"/>
      <c r="AI36" s="255"/>
      <c r="AJ36" s="255"/>
      <c r="AK36" s="255"/>
      <c r="AL36" s="255"/>
      <c r="AM36" s="255"/>
      <c r="AN36" s="255"/>
      <c r="AO36" s="255"/>
      <c r="AP36" s="255"/>
      <c r="AQ36" s="335"/>
      <c r="AR36" s="335"/>
      <c r="AS36" s="335"/>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row>
    <row r="37" spans="1:72" s="332" customFormat="1" ht="22.5" customHeight="1">
      <c r="A37" s="322"/>
      <c r="B37" s="1271" t="s">
        <v>582</v>
      </c>
      <c r="C37" s="1272">
        <f t="shared" ref="C37:AC37" si="31">SUM(C32:C36)</f>
        <v>20324</v>
      </c>
      <c r="D37" s="1272">
        <f t="shared" si="31"/>
        <v>22651</v>
      </c>
      <c r="E37" s="1272">
        <f>SUM(E32:E36)</f>
        <v>30486</v>
      </c>
      <c r="F37" s="1273">
        <f>SUM(F32:F36)</f>
        <v>36120</v>
      </c>
      <c r="G37" s="1272">
        <f t="shared" si="31"/>
        <v>3018</v>
      </c>
      <c r="H37" s="1272">
        <f t="shared" si="31"/>
        <v>3580</v>
      </c>
      <c r="I37" s="1272">
        <f>SUM(I32:I36)</f>
        <v>6009</v>
      </c>
      <c r="J37" s="1273">
        <f>SUM(J32:J36)</f>
        <v>6929</v>
      </c>
      <c r="K37" s="1272">
        <f t="shared" si="31"/>
        <v>5319</v>
      </c>
      <c r="L37" s="1272">
        <f t="shared" si="31"/>
        <v>6265</v>
      </c>
      <c r="M37" s="1272">
        <f t="shared" si="31"/>
        <v>6727</v>
      </c>
      <c r="N37" s="1274">
        <f t="shared" ref="N37" si="32">SUM(N32:N36)</f>
        <v>6863</v>
      </c>
      <c r="O37" s="1272">
        <f t="shared" si="31"/>
        <v>1568</v>
      </c>
      <c r="P37" s="1272">
        <f t="shared" si="31"/>
        <v>1924</v>
      </c>
      <c r="Q37" s="1272">
        <f t="shared" si="31"/>
        <v>4787</v>
      </c>
      <c r="R37" s="1274">
        <f t="shared" ref="R37" si="33">SUM(R32:R36)</f>
        <v>4967</v>
      </c>
      <c r="S37" s="1272">
        <f t="shared" si="31"/>
        <v>2149</v>
      </c>
      <c r="T37" s="1272">
        <f t="shared" si="31"/>
        <v>1440</v>
      </c>
      <c r="U37" s="1272">
        <f t="shared" si="31"/>
        <v>2661</v>
      </c>
      <c r="V37" s="1274">
        <f t="shared" ref="V37" si="34">SUM(V32:V36)</f>
        <v>3472</v>
      </c>
      <c r="W37" s="1272">
        <f t="shared" si="31"/>
        <v>1</v>
      </c>
      <c r="X37" s="1272">
        <f t="shared" si="31"/>
        <v>1</v>
      </c>
      <c r="Y37" s="1272">
        <f t="shared" si="31"/>
        <v>5</v>
      </c>
      <c r="Z37" s="1274">
        <f t="shared" ref="Z37" si="35">SUM(Z32:Z36)</f>
        <v>5</v>
      </c>
      <c r="AA37" s="1275">
        <f t="shared" si="31"/>
        <v>32379</v>
      </c>
      <c r="AB37" s="1272">
        <f t="shared" si="31"/>
        <v>35861</v>
      </c>
      <c r="AC37" s="1272">
        <f t="shared" si="31"/>
        <v>50675</v>
      </c>
      <c r="AD37" s="1274">
        <f t="shared" ref="AD37" si="36">SUM(AD32:AD36)</f>
        <v>58356</v>
      </c>
      <c r="AE37" s="255"/>
      <c r="AF37" s="255"/>
      <c r="AG37" s="255"/>
      <c r="AH37" s="255"/>
      <c r="AI37" s="255"/>
      <c r="AJ37" s="255"/>
      <c r="AK37" s="255"/>
      <c r="AL37" s="255"/>
      <c r="AM37" s="255"/>
      <c r="AN37" s="255"/>
      <c r="AO37" s="255"/>
      <c r="AP37" s="25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row>
    <row r="38" spans="1:72" s="332" customFormat="1" ht="22.5" customHeight="1">
      <c r="A38" s="322" t="s">
        <v>485</v>
      </c>
      <c r="B38" s="211" t="s">
        <v>586</v>
      </c>
      <c r="C38" s="255">
        <f>+'45'!C38+'44'!C38+'43'!C38+'42'!C38+'41'!C38</f>
        <v>11522</v>
      </c>
      <c r="D38" s="255">
        <f>+'45'!D38+'44'!D38+'43'!D38+'42'!D38+'41'!D38</f>
        <v>19300</v>
      </c>
      <c r="E38" s="255">
        <f>+'45'!E38+'44'!E38+'43'!E38+'42'!E38+'41'!E38</f>
        <v>19654</v>
      </c>
      <c r="F38" s="340">
        <f>+'45'!F38+'44'!F38+'43'!F38+'42'!F38+'41'!F38</f>
        <v>17191</v>
      </c>
      <c r="G38" s="255">
        <f>+'45'!G38+'44'!G38+'43'!G38+'42'!G38+'41'!G38</f>
        <v>1220</v>
      </c>
      <c r="H38" s="255">
        <f>+'45'!H38+'44'!H38+'43'!H38+'42'!H38+'41'!H38</f>
        <v>1575</v>
      </c>
      <c r="I38" s="255">
        <f>+'45'!I38+'44'!I38+'43'!I38+'42'!I38+'41'!I38</f>
        <v>3395</v>
      </c>
      <c r="J38" s="340">
        <f>+'45'!J38+'44'!J38+'43'!J38+'42'!J38+'41'!J38</f>
        <v>3668</v>
      </c>
      <c r="K38" s="255">
        <f>+'45'!K38+'44'!K38+'43'!K38+'42'!K38+'41'!K38</f>
        <v>3792</v>
      </c>
      <c r="L38" s="255">
        <f>+'45'!L38+'44'!L38+'43'!L38+'42'!L38+'41'!L38</f>
        <v>5086</v>
      </c>
      <c r="M38" s="255">
        <f>+'45'!M38+'44'!M38+'43'!M38+'42'!M38+'41'!M38</f>
        <v>5148</v>
      </c>
      <c r="N38" s="323">
        <f>+'45'!N38+'44'!N38+'43'!N38+'42'!N38+'41'!N38</f>
        <v>6075</v>
      </c>
      <c r="O38" s="255">
        <f>+'45'!O38+'44'!O38+'43'!O38+'42'!O38+'41'!O38</f>
        <v>746</v>
      </c>
      <c r="P38" s="255">
        <f>+'45'!P38+'44'!P38+'43'!P38+'42'!P38+'41'!P38</f>
        <v>1081</v>
      </c>
      <c r="Q38" s="255">
        <f>+'45'!Q38+'44'!Q38+'43'!Q38+'42'!Q38+'41'!Q38</f>
        <v>2047</v>
      </c>
      <c r="R38" s="323">
        <f>+'45'!R38+'44'!R38+'43'!R38+'42'!R38+'41'!R38</f>
        <v>2175</v>
      </c>
      <c r="S38" s="255">
        <f>+'45'!S38+'44'!S38+'43'!S38+'42'!S38+'41'!S38</f>
        <v>252</v>
      </c>
      <c r="T38" s="255">
        <f>+'45'!T38+'44'!T38+'43'!T38+'42'!T38+'41'!T38</f>
        <v>262</v>
      </c>
      <c r="U38" s="255">
        <f>+'45'!U38+'44'!U38+'43'!U38+'42'!U38+'41'!U38</f>
        <v>476</v>
      </c>
      <c r="V38" s="323">
        <f>+'45'!V38+'44'!V38+'43'!V38+'42'!V38+'41'!V38</f>
        <v>450</v>
      </c>
      <c r="W38" s="255">
        <f>+'45'!W38+'44'!W38+'43'!W38+'42'!W38+'41'!W38</f>
        <v>0</v>
      </c>
      <c r="X38" s="255">
        <f>+'45'!X38+'44'!X38+'43'!X38+'42'!X38+'41'!X38</f>
        <v>0</v>
      </c>
      <c r="Y38" s="255">
        <f>+'45'!Y38+'44'!Y38+'43'!Y38+'42'!Y38+'41'!Y38</f>
        <v>0</v>
      </c>
      <c r="Z38" s="323">
        <f>+'45'!Z38+'44'!Z38+'43'!Z38+'42'!Z38+'41'!Z38</f>
        <v>0</v>
      </c>
      <c r="AA38" s="254">
        <f t="shared" ref="AA38:AD40" si="37">+W38+S38+O38+K38+G38+C38</f>
        <v>17532</v>
      </c>
      <c r="AB38" s="255">
        <f t="shared" si="37"/>
        <v>27304</v>
      </c>
      <c r="AC38" s="255">
        <f t="shared" si="37"/>
        <v>30720</v>
      </c>
      <c r="AD38" s="323">
        <f t="shared" si="37"/>
        <v>29559</v>
      </c>
      <c r="AE38" s="255"/>
      <c r="AF38" s="255"/>
      <c r="AG38" s="255"/>
      <c r="AH38" s="255"/>
      <c r="AI38" s="255"/>
      <c r="AJ38" s="255"/>
      <c r="AK38" s="255"/>
      <c r="AL38" s="255"/>
      <c r="AM38" s="255"/>
      <c r="AN38" s="255"/>
      <c r="AO38" s="255"/>
      <c r="AP38" s="25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row>
    <row r="39" spans="1:72" s="332" customFormat="1" ht="22.5" customHeight="1">
      <c r="A39" s="322"/>
      <c r="B39" s="243" t="s">
        <v>750</v>
      </c>
      <c r="C39" s="255">
        <f>+'45'!C39+'44'!C39+'43'!C39+'42'!C39+'41'!C39</f>
        <v>1238</v>
      </c>
      <c r="D39" s="255">
        <f>+'45'!D39+'44'!D39+'43'!D39+'42'!D39+'41'!D39</f>
        <v>3796</v>
      </c>
      <c r="E39" s="255">
        <f>+'45'!E39+'44'!E39+'43'!E39+'42'!E39+'41'!E39</f>
        <v>4262</v>
      </c>
      <c r="F39" s="340">
        <f>+'45'!F39+'44'!F39+'43'!F39+'42'!F39+'41'!F39</f>
        <v>3993</v>
      </c>
      <c r="G39" s="255">
        <f>+'45'!G39+'44'!G39+'43'!G39+'42'!G39+'41'!G39</f>
        <v>235</v>
      </c>
      <c r="H39" s="255">
        <f>+'45'!H39+'44'!H39+'43'!H39+'42'!H39+'41'!H39</f>
        <v>395</v>
      </c>
      <c r="I39" s="255">
        <f>+'45'!I39+'44'!I39+'43'!I39+'42'!I39+'41'!I39</f>
        <v>467</v>
      </c>
      <c r="J39" s="340">
        <f>+'45'!J39+'44'!J39+'43'!J39+'42'!J39+'41'!J39</f>
        <v>655</v>
      </c>
      <c r="K39" s="255">
        <f>+'45'!K39+'44'!K39+'43'!K39+'42'!K39+'41'!K39</f>
        <v>773</v>
      </c>
      <c r="L39" s="255">
        <f>+'45'!L39+'44'!L39+'43'!L39+'42'!L39+'41'!L39</f>
        <v>1290</v>
      </c>
      <c r="M39" s="255">
        <f>+'45'!M39+'44'!M39+'43'!M39+'42'!M39+'41'!M39</f>
        <v>1038</v>
      </c>
      <c r="N39" s="323">
        <f>+'45'!N39+'44'!N39+'43'!N39+'42'!N39+'41'!N39</f>
        <v>1480</v>
      </c>
      <c r="O39" s="255">
        <f>+'45'!O39+'44'!O39+'43'!O39+'42'!O39+'41'!O39</f>
        <v>184</v>
      </c>
      <c r="P39" s="255">
        <f>+'45'!P39+'44'!P39+'43'!P39+'42'!P39+'41'!P39</f>
        <v>346</v>
      </c>
      <c r="Q39" s="255">
        <f>+'45'!Q39+'44'!Q39+'43'!Q39+'42'!Q39+'41'!Q39</f>
        <v>522</v>
      </c>
      <c r="R39" s="323">
        <f>+'45'!R39+'44'!R39+'43'!R39+'42'!R39+'41'!R39</f>
        <v>465</v>
      </c>
      <c r="S39" s="255">
        <f>+'45'!S39+'44'!S39+'43'!S39+'42'!S39+'41'!S39</f>
        <v>40</v>
      </c>
      <c r="T39" s="255">
        <f>+'45'!T39+'44'!T39+'43'!T39+'42'!T39+'41'!T39</f>
        <v>101</v>
      </c>
      <c r="U39" s="255">
        <f>+'45'!U39+'44'!U39+'43'!U39+'42'!U39+'41'!U39</f>
        <v>139</v>
      </c>
      <c r="V39" s="323">
        <f>+'45'!V39+'44'!V39+'43'!V39+'42'!V39+'41'!V39</f>
        <v>154</v>
      </c>
      <c r="W39" s="255">
        <f>+'45'!W39+'44'!W39+'43'!W39+'42'!W39+'41'!W39</f>
        <v>0</v>
      </c>
      <c r="X39" s="255">
        <f>+'45'!X39+'44'!X39+'43'!X39+'42'!X39+'41'!X39</f>
        <v>0</v>
      </c>
      <c r="Y39" s="255">
        <f>+'45'!Y39+'44'!Y39+'43'!Y39+'42'!Y39+'41'!Y39</f>
        <v>0</v>
      </c>
      <c r="Z39" s="323">
        <f>+'45'!Z39+'44'!Z39+'43'!Z39+'42'!Z39+'41'!Z39</f>
        <v>0</v>
      </c>
      <c r="AA39" s="254">
        <f t="shared" si="37"/>
        <v>2470</v>
      </c>
      <c r="AB39" s="255">
        <f t="shared" si="37"/>
        <v>5928</v>
      </c>
      <c r="AC39" s="255">
        <f t="shared" si="37"/>
        <v>6428</v>
      </c>
      <c r="AD39" s="323">
        <f t="shared" si="37"/>
        <v>6747</v>
      </c>
      <c r="AE39" s="255"/>
      <c r="AF39" s="255"/>
      <c r="AG39" s="255"/>
      <c r="AH39" s="255"/>
      <c r="AI39" s="255"/>
      <c r="AJ39" s="255"/>
      <c r="AK39" s="255"/>
      <c r="AL39" s="255"/>
      <c r="AM39" s="255"/>
      <c r="AN39" s="255"/>
      <c r="AO39" s="255"/>
      <c r="AP39" s="25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row>
    <row r="40" spans="1:72" s="332" customFormat="1" ht="22.5" customHeight="1">
      <c r="A40" s="322"/>
      <c r="B40" s="211" t="s">
        <v>1051</v>
      </c>
      <c r="C40" s="255">
        <f>+'45'!C40+'44'!C40+'43'!C40+'42'!C40+'41'!C40</f>
        <v>1684</v>
      </c>
      <c r="D40" s="255">
        <f>+'45'!D40+'44'!D40+'43'!D40+'42'!D40+'41'!D40</f>
        <v>2309</v>
      </c>
      <c r="E40" s="255">
        <f>+'45'!E40+'44'!E40+'43'!E40+'42'!E40+'41'!E40</f>
        <v>1584</v>
      </c>
      <c r="F40" s="340">
        <f>+'45'!F40+'44'!F40+'43'!F40+'42'!F40+'41'!F40</f>
        <v>2496</v>
      </c>
      <c r="G40" s="255">
        <f>+'45'!G40+'44'!G40+'43'!G40+'42'!G40+'41'!G40</f>
        <v>121</v>
      </c>
      <c r="H40" s="255">
        <f>+'45'!H40+'44'!H40+'43'!H40+'42'!H40+'41'!H40</f>
        <v>207</v>
      </c>
      <c r="I40" s="255">
        <f>+'45'!I40+'44'!I40+'43'!I40+'42'!I40+'41'!I40</f>
        <v>458</v>
      </c>
      <c r="J40" s="340">
        <f>+'45'!J40+'44'!J40+'43'!J40+'42'!J40+'41'!J40</f>
        <v>445</v>
      </c>
      <c r="K40" s="255">
        <f>+'45'!K40+'44'!K40+'43'!K40+'42'!K40+'41'!K40</f>
        <v>426</v>
      </c>
      <c r="L40" s="255">
        <f>+'45'!L40+'44'!L40+'43'!L40+'42'!L40+'41'!L40</f>
        <v>631</v>
      </c>
      <c r="M40" s="255">
        <f>+'45'!M40+'44'!M40+'43'!M40+'42'!M40+'41'!M40</f>
        <v>645</v>
      </c>
      <c r="N40" s="323">
        <f>+'45'!N40+'44'!N40+'43'!N40+'42'!N40+'41'!N40</f>
        <v>567</v>
      </c>
      <c r="O40" s="255">
        <f>+'45'!O40+'44'!O40+'43'!O40+'42'!O40+'41'!O40</f>
        <v>85</v>
      </c>
      <c r="P40" s="255">
        <f>+'45'!P40+'44'!P40+'43'!P40+'42'!P40+'41'!P40</f>
        <v>199</v>
      </c>
      <c r="Q40" s="255">
        <f>+'45'!Q40+'44'!Q40+'43'!Q40+'42'!Q40+'41'!Q40</f>
        <v>317</v>
      </c>
      <c r="R40" s="323">
        <f>+'45'!R40+'44'!R40+'43'!R40+'42'!R40+'41'!R40</f>
        <v>270</v>
      </c>
      <c r="S40" s="255">
        <f>+'45'!S40+'44'!S40+'43'!S40+'42'!S40+'41'!S40</f>
        <v>5</v>
      </c>
      <c r="T40" s="255">
        <f>+'45'!T40+'44'!T40+'43'!T40+'42'!T40+'41'!T40</f>
        <v>25</v>
      </c>
      <c r="U40" s="255">
        <f>+'45'!U40+'44'!U40+'43'!U40+'42'!U40+'41'!U40</f>
        <v>25</v>
      </c>
      <c r="V40" s="323">
        <f>+'45'!V40+'44'!V40+'43'!V40+'42'!V40+'41'!V40</f>
        <v>21</v>
      </c>
      <c r="W40" s="255">
        <f>+'45'!W40+'44'!W40+'43'!W40+'42'!W40+'41'!W40</f>
        <v>0</v>
      </c>
      <c r="X40" s="255">
        <f>+'45'!X40+'44'!X40+'43'!X40+'42'!X40+'41'!X40</f>
        <v>0</v>
      </c>
      <c r="Y40" s="255">
        <f>+'45'!Y40+'44'!Y40+'43'!Y40+'42'!Y40+'41'!Y40</f>
        <v>0</v>
      </c>
      <c r="Z40" s="323">
        <f>+'45'!Z40+'44'!Z40+'43'!Z40+'42'!Z40+'41'!Z40</f>
        <v>9</v>
      </c>
      <c r="AA40" s="254">
        <f t="shared" si="37"/>
        <v>2321</v>
      </c>
      <c r="AB40" s="255">
        <f t="shared" si="37"/>
        <v>3371</v>
      </c>
      <c r="AC40" s="255">
        <f t="shared" si="37"/>
        <v>3029</v>
      </c>
      <c r="AD40" s="323">
        <f t="shared" si="37"/>
        <v>3808</v>
      </c>
      <c r="AE40" s="255"/>
      <c r="AF40" s="255"/>
      <c r="AG40" s="255"/>
      <c r="AH40" s="255"/>
      <c r="AI40" s="255"/>
      <c r="AJ40" s="255"/>
      <c r="AK40" s="255"/>
      <c r="AL40" s="255"/>
      <c r="AM40" s="255"/>
      <c r="AN40" s="255"/>
      <c r="AO40" s="255"/>
      <c r="AP40" s="25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row>
    <row r="41" spans="1:72" s="332" customFormat="1" ht="22.5" customHeight="1">
      <c r="A41" s="322"/>
      <c r="B41" s="1271" t="s">
        <v>582</v>
      </c>
      <c r="C41" s="1272">
        <f t="shared" ref="C41:M41" si="38">SUM(C38:C40)</f>
        <v>14444</v>
      </c>
      <c r="D41" s="1272">
        <f t="shared" si="38"/>
        <v>25405</v>
      </c>
      <c r="E41" s="1272">
        <f>SUM(E38:E40)</f>
        <v>25500</v>
      </c>
      <c r="F41" s="1273">
        <f>SUM(F38:F40)</f>
        <v>23680</v>
      </c>
      <c r="G41" s="1272">
        <f t="shared" si="38"/>
        <v>1576</v>
      </c>
      <c r="H41" s="1272">
        <f t="shared" si="38"/>
        <v>2177</v>
      </c>
      <c r="I41" s="1272">
        <f>SUM(I38:I40)</f>
        <v>4320</v>
      </c>
      <c r="J41" s="1273">
        <f>SUM(J38:J40)</f>
        <v>4768</v>
      </c>
      <c r="K41" s="1272">
        <f t="shared" si="38"/>
        <v>4991</v>
      </c>
      <c r="L41" s="1272">
        <f t="shared" si="38"/>
        <v>7007</v>
      </c>
      <c r="M41" s="1272">
        <f t="shared" si="38"/>
        <v>6831</v>
      </c>
      <c r="N41" s="1274">
        <f t="shared" ref="N41" si="39">SUM(N38:N40)</f>
        <v>8122</v>
      </c>
      <c r="O41" s="1272">
        <f t="shared" ref="O41:AC41" si="40">SUM(O38:O40)</f>
        <v>1015</v>
      </c>
      <c r="P41" s="1272">
        <f t="shared" si="40"/>
        <v>1626</v>
      </c>
      <c r="Q41" s="1272">
        <f t="shared" si="40"/>
        <v>2886</v>
      </c>
      <c r="R41" s="1274">
        <f t="shared" ref="R41" si="41">SUM(R38:R40)</f>
        <v>2910</v>
      </c>
      <c r="S41" s="1272">
        <f t="shared" si="40"/>
        <v>297</v>
      </c>
      <c r="T41" s="1272">
        <f t="shared" si="40"/>
        <v>388</v>
      </c>
      <c r="U41" s="1272">
        <f t="shared" si="40"/>
        <v>640</v>
      </c>
      <c r="V41" s="1274">
        <f t="shared" ref="V41" si="42">SUM(V38:V40)</f>
        <v>625</v>
      </c>
      <c r="W41" s="1272">
        <f t="shared" si="40"/>
        <v>0</v>
      </c>
      <c r="X41" s="1272">
        <f t="shared" si="40"/>
        <v>0</v>
      </c>
      <c r="Y41" s="1272">
        <f t="shared" si="40"/>
        <v>0</v>
      </c>
      <c r="Z41" s="1274">
        <f t="shared" ref="Z41" si="43">SUM(Z38:Z40)</f>
        <v>9</v>
      </c>
      <c r="AA41" s="1275">
        <f t="shared" si="40"/>
        <v>22323</v>
      </c>
      <c r="AB41" s="1272">
        <f t="shared" si="40"/>
        <v>36603</v>
      </c>
      <c r="AC41" s="1272">
        <f t="shared" si="40"/>
        <v>40177</v>
      </c>
      <c r="AD41" s="1274">
        <f t="shared" ref="AD41" si="44">SUM(AD38:AD40)</f>
        <v>40114</v>
      </c>
      <c r="AE41" s="255"/>
      <c r="AF41" s="255"/>
      <c r="AG41" s="255"/>
      <c r="AH41" s="255"/>
      <c r="AI41" s="255"/>
      <c r="AJ41" s="255"/>
      <c r="AK41" s="255"/>
      <c r="AL41" s="255"/>
      <c r="AM41" s="255"/>
      <c r="AN41" s="255"/>
      <c r="AO41" s="255"/>
      <c r="AP41" s="25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row>
    <row r="42" spans="1:72" s="332" customFormat="1" ht="22.5" customHeight="1">
      <c r="A42" s="322" t="s">
        <v>486</v>
      </c>
      <c r="B42" s="243" t="s">
        <v>751</v>
      </c>
      <c r="C42" s="255">
        <f>+'45'!C42+'44'!C42+'43'!C42+'42'!C42+'41'!C42</f>
        <v>12632</v>
      </c>
      <c r="D42" s="255">
        <f>+'45'!D42+'44'!D42+'43'!D42+'42'!D42+'41'!D42</f>
        <v>16674</v>
      </c>
      <c r="E42" s="255">
        <f>+'45'!E42+'44'!E42+'43'!E42+'42'!E42+'41'!E42</f>
        <v>25019</v>
      </c>
      <c r="F42" s="340">
        <f>+'45'!F42+'44'!F42+'43'!F42+'42'!F42+'41'!F42</f>
        <v>20492</v>
      </c>
      <c r="G42" s="255">
        <f>+'45'!G42+'44'!G42+'43'!G42+'42'!G42+'41'!G42</f>
        <v>1044</v>
      </c>
      <c r="H42" s="255">
        <f>+'45'!H42+'44'!H42+'43'!H42+'42'!H42+'41'!H42</f>
        <v>1426</v>
      </c>
      <c r="I42" s="255">
        <f>+'45'!I42+'44'!I42+'43'!I42+'42'!I42+'41'!I42</f>
        <v>2389</v>
      </c>
      <c r="J42" s="340">
        <f>+'45'!J42+'44'!J42+'43'!J42+'42'!J42+'41'!J42</f>
        <v>3416</v>
      </c>
      <c r="K42" s="255">
        <f>+'45'!K42+'44'!K42+'43'!K42+'42'!K42+'41'!K42</f>
        <v>3028</v>
      </c>
      <c r="L42" s="255">
        <f>+'45'!L42+'44'!L42+'43'!L42+'42'!L42+'41'!L42</f>
        <v>3535</v>
      </c>
      <c r="M42" s="255">
        <f>+'45'!M42+'44'!M42+'43'!M42+'42'!M42+'41'!M42</f>
        <v>4245</v>
      </c>
      <c r="N42" s="323">
        <f>+'45'!N42+'44'!N42+'43'!N42+'42'!N42+'41'!N42</f>
        <v>3135</v>
      </c>
      <c r="O42" s="255">
        <f>+'45'!O42+'44'!O42+'43'!O42+'42'!O42+'41'!O42</f>
        <v>795</v>
      </c>
      <c r="P42" s="255">
        <f>+'45'!P42+'44'!P42+'43'!P42+'42'!P42+'41'!P42</f>
        <v>1554</v>
      </c>
      <c r="Q42" s="255">
        <f>+'45'!Q42+'44'!Q42+'43'!Q42+'42'!Q42+'41'!Q42</f>
        <v>2361</v>
      </c>
      <c r="R42" s="323">
        <f>+'45'!R42+'44'!R42+'43'!R42+'42'!R42+'41'!R42</f>
        <v>1890</v>
      </c>
      <c r="S42" s="255">
        <f>+'45'!S42+'44'!S42+'43'!S42+'42'!S42+'41'!S42</f>
        <v>624</v>
      </c>
      <c r="T42" s="255">
        <f>+'45'!T42+'44'!T42+'43'!T42+'42'!T42+'41'!T42</f>
        <v>802</v>
      </c>
      <c r="U42" s="255">
        <f>+'45'!U42+'44'!U42+'43'!U42+'42'!U42+'41'!U42</f>
        <v>809</v>
      </c>
      <c r="V42" s="323">
        <f>+'45'!V42+'44'!V42+'43'!V42+'42'!V42+'41'!V42</f>
        <v>1057</v>
      </c>
      <c r="W42" s="255">
        <f>+'45'!W42+'44'!W42+'43'!W42+'42'!W42+'41'!W42</f>
        <v>0</v>
      </c>
      <c r="X42" s="255">
        <f>+'45'!X42+'44'!X42+'43'!X42+'42'!X42+'41'!X42</f>
        <v>0</v>
      </c>
      <c r="Y42" s="255">
        <f>+'45'!Y42+'44'!Y42+'43'!Y42+'42'!Y42+'41'!Y42</f>
        <v>0</v>
      </c>
      <c r="Z42" s="323">
        <f>+'45'!Z42+'44'!Z42+'43'!Z42+'42'!Z42+'41'!Z42</f>
        <v>0</v>
      </c>
      <c r="AA42" s="254">
        <f t="shared" ref="AA42:AD44" si="45">+W42+S42+O42+K42+G42+C42</f>
        <v>18123</v>
      </c>
      <c r="AB42" s="255">
        <f t="shared" si="45"/>
        <v>23991</v>
      </c>
      <c r="AC42" s="255">
        <f t="shared" si="45"/>
        <v>34823</v>
      </c>
      <c r="AD42" s="323">
        <f t="shared" si="45"/>
        <v>29990</v>
      </c>
      <c r="AE42" s="255"/>
      <c r="AF42" s="255"/>
      <c r="AG42" s="255"/>
      <c r="AH42" s="255"/>
      <c r="AI42" s="255"/>
      <c r="AJ42" s="255"/>
      <c r="AK42" s="255"/>
      <c r="AL42" s="255"/>
      <c r="AM42" s="255"/>
      <c r="AN42" s="255"/>
      <c r="AO42" s="255"/>
      <c r="AP42" s="255"/>
      <c r="AQ42" s="335"/>
      <c r="AR42" s="335"/>
      <c r="AS42" s="335"/>
      <c r="AT42" s="335"/>
      <c r="AU42" s="335"/>
      <c r="AV42" s="335"/>
      <c r="AW42" s="335"/>
      <c r="AX42" s="335"/>
      <c r="AY42" s="335"/>
      <c r="AZ42" s="335"/>
      <c r="BA42" s="335"/>
      <c r="BB42" s="335"/>
      <c r="BC42" s="335"/>
      <c r="BD42" s="335"/>
      <c r="BE42" s="335"/>
      <c r="BF42" s="335"/>
      <c r="BG42" s="335"/>
      <c r="BH42" s="335"/>
      <c r="BI42" s="335"/>
      <c r="BJ42" s="335"/>
      <c r="BK42" s="335"/>
      <c r="BL42" s="335"/>
      <c r="BM42" s="335"/>
      <c r="BN42" s="335"/>
      <c r="BO42" s="335"/>
      <c r="BP42" s="335"/>
      <c r="BQ42" s="335"/>
      <c r="BR42" s="335"/>
      <c r="BS42" s="335"/>
      <c r="BT42" s="335"/>
    </row>
    <row r="43" spans="1:72" s="332" customFormat="1" ht="22.5" customHeight="1">
      <c r="A43" s="322" t="s">
        <v>869</v>
      </c>
      <c r="B43" s="211" t="s">
        <v>752</v>
      </c>
      <c r="C43" s="255">
        <f>+'45'!C43+'44'!C43+'43'!C43+'42'!C43+'41'!C43</f>
        <v>18101</v>
      </c>
      <c r="D43" s="255">
        <f>+'45'!D43+'44'!D43+'43'!D43+'42'!D43+'41'!D43</f>
        <v>21337</v>
      </c>
      <c r="E43" s="255">
        <f>+'45'!E43+'44'!E43+'43'!E43+'42'!E43+'41'!E43</f>
        <v>24257</v>
      </c>
      <c r="F43" s="340">
        <f>+'45'!F43+'44'!F43+'43'!F43+'42'!F43+'41'!F43</f>
        <v>20780</v>
      </c>
      <c r="G43" s="255">
        <f>+'45'!G43+'44'!G43+'43'!G43+'42'!G43+'41'!G43</f>
        <v>2398</v>
      </c>
      <c r="H43" s="255">
        <f>+'45'!H43+'44'!H43+'43'!H43+'42'!H43+'41'!H43</f>
        <v>2147</v>
      </c>
      <c r="I43" s="255">
        <f>+'45'!I43+'44'!I43+'43'!I43+'42'!I43+'41'!I43</f>
        <v>6072</v>
      </c>
      <c r="J43" s="340">
        <f>+'45'!J43+'44'!J43+'43'!J43+'42'!J43+'41'!J43</f>
        <v>7164</v>
      </c>
      <c r="K43" s="255">
        <f>+'45'!K43+'44'!K43+'43'!K43+'42'!K43+'41'!K43</f>
        <v>6240</v>
      </c>
      <c r="L43" s="255">
        <f>+'45'!L43+'44'!L43+'43'!L43+'42'!L43+'41'!L43</f>
        <v>7146</v>
      </c>
      <c r="M43" s="255">
        <f>+'45'!M43+'44'!M43+'43'!M43+'42'!M43+'41'!M43</f>
        <v>10901</v>
      </c>
      <c r="N43" s="323">
        <f>+'45'!N43+'44'!N43+'43'!N43+'42'!N43+'41'!N43</f>
        <v>9078</v>
      </c>
      <c r="O43" s="255">
        <f>+'45'!O43+'44'!O43+'43'!O43+'42'!O43+'41'!O43</f>
        <v>1399</v>
      </c>
      <c r="P43" s="255">
        <f>+'45'!P43+'44'!P43+'43'!P43+'42'!P43+'41'!P43</f>
        <v>2130</v>
      </c>
      <c r="Q43" s="255">
        <f>+'45'!Q43+'44'!Q43+'43'!Q43+'42'!Q43+'41'!Q43</f>
        <v>2988</v>
      </c>
      <c r="R43" s="323">
        <f>+'45'!R43+'44'!R43+'43'!R43+'42'!R43+'41'!R43</f>
        <v>4301</v>
      </c>
      <c r="S43" s="255">
        <f>+'45'!S43+'44'!S43+'43'!S43+'42'!S43+'41'!S43</f>
        <v>369</v>
      </c>
      <c r="T43" s="255">
        <f>+'45'!T43+'44'!T43+'43'!T43+'42'!T43+'41'!T43</f>
        <v>405</v>
      </c>
      <c r="U43" s="255">
        <f>+'45'!U43+'44'!U43+'43'!U43+'42'!U43+'41'!U43</f>
        <v>375</v>
      </c>
      <c r="V43" s="323">
        <f>+'45'!V43+'44'!V43+'43'!V43+'42'!V43+'41'!V43</f>
        <v>748</v>
      </c>
      <c r="W43" s="255">
        <f>+'45'!W43+'44'!W43+'43'!W43+'42'!W43+'41'!W43</f>
        <v>0</v>
      </c>
      <c r="X43" s="255">
        <f>+'45'!X43+'44'!X43+'43'!X43+'42'!X43+'41'!X43</f>
        <v>0</v>
      </c>
      <c r="Y43" s="255">
        <f>+'45'!Y43+'44'!Y43+'43'!Y43+'42'!Y43+'41'!Y43</f>
        <v>0</v>
      </c>
      <c r="Z43" s="323">
        <f>+'45'!Z43+'44'!Z43+'43'!Z43+'42'!Z43+'41'!Z43</f>
        <v>99</v>
      </c>
      <c r="AA43" s="254">
        <f t="shared" si="45"/>
        <v>28507</v>
      </c>
      <c r="AB43" s="255">
        <f t="shared" si="45"/>
        <v>33165</v>
      </c>
      <c r="AC43" s="255">
        <f t="shared" si="45"/>
        <v>44593</v>
      </c>
      <c r="AD43" s="323">
        <f t="shared" si="45"/>
        <v>42170</v>
      </c>
      <c r="AE43" s="255"/>
      <c r="AF43" s="255"/>
      <c r="AG43" s="255"/>
      <c r="AH43" s="255"/>
      <c r="AI43" s="255"/>
      <c r="AJ43" s="255"/>
      <c r="AK43" s="255"/>
      <c r="AL43" s="255"/>
      <c r="AM43" s="255"/>
      <c r="AN43" s="255"/>
      <c r="AO43" s="255"/>
      <c r="AP43" s="255"/>
      <c r="AQ43" s="335"/>
      <c r="AR43" s="335"/>
      <c r="AS43" s="335"/>
      <c r="AT43" s="335"/>
      <c r="AU43" s="335"/>
      <c r="AV43" s="335"/>
      <c r="AW43" s="335"/>
      <c r="AX43" s="335"/>
      <c r="AY43" s="335"/>
      <c r="AZ43" s="335"/>
      <c r="BA43" s="335"/>
      <c r="BB43" s="335"/>
      <c r="BC43" s="335"/>
      <c r="BD43" s="335"/>
      <c r="BE43" s="335"/>
      <c r="BF43" s="335"/>
      <c r="BG43" s="335"/>
      <c r="BH43" s="335"/>
      <c r="BI43" s="335"/>
      <c r="BJ43" s="335"/>
      <c r="BK43" s="335"/>
      <c r="BL43" s="335"/>
      <c r="BM43" s="335"/>
      <c r="BN43" s="335"/>
      <c r="BO43" s="335"/>
      <c r="BP43" s="335"/>
      <c r="BQ43" s="335"/>
      <c r="BR43" s="335"/>
      <c r="BS43" s="335"/>
      <c r="BT43" s="335"/>
    </row>
    <row r="44" spans="1:72" s="332" customFormat="1" ht="22.5" customHeight="1">
      <c r="A44" s="322"/>
      <c r="B44" s="211" t="s">
        <v>902</v>
      </c>
      <c r="C44" s="255">
        <f>+'45'!C44+'44'!C44+'43'!C44+'42'!C44+'41'!C44</f>
        <v>475</v>
      </c>
      <c r="D44" s="255">
        <f>+'45'!D44+'44'!D44+'43'!D44+'42'!D44+'41'!D44</f>
        <v>1216</v>
      </c>
      <c r="E44" s="255">
        <f>+'45'!E44+'44'!E44+'43'!E44+'42'!E44+'41'!E44</f>
        <v>1354</v>
      </c>
      <c r="F44" s="340">
        <f>+'45'!F44+'44'!F44+'43'!F44+'42'!F44+'41'!F44</f>
        <v>1310</v>
      </c>
      <c r="G44" s="255">
        <f>+'45'!G44+'44'!G44+'43'!G44+'42'!G44+'41'!G44</f>
        <v>878</v>
      </c>
      <c r="H44" s="255">
        <f>+'45'!H44+'44'!H44+'43'!H44+'42'!H44+'41'!H44</f>
        <v>841</v>
      </c>
      <c r="I44" s="255">
        <f>+'45'!I44+'44'!I44+'43'!I44+'42'!I44+'41'!I44</f>
        <v>1031</v>
      </c>
      <c r="J44" s="340">
        <f>+'45'!J44+'44'!J44+'43'!J44+'42'!J44+'41'!J44</f>
        <v>1270</v>
      </c>
      <c r="K44" s="255">
        <f>+'45'!K44+'44'!K44+'43'!K44+'42'!K44+'41'!K44</f>
        <v>0</v>
      </c>
      <c r="L44" s="255">
        <f>+'45'!L44+'44'!L44+'43'!L44+'42'!L44+'41'!L44</f>
        <v>0</v>
      </c>
      <c r="M44" s="255">
        <f>+'45'!M44+'44'!M44+'43'!M44+'42'!M44+'41'!M44</f>
        <v>0</v>
      </c>
      <c r="N44" s="323">
        <f>+'45'!N44+'44'!N44+'43'!N44+'42'!N44+'41'!N44</f>
        <v>0</v>
      </c>
      <c r="O44" s="255">
        <f>+'45'!O44+'44'!O44+'43'!O44+'42'!O44+'41'!O44</f>
        <v>0</v>
      </c>
      <c r="P44" s="255">
        <f>+'45'!P44+'44'!P44+'43'!P44+'42'!P44+'41'!P44</f>
        <v>0</v>
      </c>
      <c r="Q44" s="255">
        <f>+'45'!Q44+'44'!Q44+'43'!Q44+'42'!Q44+'41'!Q44</f>
        <v>4</v>
      </c>
      <c r="R44" s="323">
        <f>+'45'!R44+'44'!R44+'43'!R44+'42'!R44+'41'!R44</f>
        <v>14</v>
      </c>
      <c r="S44" s="255">
        <f>+'45'!S44+'44'!S44+'43'!S44+'42'!S44+'41'!S44</f>
        <v>1497</v>
      </c>
      <c r="T44" s="255">
        <f>+'45'!T44+'44'!T44+'43'!T44+'42'!T44+'41'!T44</f>
        <v>1886</v>
      </c>
      <c r="U44" s="255">
        <f>+'45'!U44+'44'!U44+'43'!U44+'42'!U44+'41'!U44</f>
        <v>2173</v>
      </c>
      <c r="V44" s="323">
        <f>+'45'!V44+'44'!V44+'43'!V44+'42'!V44+'41'!V44</f>
        <v>2289</v>
      </c>
      <c r="W44" s="255">
        <f>+'45'!W44+'44'!W44+'43'!W44+'42'!W44+'41'!W44</f>
        <v>750</v>
      </c>
      <c r="X44" s="255">
        <f>+'45'!X44+'44'!X44+'43'!X44+'42'!X44+'41'!X44</f>
        <v>716</v>
      </c>
      <c r="Y44" s="255">
        <f>+'45'!Y44+'44'!Y44+'43'!Y44+'42'!Y44+'41'!Y44</f>
        <v>0</v>
      </c>
      <c r="Z44" s="323">
        <f>+'45'!Z44+'44'!Z44+'43'!Z44+'42'!Z44+'41'!Z44</f>
        <v>0</v>
      </c>
      <c r="AA44" s="254">
        <f t="shared" si="45"/>
        <v>3600</v>
      </c>
      <c r="AB44" s="255">
        <f t="shared" si="45"/>
        <v>4659</v>
      </c>
      <c r="AC44" s="255">
        <f t="shared" si="45"/>
        <v>4562</v>
      </c>
      <c r="AD44" s="323">
        <f t="shared" si="45"/>
        <v>4883</v>
      </c>
      <c r="AE44" s="255"/>
      <c r="AF44" s="255"/>
      <c r="AG44" s="255"/>
      <c r="AH44" s="255"/>
      <c r="AI44" s="255"/>
      <c r="AJ44" s="255"/>
      <c r="AK44" s="255"/>
      <c r="AL44" s="255"/>
      <c r="AM44" s="255"/>
      <c r="AN44" s="255"/>
      <c r="AO44" s="255"/>
      <c r="AP44" s="25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row>
    <row r="45" spans="1:72" s="332" customFormat="1" ht="22.5" customHeight="1">
      <c r="A45" s="322" t="s">
        <v>488</v>
      </c>
      <c r="B45" s="211" t="s">
        <v>753</v>
      </c>
      <c r="C45" s="255">
        <f>+'45'!C45+'44'!C45+'43'!C45+'42'!C45+'41'!C45</f>
        <v>21144</v>
      </c>
      <c r="D45" s="255">
        <f>+'45'!D45+'44'!D45+'43'!D45+'42'!D45+'41'!D45</f>
        <v>22681</v>
      </c>
      <c r="E45" s="255">
        <f>+'45'!E45+'44'!E45+'43'!E45+'42'!E45+'41'!E45</f>
        <v>25363</v>
      </c>
      <c r="F45" s="340">
        <f>+'45'!F45+'44'!F45+'43'!F45+'42'!F45+'41'!F45</f>
        <v>25276</v>
      </c>
      <c r="G45" s="255">
        <f>+'45'!G45+'44'!G45+'43'!G45+'42'!G45+'41'!G45</f>
        <v>1688</v>
      </c>
      <c r="H45" s="255">
        <f>+'45'!H45+'44'!H45+'43'!H45+'42'!H45+'41'!H45</f>
        <v>3440</v>
      </c>
      <c r="I45" s="255">
        <f>+'45'!I45+'44'!I45+'43'!I45+'42'!I45+'41'!I45</f>
        <v>4189</v>
      </c>
      <c r="J45" s="340">
        <f>+'45'!J45+'44'!J45+'43'!J45+'42'!J45+'41'!J45</f>
        <v>4174</v>
      </c>
      <c r="K45" s="255">
        <f>+'45'!K45+'44'!K45+'43'!K45+'42'!K45+'41'!K45</f>
        <v>2638</v>
      </c>
      <c r="L45" s="255">
        <f>+'45'!L45+'44'!L45+'43'!L45+'42'!L45+'41'!L45</f>
        <v>4280</v>
      </c>
      <c r="M45" s="255">
        <f>+'45'!M45+'44'!M45+'43'!M45+'42'!M45+'41'!M45</f>
        <v>4241</v>
      </c>
      <c r="N45" s="323">
        <f>+'45'!N45+'44'!N45+'43'!N45+'42'!N45+'41'!N45</f>
        <v>5283</v>
      </c>
      <c r="O45" s="255">
        <f>+'45'!O45+'44'!O45+'43'!O45+'42'!O45+'41'!O45</f>
        <v>953</v>
      </c>
      <c r="P45" s="255">
        <f>+'45'!P45+'44'!P45+'43'!P45+'42'!P45+'41'!P45</f>
        <v>1559</v>
      </c>
      <c r="Q45" s="255">
        <f>+'45'!Q45+'44'!Q45+'43'!Q45+'42'!Q45+'41'!Q45</f>
        <v>2004</v>
      </c>
      <c r="R45" s="323">
        <f>+'45'!R45+'44'!R45+'43'!R45+'42'!R45+'41'!R45</f>
        <v>1927</v>
      </c>
      <c r="S45" s="255">
        <f>+'45'!S45+'44'!S45+'43'!S45+'42'!S45+'41'!S45</f>
        <v>1013</v>
      </c>
      <c r="T45" s="255">
        <f>+'45'!T45+'44'!T45+'43'!T45+'42'!T45+'41'!T45</f>
        <v>1584</v>
      </c>
      <c r="U45" s="255">
        <f>+'45'!U45+'44'!U45+'43'!U45+'42'!U45+'41'!U45</f>
        <v>1142</v>
      </c>
      <c r="V45" s="323">
        <f>+'45'!V45+'44'!V45+'43'!V45+'42'!V45+'41'!V45</f>
        <v>1438</v>
      </c>
      <c r="W45" s="255">
        <f>+'45'!W45+'44'!W45+'43'!W45+'42'!W45+'41'!W45</f>
        <v>1</v>
      </c>
      <c r="X45" s="255">
        <f>+'45'!X45+'44'!X45+'43'!X45+'42'!X45+'41'!X45</f>
        <v>28</v>
      </c>
      <c r="Y45" s="255">
        <f>+'45'!Y45+'44'!Y45+'43'!Y45+'42'!Y45+'41'!Y45</f>
        <v>0</v>
      </c>
      <c r="Z45" s="323">
        <f>+'45'!Z45+'44'!Z45+'43'!Z45+'42'!Z45+'41'!Z45</f>
        <v>0</v>
      </c>
      <c r="AA45" s="254">
        <f>+'45'!AA45+'44'!AA45+'43'!AA45+'42'!AA45+'41'!AA45</f>
        <v>27437</v>
      </c>
      <c r="AB45" s="255">
        <f>+'45'!AB45+'44'!AB45+'43'!AB45+'42'!AB45+'41'!AB45</f>
        <v>33572</v>
      </c>
      <c r="AC45" s="255">
        <f>+'45'!AC45+'44'!AC45+'43'!AC45+'42'!AC45+'41'!AC45</f>
        <v>36939</v>
      </c>
      <c r="AD45" s="323">
        <f>+'45'!AD45+'44'!AD45+'43'!AD45+'42'!AD45+'41'!AD45</f>
        <v>38098</v>
      </c>
      <c r="AE45" s="255"/>
      <c r="AF45" s="255"/>
      <c r="AG45" s="255"/>
      <c r="AH45" s="255"/>
      <c r="AI45" s="255"/>
      <c r="AJ45" s="255"/>
      <c r="AK45" s="255"/>
      <c r="AL45" s="255"/>
      <c r="AM45" s="255"/>
      <c r="AN45" s="255"/>
      <c r="AO45" s="255"/>
      <c r="AP45" s="255"/>
      <c r="AQ45" s="335"/>
      <c r="AR45" s="335"/>
      <c r="AS45" s="335"/>
      <c r="AT45" s="335"/>
      <c r="AU45" s="335"/>
      <c r="AV45" s="335"/>
      <c r="AW45" s="335"/>
      <c r="AX45" s="335"/>
      <c r="AY45" s="335"/>
      <c r="AZ45" s="335"/>
      <c r="BA45" s="335"/>
      <c r="BB45" s="335"/>
      <c r="BC45" s="335"/>
      <c r="BD45" s="335"/>
      <c r="BE45" s="335"/>
      <c r="BF45" s="335"/>
      <c r="BG45" s="335"/>
      <c r="BH45" s="335"/>
      <c r="BI45" s="335"/>
      <c r="BJ45" s="335"/>
      <c r="BK45" s="335"/>
      <c r="BL45" s="335"/>
      <c r="BM45" s="335"/>
      <c r="BN45" s="335"/>
      <c r="BO45" s="335"/>
      <c r="BP45" s="335"/>
      <c r="BQ45" s="335"/>
      <c r="BR45" s="335"/>
      <c r="BS45" s="335"/>
      <c r="BT45" s="335"/>
    </row>
    <row r="46" spans="1:72" s="332" customFormat="1" ht="22.5" customHeight="1">
      <c r="A46" s="322"/>
      <c r="B46" s="211" t="s">
        <v>1045</v>
      </c>
      <c r="C46" s="255">
        <f>+'45'!C46+'44'!C46+'43'!C46+'42'!C46+'41'!C46</f>
        <v>2067</v>
      </c>
      <c r="D46" s="255">
        <f>+'45'!D46+'44'!D46+'43'!D46+'42'!D46+'41'!D46</f>
        <v>2601</v>
      </c>
      <c r="E46" s="255">
        <f>+'45'!E46+'44'!E46+'43'!E46+'42'!E46+'41'!E46</f>
        <v>3539</v>
      </c>
      <c r="F46" s="340">
        <f>+'45'!F46+'44'!F46+'43'!F46+'42'!F46+'41'!F46</f>
        <v>3276</v>
      </c>
      <c r="G46" s="255">
        <f>+'45'!G46+'44'!G46+'43'!G46+'42'!G46+'41'!G46</f>
        <v>327</v>
      </c>
      <c r="H46" s="255">
        <f>+'45'!H46+'44'!H46+'43'!H46+'42'!H46+'41'!H46</f>
        <v>605</v>
      </c>
      <c r="I46" s="255">
        <f>+'45'!I46+'44'!I46+'43'!I46+'42'!I46+'41'!I46</f>
        <v>543</v>
      </c>
      <c r="J46" s="340">
        <f>+'45'!J46+'44'!J46+'43'!J46+'42'!J46+'41'!J46</f>
        <v>699</v>
      </c>
      <c r="K46" s="255">
        <f>+'45'!K46+'44'!K46+'43'!K46+'42'!K46+'41'!K46</f>
        <v>416</v>
      </c>
      <c r="L46" s="255">
        <f>+'45'!L46+'44'!L46+'43'!L46+'42'!L46+'41'!L46</f>
        <v>681</v>
      </c>
      <c r="M46" s="255">
        <f>+'45'!M46+'44'!M46+'43'!M46+'42'!M46+'41'!M46</f>
        <v>557</v>
      </c>
      <c r="N46" s="323">
        <f>+'45'!N46+'44'!N46+'43'!N46+'42'!N46+'41'!N46</f>
        <v>601</v>
      </c>
      <c r="O46" s="255">
        <f>+'45'!O46+'44'!O46+'43'!O46+'42'!O46+'41'!O46</f>
        <v>206</v>
      </c>
      <c r="P46" s="255">
        <f>+'45'!P46+'44'!P46+'43'!P46+'42'!P46+'41'!P46</f>
        <v>424</v>
      </c>
      <c r="Q46" s="255">
        <f>+'45'!Q46+'44'!Q46+'43'!Q46+'42'!Q46+'41'!Q46</f>
        <v>240</v>
      </c>
      <c r="R46" s="323">
        <f>+'45'!R46+'44'!R46+'43'!R46+'42'!R46+'41'!R46</f>
        <v>406</v>
      </c>
      <c r="S46" s="255">
        <f>+'45'!S46+'44'!S46+'43'!S46+'42'!S46+'41'!S46</f>
        <v>101</v>
      </c>
      <c r="T46" s="255">
        <f>+'45'!T46+'44'!T46+'43'!T46+'42'!T46+'41'!T46</f>
        <v>378</v>
      </c>
      <c r="U46" s="255">
        <f>+'45'!U46+'44'!U46+'43'!U46+'42'!U46+'41'!U46</f>
        <v>109</v>
      </c>
      <c r="V46" s="323">
        <f>+'45'!V46+'44'!V46+'43'!V46+'42'!V46+'41'!V46</f>
        <v>189</v>
      </c>
      <c r="W46" s="255">
        <f>+'45'!W46+'44'!W46+'43'!W46+'42'!W46+'41'!W46</f>
        <v>0</v>
      </c>
      <c r="X46" s="255">
        <f>+'45'!X46+'44'!X46+'43'!X46+'42'!X46+'41'!X46</f>
        <v>0</v>
      </c>
      <c r="Y46" s="255">
        <f>+'45'!Y46+'44'!Y46+'43'!Y46+'42'!Y46+'41'!Y46</f>
        <v>0</v>
      </c>
      <c r="Z46" s="323">
        <f>+'45'!Z46+'44'!Z46+'43'!Z46+'42'!Z46+'41'!Z46</f>
        <v>0</v>
      </c>
      <c r="AA46" s="254">
        <f>+'45'!AA46+'44'!AA46+'43'!AA46+'42'!AA46+'41'!AA46</f>
        <v>3117</v>
      </c>
      <c r="AB46" s="255">
        <f>+'45'!AB46+'44'!AB46+'43'!AB46+'42'!AB46+'41'!AB46</f>
        <v>4689</v>
      </c>
      <c r="AC46" s="255">
        <f>+'45'!AC46+'44'!AC46+'43'!AC46+'42'!AC46+'41'!AC46</f>
        <v>4988</v>
      </c>
      <c r="AD46" s="323">
        <f>+'45'!AD46+'44'!AD46+'43'!AD46+'42'!AD46+'41'!AD46</f>
        <v>5171</v>
      </c>
      <c r="AE46" s="255"/>
      <c r="AF46" s="255"/>
      <c r="AG46" s="255"/>
      <c r="AH46" s="255"/>
      <c r="AI46" s="255"/>
      <c r="AJ46" s="255"/>
      <c r="AK46" s="255"/>
      <c r="AL46" s="255"/>
      <c r="AM46" s="255"/>
      <c r="AN46" s="255"/>
      <c r="AO46" s="255"/>
      <c r="AP46" s="255"/>
      <c r="AQ46" s="335"/>
      <c r="AR46" s="335"/>
      <c r="AS46" s="335"/>
      <c r="AT46" s="335"/>
      <c r="AU46" s="335"/>
      <c r="AV46" s="335"/>
      <c r="AW46" s="335"/>
      <c r="AX46" s="335"/>
      <c r="AY46" s="335"/>
      <c r="AZ46" s="335"/>
      <c r="BA46" s="335"/>
      <c r="BB46" s="335"/>
      <c r="BC46" s="335"/>
      <c r="BD46" s="335"/>
      <c r="BE46" s="335"/>
      <c r="BF46" s="335"/>
      <c r="BG46" s="335"/>
      <c r="BH46" s="335"/>
      <c r="BI46" s="335"/>
      <c r="BJ46" s="335"/>
      <c r="BK46" s="335"/>
      <c r="BL46" s="335"/>
      <c r="BM46" s="335"/>
      <c r="BN46" s="335"/>
      <c r="BO46" s="335"/>
      <c r="BP46" s="335"/>
      <c r="BQ46" s="335"/>
      <c r="BR46" s="335"/>
      <c r="BS46" s="335"/>
      <c r="BT46" s="335"/>
    </row>
    <row r="47" spans="1:72" s="332" customFormat="1" ht="22.5" customHeight="1">
      <c r="A47" s="322"/>
      <c r="B47" s="1279" t="s">
        <v>582</v>
      </c>
      <c r="C47" s="1272">
        <f t="shared" ref="C47:AC47" si="46">SUM(C45:C46)</f>
        <v>23211</v>
      </c>
      <c r="D47" s="1272">
        <f t="shared" si="46"/>
        <v>25282</v>
      </c>
      <c r="E47" s="1272">
        <f>SUM(E45:E46)</f>
        <v>28902</v>
      </c>
      <c r="F47" s="1273">
        <f>SUM(F45:F46)</f>
        <v>28552</v>
      </c>
      <c r="G47" s="1272">
        <f t="shared" si="46"/>
        <v>2015</v>
      </c>
      <c r="H47" s="1272">
        <f t="shared" si="46"/>
        <v>4045</v>
      </c>
      <c r="I47" s="1272">
        <f>SUM(I45:I46)</f>
        <v>4732</v>
      </c>
      <c r="J47" s="1273">
        <f>SUM(J45:J46)</f>
        <v>4873</v>
      </c>
      <c r="K47" s="1272">
        <f t="shared" si="46"/>
        <v>3054</v>
      </c>
      <c r="L47" s="1272">
        <f t="shared" si="46"/>
        <v>4961</v>
      </c>
      <c r="M47" s="1272">
        <f>SUM(M45:M46)</f>
        <v>4798</v>
      </c>
      <c r="N47" s="1274">
        <f>SUM(N45:N46)</f>
        <v>5884</v>
      </c>
      <c r="O47" s="1272">
        <f t="shared" si="46"/>
        <v>1159</v>
      </c>
      <c r="P47" s="1272">
        <f t="shared" si="46"/>
        <v>1983</v>
      </c>
      <c r="Q47" s="1272">
        <f t="shared" si="46"/>
        <v>2244</v>
      </c>
      <c r="R47" s="1274">
        <f t="shared" ref="R47" si="47">SUM(R45:R46)</f>
        <v>2333</v>
      </c>
      <c r="S47" s="1272">
        <f t="shared" si="46"/>
        <v>1114</v>
      </c>
      <c r="T47" s="1272">
        <f t="shared" si="46"/>
        <v>1962</v>
      </c>
      <c r="U47" s="1272">
        <f t="shared" si="46"/>
        <v>1251</v>
      </c>
      <c r="V47" s="1274">
        <f t="shared" ref="V47" si="48">SUM(V45:V46)</f>
        <v>1627</v>
      </c>
      <c r="W47" s="1272">
        <f t="shared" si="46"/>
        <v>1</v>
      </c>
      <c r="X47" s="1272">
        <f t="shared" si="46"/>
        <v>28</v>
      </c>
      <c r="Y47" s="1272">
        <f t="shared" si="46"/>
        <v>0</v>
      </c>
      <c r="Z47" s="1274">
        <f t="shared" ref="Z47" si="49">SUM(Z45:Z46)</f>
        <v>0</v>
      </c>
      <c r="AA47" s="1275">
        <f t="shared" si="46"/>
        <v>30554</v>
      </c>
      <c r="AB47" s="1272">
        <f t="shared" si="46"/>
        <v>38261</v>
      </c>
      <c r="AC47" s="1272">
        <f t="shared" si="46"/>
        <v>41927</v>
      </c>
      <c r="AD47" s="1274">
        <f t="shared" ref="AD47" si="50">SUM(AD45:AD46)</f>
        <v>43269</v>
      </c>
      <c r="AE47" s="255"/>
      <c r="AF47" s="255"/>
      <c r="AG47" s="255"/>
      <c r="AH47" s="255"/>
      <c r="AI47" s="255"/>
      <c r="AJ47" s="255"/>
      <c r="AK47" s="255"/>
      <c r="AL47" s="255"/>
      <c r="AM47" s="255"/>
      <c r="AN47" s="255"/>
      <c r="AO47" s="255"/>
      <c r="AP47" s="255"/>
      <c r="AQ47" s="335"/>
      <c r="AR47" s="335"/>
      <c r="AS47" s="335"/>
      <c r="AT47" s="335"/>
      <c r="AU47" s="335"/>
      <c r="AV47" s="335"/>
      <c r="AW47" s="335"/>
      <c r="AX47" s="335"/>
      <c r="AY47" s="335"/>
      <c r="AZ47" s="335"/>
      <c r="BA47" s="335"/>
      <c r="BB47" s="335"/>
      <c r="BC47" s="335"/>
      <c r="BD47" s="335"/>
      <c r="BE47" s="335"/>
      <c r="BF47" s="335"/>
      <c r="BG47" s="335"/>
      <c r="BH47" s="335"/>
      <c r="BI47" s="335"/>
      <c r="BJ47" s="335"/>
      <c r="BK47" s="335"/>
      <c r="BL47" s="335"/>
      <c r="BM47" s="335"/>
      <c r="BN47" s="335"/>
      <c r="BO47" s="335"/>
      <c r="BP47" s="335"/>
      <c r="BQ47" s="335"/>
      <c r="BR47" s="335"/>
      <c r="BS47" s="335"/>
      <c r="BT47" s="335"/>
    </row>
    <row r="48" spans="1:72" s="6" customFormat="1" ht="22.5" customHeight="1">
      <c r="A48" s="1280" t="s">
        <v>870</v>
      </c>
      <c r="B48" s="1281"/>
      <c r="C48" s="1282">
        <f t="shared" ref="C48:AC48" si="51">SUM(C41:C46)+C31+C37</f>
        <v>137474</v>
      </c>
      <c r="D48" s="1282">
        <f t="shared" si="51"/>
        <v>177654</v>
      </c>
      <c r="E48" s="1282">
        <f>SUM(E41:E46)+E31+E37</f>
        <v>220636</v>
      </c>
      <c r="F48" s="1283">
        <f>SUM(F41:F46)+F31+F37</f>
        <v>212379</v>
      </c>
      <c r="G48" s="1282">
        <f t="shared" si="51"/>
        <v>22001</v>
      </c>
      <c r="H48" s="1282">
        <f t="shared" si="51"/>
        <v>25007</v>
      </c>
      <c r="I48" s="1282">
        <f>SUM(I41:I46)+I31+I37</f>
        <v>44141</v>
      </c>
      <c r="J48" s="1283">
        <f>SUM(J41:J46)+J31+J37</f>
        <v>53247</v>
      </c>
      <c r="K48" s="1282">
        <f t="shared" si="51"/>
        <v>35755</v>
      </c>
      <c r="L48" s="1282">
        <f t="shared" si="51"/>
        <v>47153</v>
      </c>
      <c r="M48" s="1282">
        <f t="shared" si="51"/>
        <v>59312</v>
      </c>
      <c r="N48" s="1283">
        <f t="shared" ref="N48" si="52">SUM(N41:N46)+N31+N37</f>
        <v>65777</v>
      </c>
      <c r="O48" s="1282">
        <f t="shared" si="51"/>
        <v>10517</v>
      </c>
      <c r="P48" s="1282">
        <f t="shared" si="51"/>
        <v>17182</v>
      </c>
      <c r="Q48" s="1282">
        <f t="shared" si="51"/>
        <v>28722</v>
      </c>
      <c r="R48" s="1283">
        <f t="shared" ref="R48" si="53">SUM(R41:R46)+R31+R37</f>
        <v>28739</v>
      </c>
      <c r="S48" s="1282">
        <f t="shared" si="51"/>
        <v>9382</v>
      </c>
      <c r="T48" s="1282">
        <f t="shared" si="51"/>
        <v>12420</v>
      </c>
      <c r="U48" s="1282">
        <f t="shared" si="51"/>
        <v>15226</v>
      </c>
      <c r="V48" s="1283">
        <f t="shared" ref="V48" si="54">SUM(V41:V46)+V31+V37</f>
        <v>18321</v>
      </c>
      <c r="W48" s="1282">
        <f t="shared" si="51"/>
        <v>4125</v>
      </c>
      <c r="X48" s="1282">
        <f t="shared" si="51"/>
        <v>5114</v>
      </c>
      <c r="Y48" s="1282">
        <f t="shared" si="51"/>
        <v>4199</v>
      </c>
      <c r="Z48" s="1283">
        <f t="shared" ref="Z48" si="55">SUM(Z41:Z46)+Z31+Z37</f>
        <v>113</v>
      </c>
      <c r="AA48" s="1284">
        <f t="shared" si="51"/>
        <v>219254</v>
      </c>
      <c r="AB48" s="1282">
        <f t="shared" si="51"/>
        <v>284530</v>
      </c>
      <c r="AC48" s="1282">
        <f t="shared" si="51"/>
        <v>372236</v>
      </c>
      <c r="AD48" s="1283">
        <f t="shared" ref="AD48" si="56">SUM(AD41:AD46)+AD31+AD37</f>
        <v>378576</v>
      </c>
      <c r="AE48" s="255"/>
    </row>
    <row r="49" spans="1:72" s="332" customFormat="1" ht="22.5" customHeight="1">
      <c r="A49" s="1578" t="s">
        <v>594</v>
      </c>
      <c r="B49" s="1579"/>
      <c r="C49" s="1285">
        <f t="shared" ref="C49:AC49" si="57">+C23+C48</f>
        <v>227379</v>
      </c>
      <c r="D49" s="1285">
        <f t="shared" si="57"/>
        <v>276160</v>
      </c>
      <c r="E49" s="1285">
        <f>+E23+E48</f>
        <v>337828</v>
      </c>
      <c r="F49" s="1286">
        <f>+F23+F48</f>
        <v>340783</v>
      </c>
      <c r="G49" s="1285">
        <f t="shared" si="57"/>
        <v>32873</v>
      </c>
      <c r="H49" s="1285">
        <f t="shared" si="57"/>
        <v>40252</v>
      </c>
      <c r="I49" s="1285">
        <f t="shared" si="57"/>
        <v>67072</v>
      </c>
      <c r="J49" s="1286">
        <f t="shared" ref="J49" si="58">+J23+J48</f>
        <v>80651</v>
      </c>
      <c r="K49" s="1285">
        <f t="shared" si="57"/>
        <v>57057</v>
      </c>
      <c r="L49" s="1285">
        <f t="shared" si="57"/>
        <v>74978</v>
      </c>
      <c r="M49" s="1285">
        <f t="shared" si="57"/>
        <v>91066</v>
      </c>
      <c r="N49" s="1286">
        <f t="shared" ref="N49" si="59">+N23+N48</f>
        <v>99910</v>
      </c>
      <c r="O49" s="1285">
        <f t="shared" si="57"/>
        <v>15497</v>
      </c>
      <c r="P49" s="1285">
        <f t="shared" si="57"/>
        <v>27628</v>
      </c>
      <c r="Q49" s="1285">
        <f t="shared" si="57"/>
        <v>47048</v>
      </c>
      <c r="R49" s="1286">
        <f t="shared" ref="R49" si="60">+R23+R48</f>
        <v>51397</v>
      </c>
      <c r="S49" s="1285">
        <f t="shared" si="57"/>
        <v>16797</v>
      </c>
      <c r="T49" s="1285">
        <f t="shared" si="57"/>
        <v>20124</v>
      </c>
      <c r="U49" s="1285">
        <f t="shared" si="57"/>
        <v>23861</v>
      </c>
      <c r="V49" s="1286">
        <f t="shared" ref="V49" si="61">+V23+V48</f>
        <v>27034</v>
      </c>
      <c r="W49" s="1285">
        <f t="shared" si="57"/>
        <v>6989</v>
      </c>
      <c r="X49" s="1285">
        <f t="shared" si="57"/>
        <v>7660</v>
      </c>
      <c r="Y49" s="1285">
        <f t="shared" si="57"/>
        <v>5456</v>
      </c>
      <c r="Z49" s="1286">
        <f t="shared" ref="Z49" si="62">+Z23+Z48</f>
        <v>136</v>
      </c>
      <c r="AA49" s="1287">
        <f t="shared" si="57"/>
        <v>356592</v>
      </c>
      <c r="AB49" s="1285">
        <f t="shared" si="57"/>
        <v>446802</v>
      </c>
      <c r="AC49" s="1285">
        <f t="shared" si="57"/>
        <v>572331</v>
      </c>
      <c r="AD49" s="1286">
        <f t="shared" ref="AD49" si="63">+AD23+AD48</f>
        <v>599911</v>
      </c>
      <c r="AE49" s="255"/>
      <c r="AF49" s="255"/>
      <c r="AG49" s="255"/>
      <c r="AH49" s="255"/>
      <c r="AI49" s="255"/>
      <c r="AJ49" s="255"/>
      <c r="AK49" s="255"/>
      <c r="AL49" s="255"/>
      <c r="AM49" s="255"/>
      <c r="AN49" s="255"/>
      <c r="AO49" s="255"/>
      <c r="AP49" s="255"/>
      <c r="AQ49" s="335"/>
      <c r="AR49" s="335"/>
      <c r="AS49" s="335"/>
      <c r="AT49" s="335"/>
      <c r="AU49" s="335"/>
      <c r="AV49" s="335"/>
      <c r="AW49" s="335"/>
      <c r="AX49" s="335"/>
      <c r="AY49" s="335"/>
      <c r="AZ49" s="335"/>
      <c r="BA49" s="335"/>
      <c r="BB49" s="335"/>
      <c r="BC49" s="335"/>
      <c r="BD49" s="335"/>
      <c r="BE49" s="335"/>
      <c r="BF49" s="335"/>
      <c r="BG49" s="335"/>
      <c r="BH49" s="335"/>
      <c r="BI49" s="335"/>
      <c r="BJ49" s="335"/>
      <c r="BK49" s="335"/>
      <c r="BL49" s="335"/>
      <c r="BM49" s="335"/>
      <c r="BN49" s="335"/>
      <c r="BO49" s="335"/>
      <c r="BP49" s="335"/>
      <c r="BQ49" s="335"/>
      <c r="BR49" s="335"/>
      <c r="BS49" s="335"/>
      <c r="BT49" s="335"/>
    </row>
    <row r="50" spans="1:72">
      <c r="AE50" s="271"/>
      <c r="AF50" s="271"/>
      <c r="AG50" s="271"/>
      <c r="AH50" s="271"/>
      <c r="AI50" s="271"/>
      <c r="AJ50" s="271"/>
      <c r="AK50" s="271"/>
      <c r="AL50" s="271"/>
      <c r="AM50" s="271"/>
      <c r="AN50" s="271"/>
      <c r="AO50" s="271"/>
      <c r="AP50" s="271"/>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row>
    <row r="51" spans="1:72">
      <c r="F51" s="842"/>
      <c r="G51" s="271"/>
      <c r="H51" s="271"/>
      <c r="J51" s="842"/>
      <c r="K51" s="271"/>
      <c r="L51" s="271"/>
      <c r="N51" s="842"/>
      <c r="O51" s="271"/>
      <c r="P51" s="271"/>
      <c r="R51" s="842"/>
      <c r="S51" s="271"/>
      <c r="T51" s="271"/>
      <c r="V51" s="842"/>
      <c r="W51" s="271"/>
      <c r="X51" s="271"/>
      <c r="Z51" s="842"/>
      <c r="AA51" s="271"/>
      <c r="AB51" s="271"/>
      <c r="AC51" s="271"/>
      <c r="AD51" s="842"/>
      <c r="AE51" s="271"/>
      <c r="AF51" s="271"/>
      <c r="AG51" s="271"/>
      <c r="AH51" s="271"/>
      <c r="AI51" s="271"/>
      <c r="AJ51" s="271"/>
      <c r="AK51" s="271"/>
      <c r="AL51" s="271"/>
      <c r="AM51" s="271"/>
      <c r="AN51" s="271"/>
      <c r="AO51" s="271"/>
      <c r="AP51" s="271"/>
      <c r="AQ51" s="286"/>
      <c r="AR51" s="286"/>
      <c r="AS51" s="286"/>
      <c r="AT51" s="286"/>
      <c r="AU51" s="286"/>
      <c r="AV51" s="286"/>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row>
    <row r="52" spans="1:72">
      <c r="F52" s="271"/>
      <c r="G52" s="271"/>
      <c r="H52" s="271"/>
      <c r="J52" s="271"/>
      <c r="K52" s="271"/>
      <c r="L52" s="271"/>
      <c r="N52" s="271"/>
      <c r="O52" s="271"/>
      <c r="P52" s="271"/>
      <c r="R52" s="271"/>
      <c r="S52" s="271"/>
      <c r="T52" s="271"/>
      <c r="V52" s="271"/>
      <c r="W52" s="271"/>
      <c r="X52" s="271"/>
      <c r="Z52" s="271"/>
      <c r="AA52" s="271"/>
      <c r="AB52" s="271"/>
      <c r="AC52" s="271"/>
      <c r="AD52" s="271"/>
      <c r="AE52" s="300"/>
      <c r="AF52" s="300"/>
      <c r="AG52" s="300"/>
      <c r="AH52" s="300"/>
      <c r="AI52" s="300"/>
      <c r="AJ52" s="300"/>
      <c r="AK52" s="300"/>
      <c r="AL52" s="300"/>
      <c r="AM52" s="300"/>
      <c r="AN52" s="300"/>
      <c r="AO52" s="300"/>
      <c r="AP52" s="300"/>
    </row>
    <row r="53" spans="1:72">
      <c r="F53" s="271"/>
      <c r="G53" s="271"/>
      <c r="H53" s="271"/>
      <c r="J53" s="271"/>
      <c r="K53" s="271"/>
      <c r="L53" s="271"/>
      <c r="N53" s="271"/>
      <c r="O53" s="271"/>
      <c r="P53" s="271"/>
      <c r="R53" s="271"/>
      <c r="S53" s="271"/>
      <c r="T53" s="271"/>
      <c r="V53" s="271"/>
      <c r="W53" s="271"/>
      <c r="X53" s="271"/>
      <c r="Z53" s="271"/>
      <c r="AA53" s="271"/>
      <c r="AB53" s="271"/>
      <c r="AC53" s="271"/>
      <c r="AD53" s="271"/>
      <c r="AE53" s="300"/>
      <c r="AF53" s="300"/>
      <c r="AG53" s="300"/>
      <c r="AH53" s="300"/>
      <c r="AI53" s="300"/>
      <c r="AJ53" s="300"/>
      <c r="AK53" s="300"/>
      <c r="AL53" s="300"/>
      <c r="AM53" s="300"/>
      <c r="AN53" s="300"/>
      <c r="AO53" s="300"/>
      <c r="AP53" s="300"/>
    </row>
    <row r="54" spans="1:72">
      <c r="F54" s="271"/>
      <c r="G54" s="300"/>
      <c r="H54" s="300"/>
      <c r="J54" s="271"/>
      <c r="K54" s="300"/>
      <c r="L54" s="300"/>
      <c r="N54" s="271"/>
      <c r="O54" s="300"/>
      <c r="P54" s="300"/>
      <c r="R54" s="271"/>
      <c r="S54" s="300"/>
      <c r="T54" s="300"/>
      <c r="V54" s="271"/>
      <c r="W54" s="300"/>
      <c r="X54" s="300"/>
      <c r="Z54" s="271"/>
      <c r="AA54" s="300"/>
      <c r="AB54" s="300"/>
      <c r="AC54" s="300"/>
      <c r="AD54" s="271"/>
      <c r="AE54" s="271"/>
      <c r="AF54" s="300"/>
      <c r="AG54" s="300"/>
      <c r="AH54" s="300"/>
      <c r="AI54" s="300"/>
      <c r="AJ54" s="300"/>
      <c r="AK54" s="300"/>
      <c r="AL54" s="300"/>
      <c r="AM54" s="300"/>
      <c r="AN54" s="300"/>
      <c r="AO54" s="300"/>
      <c r="AP54" s="300"/>
    </row>
    <row r="55" spans="1:72">
      <c r="F55" s="271"/>
      <c r="G55" s="286"/>
      <c r="H55" s="286"/>
      <c r="J55" s="271"/>
      <c r="K55" s="286"/>
      <c r="N55" s="271"/>
      <c r="R55" s="271"/>
      <c r="V55" s="271"/>
      <c r="Z55" s="271"/>
      <c r="AD55" s="271"/>
    </row>
    <row r="56" spans="1:72">
      <c r="F56" s="271"/>
      <c r="G56" s="286"/>
      <c r="H56" s="286"/>
      <c r="J56" s="271"/>
      <c r="K56" s="286"/>
      <c r="N56" s="271"/>
      <c r="R56" s="271"/>
      <c r="V56" s="271"/>
      <c r="Z56" s="271"/>
      <c r="AD56" s="271"/>
    </row>
  </sheetData>
  <mergeCells count="1">
    <mergeCell ref="A49:B49"/>
  </mergeCells>
  <phoneticPr fontId="18" type="noConversion"/>
  <pageMargins left="0.39370078740157483" right="0" top="0.98425196850393704" bottom="0.98425196850393704" header="0" footer="0"/>
  <pageSetup paperSize="5" scale="69" orientation="landscape" horizontalDpi="300" verticalDpi="300" r:id="rId1"/>
  <headerFooter alignWithMargins="0"/>
  <ignoredErrors>
    <ignoredError sqref="I47" 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D55"/>
  <sheetViews>
    <sheetView workbookViewId="0">
      <selection activeCell="J15" sqref="J15"/>
    </sheetView>
  </sheetViews>
  <sheetFormatPr baseColWidth="10" defaultColWidth="11.7109375" defaultRowHeight="12"/>
  <cols>
    <col min="1" max="1" width="12.7109375" style="277" customWidth="1"/>
    <col min="2" max="2" width="20.7109375" style="277" customWidth="1"/>
    <col min="3" max="47" width="7.28515625" style="277" customWidth="1"/>
    <col min="48" max="16384" width="11.7109375" style="277"/>
  </cols>
  <sheetData>
    <row r="1" spans="1:30">
      <c r="A1" s="1504" t="s">
        <v>876</v>
      </c>
      <c r="B1" s="1504"/>
      <c r="C1" s="1504"/>
      <c r="D1" s="1504"/>
      <c r="E1" s="1504"/>
      <c r="F1" s="1504"/>
      <c r="G1" s="1504"/>
      <c r="H1" s="1504"/>
      <c r="I1" s="1504"/>
      <c r="J1" s="1504"/>
      <c r="K1" s="1504"/>
      <c r="L1" s="1504"/>
      <c r="M1" s="1504"/>
      <c r="N1" s="1504"/>
      <c r="O1" s="1650"/>
      <c r="P1" s="1650"/>
      <c r="Q1" s="1650"/>
      <c r="R1" s="1650"/>
      <c r="S1" s="1504"/>
      <c r="T1" s="1504"/>
      <c r="U1" s="1504"/>
      <c r="V1" s="1504"/>
      <c r="W1" s="1504"/>
      <c r="X1" s="1504"/>
      <c r="Y1" s="1504"/>
      <c r="Z1" s="1504"/>
      <c r="AA1" s="1504"/>
      <c r="AB1" s="1504"/>
      <c r="AC1" s="1504"/>
      <c r="AD1" s="1504"/>
    </row>
    <row r="2" spans="1:30">
      <c r="A2" s="1504" t="s">
        <v>814</v>
      </c>
      <c r="B2" s="1504"/>
      <c r="C2" s="1504"/>
      <c r="D2" s="1504"/>
      <c r="E2" s="1504"/>
      <c r="F2" s="1504"/>
      <c r="G2" s="1504"/>
      <c r="H2" s="1504"/>
      <c r="I2" s="1504"/>
      <c r="J2" s="1504"/>
      <c r="K2" s="1504"/>
      <c r="L2" s="1504"/>
      <c r="M2" s="1504"/>
      <c r="N2" s="1504"/>
      <c r="O2" s="1650"/>
      <c r="P2" s="1650"/>
      <c r="Q2" s="1650"/>
      <c r="R2" s="1650"/>
      <c r="S2" s="1504"/>
      <c r="T2" s="1504"/>
      <c r="U2" s="1504"/>
      <c r="V2" s="1504"/>
      <c r="W2" s="1504"/>
      <c r="X2" s="1504"/>
      <c r="Y2" s="1504"/>
      <c r="Z2" s="1504"/>
      <c r="AA2" s="1504"/>
      <c r="AB2" s="1504"/>
      <c r="AC2" s="1504"/>
      <c r="AD2" s="1504"/>
    </row>
    <row r="3" spans="1:30">
      <c r="A3" s="1504" t="str">
        <f>+'46'!A4:AC4</f>
        <v>2020 - 2023</v>
      </c>
      <c r="B3" s="1504"/>
      <c r="C3" s="1504"/>
      <c r="D3" s="1504"/>
      <c r="E3" s="1504"/>
      <c r="F3" s="1504"/>
      <c r="G3" s="1504"/>
      <c r="H3" s="1504"/>
      <c r="I3" s="1504"/>
      <c r="J3" s="1504"/>
      <c r="K3" s="1504"/>
      <c r="L3" s="1504"/>
      <c r="M3" s="1504"/>
      <c r="N3" s="1504"/>
      <c r="O3" s="1650"/>
      <c r="P3" s="1650"/>
      <c r="Q3" s="1650"/>
      <c r="R3" s="1650"/>
      <c r="S3" s="1504"/>
      <c r="T3" s="1504"/>
      <c r="U3" s="1504"/>
      <c r="V3" s="1504"/>
      <c r="W3" s="1504"/>
      <c r="X3" s="1504"/>
      <c r="Y3" s="1504"/>
      <c r="Z3" s="1504"/>
      <c r="AA3" s="1504"/>
      <c r="AB3" s="1504"/>
      <c r="AC3" s="1504"/>
      <c r="AD3" s="1504"/>
    </row>
    <row r="6" spans="1:30" s="332" customFormat="1" ht="18" customHeight="1">
      <c r="A6" s="1266" t="s">
        <v>493</v>
      </c>
      <c r="B6" s="1288" t="s">
        <v>770</v>
      </c>
      <c r="C6" s="1105" t="s">
        <v>877</v>
      </c>
      <c r="D6" s="1105"/>
      <c r="E6" s="1105"/>
      <c r="F6" s="1117"/>
      <c r="G6" s="1105" t="s">
        <v>878</v>
      </c>
      <c r="H6" s="1105"/>
      <c r="I6" s="1105"/>
      <c r="J6" s="1117"/>
      <c r="K6" s="1105" t="s">
        <v>879</v>
      </c>
      <c r="L6" s="1105"/>
      <c r="M6" s="1105"/>
      <c r="N6" s="1117"/>
      <c r="O6" s="1105" t="s">
        <v>880</v>
      </c>
      <c r="P6" s="1105"/>
      <c r="Q6" s="1105"/>
      <c r="R6" s="1117"/>
      <c r="S6" s="1105" t="s">
        <v>594</v>
      </c>
      <c r="T6" s="1105"/>
      <c r="U6" s="1105"/>
      <c r="V6" s="1117"/>
    </row>
    <row r="7" spans="1:30" s="332" customFormat="1" ht="18" customHeight="1">
      <c r="A7" s="1269"/>
      <c r="B7" s="1270"/>
      <c r="C7" s="1289">
        <f>+'46'!S8</f>
        <v>2020</v>
      </c>
      <c r="D7" s="1289">
        <f>+'46'!T8</f>
        <v>2021</v>
      </c>
      <c r="E7" s="1289">
        <f>+'46'!U8</f>
        <v>2022</v>
      </c>
      <c r="F7" s="1290">
        <f>+'46'!V8</f>
        <v>2023</v>
      </c>
      <c r="G7" s="1291">
        <f>+'46'!W8</f>
        <v>2020</v>
      </c>
      <c r="H7" s="1289">
        <f>+'46'!X8</f>
        <v>2021</v>
      </c>
      <c r="I7" s="1289">
        <f>+'46'!Y8</f>
        <v>2022</v>
      </c>
      <c r="J7" s="1290">
        <f>+'46'!Z8</f>
        <v>2023</v>
      </c>
      <c r="K7" s="1291">
        <f t="shared" ref="K7:V7" si="0">+C7</f>
        <v>2020</v>
      </c>
      <c r="L7" s="1289">
        <f t="shared" si="0"/>
        <v>2021</v>
      </c>
      <c r="M7" s="1289">
        <f t="shared" si="0"/>
        <v>2022</v>
      </c>
      <c r="N7" s="1290">
        <f t="shared" si="0"/>
        <v>2023</v>
      </c>
      <c r="O7" s="1289">
        <f t="shared" si="0"/>
        <v>2020</v>
      </c>
      <c r="P7" s="1289">
        <f t="shared" si="0"/>
        <v>2021</v>
      </c>
      <c r="Q7" s="1289">
        <f t="shared" si="0"/>
        <v>2022</v>
      </c>
      <c r="R7" s="1289">
        <f t="shared" si="0"/>
        <v>2023</v>
      </c>
      <c r="S7" s="1291">
        <f t="shared" si="0"/>
        <v>2020</v>
      </c>
      <c r="T7" s="1289">
        <f t="shared" si="0"/>
        <v>2021</v>
      </c>
      <c r="U7" s="1289">
        <f t="shared" si="0"/>
        <v>2022</v>
      </c>
      <c r="V7" s="1290">
        <f t="shared" si="0"/>
        <v>2023</v>
      </c>
      <c r="W7" s="248"/>
      <c r="X7" s="248"/>
      <c r="Y7" s="248"/>
      <c r="Z7" s="248"/>
      <c r="AA7" s="248"/>
      <c r="AB7" s="248"/>
    </row>
    <row r="8" spans="1:30" s="332" customFormat="1" ht="18" customHeight="1">
      <c r="A8" s="322"/>
      <c r="B8" s="211" t="s">
        <v>1173</v>
      </c>
      <c r="C8" s="255">
        <v>226</v>
      </c>
      <c r="D8" s="255">
        <v>54</v>
      </c>
      <c r="E8" s="255">
        <v>102</v>
      </c>
      <c r="F8" s="323">
        <v>139</v>
      </c>
      <c r="G8" s="255">
        <v>434</v>
      </c>
      <c r="H8" s="255">
        <v>132</v>
      </c>
      <c r="I8" s="255">
        <v>506</v>
      </c>
      <c r="J8" s="323">
        <v>596</v>
      </c>
      <c r="K8" s="255">
        <v>1640</v>
      </c>
      <c r="L8" s="255">
        <v>449</v>
      </c>
      <c r="M8" s="255">
        <v>1538</v>
      </c>
      <c r="N8" s="323">
        <v>374</v>
      </c>
      <c r="O8" s="255">
        <v>962</v>
      </c>
      <c r="P8" s="255">
        <v>217</v>
      </c>
      <c r="Q8" s="255">
        <v>636</v>
      </c>
      <c r="R8" s="323">
        <v>602</v>
      </c>
      <c r="S8" s="254">
        <f t="shared" ref="S8:V12" si="1">+C8+G8+K8+O8</f>
        <v>3262</v>
      </c>
      <c r="T8" s="255">
        <f t="shared" si="1"/>
        <v>852</v>
      </c>
      <c r="U8" s="255">
        <f t="shared" si="1"/>
        <v>2782</v>
      </c>
      <c r="V8" s="323">
        <f t="shared" si="1"/>
        <v>1711</v>
      </c>
      <c r="W8" s="255"/>
      <c r="X8" s="248"/>
      <c r="Y8" s="255"/>
      <c r="Z8" s="248"/>
      <c r="AA8" s="248"/>
      <c r="AB8" s="248"/>
    </row>
    <row r="9" spans="1:30" s="332" customFormat="1" ht="18" customHeight="1">
      <c r="A9" s="322"/>
      <c r="B9" s="211" t="s">
        <v>1174</v>
      </c>
      <c r="C9" s="255">
        <v>310</v>
      </c>
      <c r="D9" s="255">
        <v>107</v>
      </c>
      <c r="E9" s="255">
        <v>102</v>
      </c>
      <c r="F9" s="323">
        <v>149</v>
      </c>
      <c r="G9" s="255">
        <v>716</v>
      </c>
      <c r="H9" s="255">
        <v>288</v>
      </c>
      <c r="I9" s="255">
        <v>480</v>
      </c>
      <c r="J9" s="323">
        <v>931</v>
      </c>
      <c r="K9" s="255">
        <v>1134</v>
      </c>
      <c r="L9" s="255">
        <v>766</v>
      </c>
      <c r="M9" s="255">
        <v>1287</v>
      </c>
      <c r="N9" s="323">
        <v>671</v>
      </c>
      <c r="O9" s="255">
        <v>129</v>
      </c>
      <c r="P9" s="255">
        <v>66</v>
      </c>
      <c r="Q9" s="255">
        <v>139</v>
      </c>
      <c r="R9" s="323">
        <v>269</v>
      </c>
      <c r="S9" s="254">
        <f t="shared" si="1"/>
        <v>2289</v>
      </c>
      <c r="T9" s="255">
        <f t="shared" si="1"/>
        <v>1227</v>
      </c>
      <c r="U9" s="255">
        <f t="shared" si="1"/>
        <v>2008</v>
      </c>
      <c r="V9" s="323">
        <f t="shared" si="1"/>
        <v>2020</v>
      </c>
      <c r="W9" s="255"/>
      <c r="X9" s="248"/>
      <c r="Y9" s="248"/>
      <c r="Z9" s="255"/>
      <c r="AA9" s="248"/>
      <c r="AB9" s="248"/>
    </row>
    <row r="10" spans="1:30" s="332" customFormat="1" ht="18" customHeight="1">
      <c r="A10" s="322"/>
      <c r="B10" s="211" t="s">
        <v>1056</v>
      </c>
      <c r="C10" s="255">
        <v>6</v>
      </c>
      <c r="D10" s="255">
        <v>5</v>
      </c>
      <c r="E10" s="255">
        <v>0</v>
      </c>
      <c r="F10" s="323">
        <v>24</v>
      </c>
      <c r="G10" s="255">
        <v>14</v>
      </c>
      <c r="H10" s="255">
        <v>7</v>
      </c>
      <c r="I10" s="255">
        <v>37</v>
      </c>
      <c r="J10" s="323">
        <v>25</v>
      </c>
      <c r="K10" s="255">
        <v>75</v>
      </c>
      <c r="L10" s="255">
        <v>29</v>
      </c>
      <c r="M10" s="255">
        <v>108</v>
      </c>
      <c r="N10" s="323">
        <v>40</v>
      </c>
      <c r="O10" s="255">
        <v>5</v>
      </c>
      <c r="P10" s="255">
        <v>1</v>
      </c>
      <c r="Q10" s="255">
        <v>22</v>
      </c>
      <c r="R10" s="323">
        <v>36</v>
      </c>
      <c r="S10" s="254">
        <f t="shared" si="1"/>
        <v>100</v>
      </c>
      <c r="T10" s="255">
        <f t="shared" si="1"/>
        <v>42</v>
      </c>
      <c r="U10" s="255">
        <f t="shared" si="1"/>
        <v>167</v>
      </c>
      <c r="V10" s="323">
        <f t="shared" si="1"/>
        <v>125</v>
      </c>
      <c r="W10" s="255"/>
      <c r="X10" s="248"/>
      <c r="Y10" s="248"/>
      <c r="Z10" s="248"/>
      <c r="AA10" s="248"/>
      <c r="AB10" s="248"/>
    </row>
    <row r="11" spans="1:30" s="332" customFormat="1" ht="18" customHeight="1">
      <c r="A11" s="322"/>
      <c r="B11" s="211" t="s">
        <v>1396</v>
      </c>
      <c r="C11" s="255">
        <v>375</v>
      </c>
      <c r="D11" s="255">
        <v>77</v>
      </c>
      <c r="E11" s="255">
        <v>56</v>
      </c>
      <c r="F11" s="323">
        <v>13</v>
      </c>
      <c r="G11" s="255">
        <v>1967</v>
      </c>
      <c r="H11" s="255">
        <v>442</v>
      </c>
      <c r="I11" s="255">
        <v>685</v>
      </c>
      <c r="J11" s="323">
        <v>243</v>
      </c>
      <c r="K11" s="255">
        <v>3387</v>
      </c>
      <c r="L11" s="255">
        <v>764</v>
      </c>
      <c r="M11" s="255">
        <v>1518</v>
      </c>
      <c r="N11" s="323">
        <v>91</v>
      </c>
      <c r="O11" s="255">
        <v>3215</v>
      </c>
      <c r="P11" s="255">
        <v>982</v>
      </c>
      <c r="Q11" s="255">
        <v>715</v>
      </c>
      <c r="R11" s="323">
        <v>58</v>
      </c>
      <c r="S11" s="254">
        <f t="shared" si="1"/>
        <v>8944</v>
      </c>
      <c r="T11" s="255">
        <f t="shared" si="1"/>
        <v>2265</v>
      </c>
      <c r="U11" s="255">
        <f t="shared" si="1"/>
        <v>2974</v>
      </c>
      <c r="V11" s="323">
        <f t="shared" si="1"/>
        <v>405</v>
      </c>
      <c r="W11" s="248"/>
      <c r="X11" s="248"/>
      <c r="Y11" s="248"/>
      <c r="Z11" s="248"/>
      <c r="AA11" s="248"/>
      <c r="AB11" s="248"/>
    </row>
    <row r="12" spans="1:30" s="332" customFormat="1" ht="18" customHeight="1">
      <c r="A12" s="322"/>
      <c r="B12" s="243" t="s">
        <v>739</v>
      </c>
      <c r="C12" s="255">
        <v>108</v>
      </c>
      <c r="D12" s="255">
        <v>12</v>
      </c>
      <c r="E12" s="255">
        <v>39</v>
      </c>
      <c r="F12" s="323">
        <v>43</v>
      </c>
      <c r="G12" s="255">
        <v>159</v>
      </c>
      <c r="H12" s="255">
        <v>33</v>
      </c>
      <c r="I12" s="255">
        <v>100</v>
      </c>
      <c r="J12" s="323">
        <v>164</v>
      </c>
      <c r="K12" s="255">
        <v>310</v>
      </c>
      <c r="L12" s="255">
        <v>101</v>
      </c>
      <c r="M12" s="255">
        <v>247</v>
      </c>
      <c r="N12" s="323">
        <v>121</v>
      </c>
      <c r="O12" s="255">
        <v>112</v>
      </c>
      <c r="P12" s="255">
        <v>78</v>
      </c>
      <c r="Q12" s="255">
        <v>43</v>
      </c>
      <c r="R12" s="323">
        <v>27</v>
      </c>
      <c r="S12" s="254">
        <f t="shared" si="1"/>
        <v>689</v>
      </c>
      <c r="T12" s="255">
        <f t="shared" si="1"/>
        <v>224</v>
      </c>
      <c r="U12" s="255">
        <f t="shared" si="1"/>
        <v>429</v>
      </c>
      <c r="V12" s="323">
        <f t="shared" si="1"/>
        <v>355</v>
      </c>
      <c r="W12" s="248"/>
      <c r="X12" s="255"/>
      <c r="Y12" s="248"/>
      <c r="Z12" s="248"/>
      <c r="AA12" s="248"/>
      <c r="AB12" s="248"/>
    </row>
    <row r="13" spans="1:30" s="332" customFormat="1" ht="18" customHeight="1">
      <c r="A13" s="322"/>
      <c r="B13" s="1271" t="s">
        <v>582</v>
      </c>
      <c r="C13" s="1272">
        <v>1025</v>
      </c>
      <c r="D13" s="1272">
        <v>255</v>
      </c>
      <c r="E13" s="1272">
        <f>SUM(E8:E12)</f>
        <v>299</v>
      </c>
      <c r="F13" s="1274">
        <f t="shared" ref="F13:R13" si="2">SUM(F8:F12)</f>
        <v>368</v>
      </c>
      <c r="G13" s="1272">
        <f t="shared" si="2"/>
        <v>3290</v>
      </c>
      <c r="H13" s="1272">
        <f t="shared" si="2"/>
        <v>902</v>
      </c>
      <c r="I13" s="1272">
        <f t="shared" si="2"/>
        <v>1808</v>
      </c>
      <c r="J13" s="1274">
        <f t="shared" si="2"/>
        <v>1959</v>
      </c>
      <c r="K13" s="1272">
        <f t="shared" si="2"/>
        <v>6546</v>
      </c>
      <c r="L13" s="1272">
        <f t="shared" si="2"/>
        <v>2109</v>
      </c>
      <c r="M13" s="1272">
        <f t="shared" si="2"/>
        <v>4698</v>
      </c>
      <c r="N13" s="1274">
        <f t="shared" si="2"/>
        <v>1297</v>
      </c>
      <c r="O13" s="1272">
        <f t="shared" si="2"/>
        <v>4423</v>
      </c>
      <c r="P13" s="1272">
        <f t="shared" si="2"/>
        <v>1344</v>
      </c>
      <c r="Q13" s="1272">
        <f t="shared" si="2"/>
        <v>1555</v>
      </c>
      <c r="R13" s="1274">
        <f t="shared" si="2"/>
        <v>992</v>
      </c>
      <c r="S13" s="1275">
        <f>SUM(S8:S12)</f>
        <v>15284</v>
      </c>
      <c r="T13" s="1272">
        <f>SUM(T8:T12)</f>
        <v>4610</v>
      </c>
      <c r="U13" s="1272">
        <f>SUM(U8:U12)</f>
        <v>8360</v>
      </c>
      <c r="V13" s="1274">
        <f>SUM(V8:V12)</f>
        <v>4616</v>
      </c>
      <c r="W13" s="248"/>
      <c r="X13" s="248"/>
      <c r="Y13" s="255"/>
      <c r="Z13" s="248"/>
      <c r="AA13" s="248"/>
      <c r="AB13" s="248"/>
    </row>
    <row r="14" spans="1:30" s="332" customFormat="1" ht="18" customHeight="1">
      <c r="A14" s="322" t="s">
        <v>479</v>
      </c>
      <c r="B14" s="243" t="s">
        <v>740</v>
      </c>
      <c r="C14" s="255">
        <v>92</v>
      </c>
      <c r="D14" s="255">
        <v>57</v>
      </c>
      <c r="E14" s="255">
        <v>42</v>
      </c>
      <c r="F14" s="323">
        <v>170</v>
      </c>
      <c r="G14" s="255">
        <v>223</v>
      </c>
      <c r="H14" s="255">
        <v>187</v>
      </c>
      <c r="I14" s="255">
        <v>289</v>
      </c>
      <c r="J14" s="323">
        <v>589</v>
      </c>
      <c r="K14" s="255">
        <v>479</v>
      </c>
      <c r="L14" s="255">
        <v>523</v>
      </c>
      <c r="M14" s="255">
        <v>676</v>
      </c>
      <c r="N14" s="323">
        <v>500</v>
      </c>
      <c r="O14" s="255">
        <v>92</v>
      </c>
      <c r="P14" s="255">
        <v>74</v>
      </c>
      <c r="Q14" s="255">
        <v>121</v>
      </c>
      <c r="R14" s="323">
        <v>312</v>
      </c>
      <c r="S14" s="254">
        <f t="shared" ref="S14:V16" si="3">+C14+G14+K14+O14</f>
        <v>886</v>
      </c>
      <c r="T14" s="255">
        <f t="shared" si="3"/>
        <v>841</v>
      </c>
      <c r="U14" s="255">
        <f t="shared" si="3"/>
        <v>1128</v>
      </c>
      <c r="V14" s="323">
        <f t="shared" si="3"/>
        <v>1571</v>
      </c>
      <c r="W14" s="248"/>
      <c r="X14" s="248"/>
      <c r="Y14" s="255"/>
      <c r="Z14" s="248"/>
      <c r="AA14" s="248"/>
      <c r="AB14" s="248"/>
    </row>
    <row r="15" spans="1:30" s="332" customFormat="1" ht="18" customHeight="1">
      <c r="A15" s="322"/>
      <c r="B15" s="211" t="s">
        <v>1057</v>
      </c>
      <c r="C15" s="255">
        <v>12</v>
      </c>
      <c r="D15" s="255">
        <v>1</v>
      </c>
      <c r="E15" s="255">
        <v>13</v>
      </c>
      <c r="F15" s="323">
        <v>46</v>
      </c>
      <c r="G15" s="255">
        <v>20</v>
      </c>
      <c r="H15" s="255">
        <v>4</v>
      </c>
      <c r="I15" s="255">
        <v>46</v>
      </c>
      <c r="J15" s="323">
        <v>115</v>
      </c>
      <c r="K15" s="255">
        <v>50</v>
      </c>
      <c r="L15" s="255">
        <v>18</v>
      </c>
      <c r="M15" s="255">
        <v>154</v>
      </c>
      <c r="N15" s="323">
        <v>121</v>
      </c>
      <c r="O15" s="255">
        <v>3</v>
      </c>
      <c r="P15" s="255">
        <v>0</v>
      </c>
      <c r="Q15" s="255">
        <v>26</v>
      </c>
      <c r="R15" s="323">
        <v>53</v>
      </c>
      <c r="S15" s="254">
        <f t="shared" si="3"/>
        <v>85</v>
      </c>
      <c r="T15" s="255">
        <f t="shared" si="3"/>
        <v>23</v>
      </c>
      <c r="U15" s="255">
        <f t="shared" si="3"/>
        <v>239</v>
      </c>
      <c r="V15" s="323">
        <f t="shared" si="3"/>
        <v>335</v>
      </c>
      <c r="W15" s="248"/>
      <c r="X15" s="248"/>
      <c r="Y15" s="248"/>
      <c r="Z15" s="248"/>
      <c r="AA15" s="248"/>
      <c r="AB15" s="248"/>
    </row>
    <row r="16" spans="1:30" s="332" customFormat="1" ht="18" customHeight="1">
      <c r="A16" s="322"/>
      <c r="B16" s="211" t="s">
        <v>1058</v>
      </c>
      <c r="C16" s="255">
        <v>3</v>
      </c>
      <c r="D16" s="255">
        <v>0</v>
      </c>
      <c r="E16" s="255">
        <v>17</v>
      </c>
      <c r="F16" s="323">
        <v>33</v>
      </c>
      <c r="G16" s="255">
        <v>9</v>
      </c>
      <c r="H16" s="255">
        <v>2</v>
      </c>
      <c r="I16" s="255">
        <v>10</v>
      </c>
      <c r="J16" s="323">
        <v>40</v>
      </c>
      <c r="K16" s="255">
        <v>39</v>
      </c>
      <c r="L16" s="255">
        <v>28</v>
      </c>
      <c r="M16" s="255">
        <v>58</v>
      </c>
      <c r="N16" s="323">
        <v>57</v>
      </c>
      <c r="O16" s="255">
        <v>19</v>
      </c>
      <c r="P16" s="255">
        <v>14</v>
      </c>
      <c r="Q16" s="255">
        <v>21</v>
      </c>
      <c r="R16" s="323">
        <v>53</v>
      </c>
      <c r="S16" s="254">
        <f t="shared" si="3"/>
        <v>70</v>
      </c>
      <c r="T16" s="255">
        <f t="shared" si="3"/>
        <v>44</v>
      </c>
      <c r="U16" s="255">
        <f t="shared" si="3"/>
        <v>106</v>
      </c>
      <c r="V16" s="323">
        <f t="shared" si="3"/>
        <v>183</v>
      </c>
      <c r="W16" s="248"/>
      <c r="X16" s="248"/>
      <c r="Y16" s="248"/>
      <c r="Z16" s="248"/>
      <c r="AA16" s="248"/>
      <c r="AB16" s="248"/>
    </row>
    <row r="17" spans="1:28" s="332" customFormat="1" ht="18" customHeight="1">
      <c r="A17" s="322"/>
      <c r="B17" s="1271" t="s">
        <v>582</v>
      </c>
      <c r="C17" s="1272">
        <v>107</v>
      </c>
      <c r="D17" s="1272">
        <v>58</v>
      </c>
      <c r="E17" s="1272">
        <f>SUM(E14:E16)</f>
        <v>72</v>
      </c>
      <c r="F17" s="1274">
        <f t="shared" ref="F17:R17" si="4">SUM(F14:F16)</f>
        <v>249</v>
      </c>
      <c r="G17" s="1272">
        <f t="shared" si="4"/>
        <v>252</v>
      </c>
      <c r="H17" s="1272">
        <f t="shared" si="4"/>
        <v>193</v>
      </c>
      <c r="I17" s="1272">
        <f t="shared" si="4"/>
        <v>345</v>
      </c>
      <c r="J17" s="1274">
        <f t="shared" si="4"/>
        <v>744</v>
      </c>
      <c r="K17" s="1272">
        <f t="shared" si="4"/>
        <v>568</v>
      </c>
      <c r="L17" s="1272">
        <f t="shared" si="4"/>
        <v>569</v>
      </c>
      <c r="M17" s="1272">
        <f t="shared" si="4"/>
        <v>888</v>
      </c>
      <c r="N17" s="1274">
        <f t="shared" si="4"/>
        <v>678</v>
      </c>
      <c r="O17" s="1272">
        <f t="shared" si="4"/>
        <v>114</v>
      </c>
      <c r="P17" s="1272">
        <f t="shared" si="4"/>
        <v>88</v>
      </c>
      <c r="Q17" s="1272">
        <f t="shared" si="4"/>
        <v>168</v>
      </c>
      <c r="R17" s="1274">
        <f t="shared" si="4"/>
        <v>418</v>
      </c>
      <c r="S17" s="1275">
        <f t="shared" ref="S17:T21" si="5">+C17+G17+K17+O17</f>
        <v>1041</v>
      </c>
      <c r="T17" s="1272">
        <f t="shared" si="5"/>
        <v>908</v>
      </c>
      <c r="U17" s="1272">
        <f>SUM(U14:U16)</f>
        <v>1473</v>
      </c>
      <c r="V17" s="1274">
        <f>SUM(V14:V16)</f>
        <v>2089</v>
      </c>
      <c r="W17" s="248"/>
      <c r="X17" s="248"/>
      <c r="Y17" s="248"/>
      <c r="Z17" s="248"/>
      <c r="AA17" s="248"/>
      <c r="AB17" s="248"/>
    </row>
    <row r="18" spans="1:28" s="332" customFormat="1" ht="18" customHeight="1">
      <c r="A18" s="322" t="s">
        <v>865</v>
      </c>
      <c r="B18" s="211" t="s">
        <v>742</v>
      </c>
      <c r="C18" s="255">
        <v>285</v>
      </c>
      <c r="D18" s="255">
        <v>53</v>
      </c>
      <c r="E18" s="255">
        <v>68</v>
      </c>
      <c r="F18" s="323">
        <v>162</v>
      </c>
      <c r="G18" s="255">
        <v>331</v>
      </c>
      <c r="H18" s="255">
        <v>127</v>
      </c>
      <c r="I18" s="255">
        <v>485</v>
      </c>
      <c r="J18" s="323">
        <v>521</v>
      </c>
      <c r="K18" s="255">
        <v>1115</v>
      </c>
      <c r="L18" s="255">
        <v>507</v>
      </c>
      <c r="M18" s="255">
        <v>1228</v>
      </c>
      <c r="N18" s="323">
        <v>434</v>
      </c>
      <c r="O18" s="255">
        <v>298</v>
      </c>
      <c r="P18" s="255">
        <v>118</v>
      </c>
      <c r="Q18" s="255">
        <v>301</v>
      </c>
      <c r="R18" s="323">
        <v>413</v>
      </c>
      <c r="S18" s="254">
        <f t="shared" si="5"/>
        <v>2029</v>
      </c>
      <c r="T18" s="255">
        <f t="shared" si="5"/>
        <v>805</v>
      </c>
      <c r="U18" s="255">
        <f>+E18+I18+M18+Q18</f>
        <v>2082</v>
      </c>
      <c r="V18" s="323">
        <f>+F18+J18+N18+R18</f>
        <v>1530</v>
      </c>
      <c r="W18" s="248"/>
      <c r="X18" s="248"/>
      <c r="Y18" s="248"/>
      <c r="Z18" s="248"/>
      <c r="AA18" s="248"/>
      <c r="AB18" s="248"/>
    </row>
    <row r="19" spans="1:28" s="332" customFormat="1" ht="18" customHeight="1">
      <c r="A19" s="322"/>
      <c r="B19" s="211" t="s">
        <v>1060</v>
      </c>
      <c r="C19" s="255">
        <v>18</v>
      </c>
      <c r="D19" s="255">
        <v>4</v>
      </c>
      <c r="E19" s="255">
        <v>4</v>
      </c>
      <c r="F19" s="323">
        <v>5</v>
      </c>
      <c r="G19" s="255">
        <v>22</v>
      </c>
      <c r="H19" s="255">
        <v>2</v>
      </c>
      <c r="I19" s="255">
        <v>11</v>
      </c>
      <c r="J19" s="323">
        <v>19</v>
      </c>
      <c r="K19" s="255">
        <v>53</v>
      </c>
      <c r="L19" s="255">
        <v>23</v>
      </c>
      <c r="M19" s="255">
        <v>63</v>
      </c>
      <c r="N19" s="323">
        <v>15</v>
      </c>
      <c r="O19" s="255">
        <v>19</v>
      </c>
      <c r="P19" s="255">
        <v>11</v>
      </c>
      <c r="Q19" s="255">
        <v>22</v>
      </c>
      <c r="R19" s="323">
        <v>49</v>
      </c>
      <c r="S19" s="254">
        <f t="shared" si="5"/>
        <v>112</v>
      </c>
      <c r="T19" s="255">
        <f t="shared" si="5"/>
        <v>40</v>
      </c>
      <c r="U19" s="255">
        <f>+E19+I19+M19+Q19</f>
        <v>100</v>
      </c>
      <c r="V19" s="323">
        <f>+F19+J19+N19+R19</f>
        <v>88</v>
      </c>
      <c r="W19" s="248"/>
      <c r="X19" s="248"/>
      <c r="Y19" s="248"/>
      <c r="Z19" s="248"/>
      <c r="AA19" s="248"/>
      <c r="AB19" s="248"/>
    </row>
    <row r="20" spans="1:28" s="332" customFormat="1" ht="18" customHeight="1">
      <c r="A20" s="322"/>
      <c r="B20" s="1271" t="s">
        <v>582</v>
      </c>
      <c r="C20" s="1272">
        <v>303</v>
      </c>
      <c r="D20" s="1272">
        <v>57</v>
      </c>
      <c r="E20" s="1272">
        <f>SUM(E18:E19)</f>
        <v>72</v>
      </c>
      <c r="F20" s="1274">
        <f t="shared" ref="F20:R20" si="6">SUM(F18:F19)</f>
        <v>167</v>
      </c>
      <c r="G20" s="1272">
        <f t="shared" si="6"/>
        <v>353</v>
      </c>
      <c r="H20" s="1272">
        <f t="shared" si="6"/>
        <v>129</v>
      </c>
      <c r="I20" s="1272">
        <f t="shared" si="6"/>
        <v>496</v>
      </c>
      <c r="J20" s="1274">
        <f t="shared" si="6"/>
        <v>540</v>
      </c>
      <c r="K20" s="1272">
        <f t="shared" si="6"/>
        <v>1168</v>
      </c>
      <c r="L20" s="1272">
        <f t="shared" si="6"/>
        <v>530</v>
      </c>
      <c r="M20" s="1272">
        <f t="shared" si="6"/>
        <v>1291</v>
      </c>
      <c r="N20" s="1274">
        <f t="shared" si="6"/>
        <v>449</v>
      </c>
      <c r="O20" s="1272">
        <f t="shared" si="6"/>
        <v>317</v>
      </c>
      <c r="P20" s="1272">
        <f t="shared" si="6"/>
        <v>129</v>
      </c>
      <c r="Q20" s="1272">
        <f t="shared" si="6"/>
        <v>323</v>
      </c>
      <c r="R20" s="1274">
        <f t="shared" si="6"/>
        <v>462</v>
      </c>
      <c r="S20" s="1275">
        <f t="shared" si="5"/>
        <v>2141</v>
      </c>
      <c r="T20" s="1272">
        <f t="shared" si="5"/>
        <v>845</v>
      </c>
      <c r="U20" s="1272">
        <f>SUM(U18:U19)</f>
        <v>2182</v>
      </c>
      <c r="V20" s="1274">
        <f>SUM(V18:V19)</f>
        <v>1618</v>
      </c>
      <c r="W20" s="248"/>
      <c r="X20" s="255"/>
      <c r="Y20" s="248"/>
      <c r="Z20" s="248"/>
      <c r="AA20" s="248"/>
      <c r="AB20" s="248"/>
    </row>
    <row r="21" spans="1:28" s="332" customFormat="1" ht="18" customHeight="1">
      <c r="A21" s="322" t="s">
        <v>481</v>
      </c>
      <c r="B21" s="243" t="s">
        <v>743</v>
      </c>
      <c r="C21" s="255">
        <v>340</v>
      </c>
      <c r="D21" s="255">
        <v>103</v>
      </c>
      <c r="E21" s="255">
        <v>93</v>
      </c>
      <c r="F21" s="323">
        <v>216</v>
      </c>
      <c r="G21" s="255">
        <v>552</v>
      </c>
      <c r="H21" s="255">
        <v>222</v>
      </c>
      <c r="I21" s="255">
        <v>360</v>
      </c>
      <c r="J21" s="323">
        <v>602</v>
      </c>
      <c r="K21" s="255">
        <v>1031</v>
      </c>
      <c r="L21" s="255">
        <v>674</v>
      </c>
      <c r="M21" s="255">
        <v>1122</v>
      </c>
      <c r="N21" s="323">
        <v>536</v>
      </c>
      <c r="O21" s="255">
        <v>269</v>
      </c>
      <c r="P21" s="255">
        <v>128</v>
      </c>
      <c r="Q21" s="255">
        <v>204</v>
      </c>
      <c r="R21" s="323">
        <v>362</v>
      </c>
      <c r="S21" s="254">
        <f t="shared" si="5"/>
        <v>2192</v>
      </c>
      <c r="T21" s="255">
        <f t="shared" si="5"/>
        <v>1127</v>
      </c>
      <c r="U21" s="255">
        <f>+E21+I21+M21+Q21</f>
        <v>1779</v>
      </c>
      <c r="V21" s="323">
        <f>+F21+J21+N21+R21</f>
        <v>1716</v>
      </c>
      <c r="W21" s="248"/>
      <c r="X21" s="248"/>
      <c r="Y21" s="248"/>
      <c r="Z21" s="248"/>
      <c r="AA21" s="248"/>
      <c r="AB21" s="248"/>
    </row>
    <row r="22" spans="1:28" s="332" customFormat="1" ht="18" customHeight="1">
      <c r="A22" s="1026" t="s">
        <v>866</v>
      </c>
      <c r="B22" s="1027"/>
      <c r="C22" s="1276">
        <v>1775</v>
      </c>
      <c r="D22" s="1276">
        <v>473</v>
      </c>
      <c r="E22" s="1276">
        <f>+E13+E17+E20+E21</f>
        <v>536</v>
      </c>
      <c r="F22" s="1277">
        <f t="shared" ref="F22:R22" si="7">+F13+F17+F20+F21</f>
        <v>1000</v>
      </c>
      <c r="G22" s="1276">
        <f t="shared" si="7"/>
        <v>4447</v>
      </c>
      <c r="H22" s="1276">
        <f t="shared" si="7"/>
        <v>1446</v>
      </c>
      <c r="I22" s="1276">
        <f t="shared" si="7"/>
        <v>3009</v>
      </c>
      <c r="J22" s="1277">
        <f t="shared" si="7"/>
        <v>3845</v>
      </c>
      <c r="K22" s="1276">
        <f t="shared" si="7"/>
        <v>9313</v>
      </c>
      <c r="L22" s="1276">
        <f t="shared" si="7"/>
        <v>3882</v>
      </c>
      <c r="M22" s="1276">
        <f t="shared" si="7"/>
        <v>7999</v>
      </c>
      <c r="N22" s="1277">
        <f t="shared" si="7"/>
        <v>2960</v>
      </c>
      <c r="O22" s="1276">
        <f t="shared" si="7"/>
        <v>5123</v>
      </c>
      <c r="P22" s="1276">
        <f t="shared" si="7"/>
        <v>1689</v>
      </c>
      <c r="Q22" s="1276">
        <f t="shared" si="7"/>
        <v>2250</v>
      </c>
      <c r="R22" s="1277">
        <f t="shared" si="7"/>
        <v>2234</v>
      </c>
      <c r="S22" s="1278">
        <f>+S13+S17+S20+S21</f>
        <v>20658</v>
      </c>
      <c r="T22" s="1276">
        <f>+T13+T17+T20+T21</f>
        <v>7490</v>
      </c>
      <c r="U22" s="1276">
        <f>+U13+U17+U20+U21</f>
        <v>13794</v>
      </c>
      <c r="V22" s="1277">
        <f>+V13+V17+V20+V21</f>
        <v>10039</v>
      </c>
      <c r="W22" s="248"/>
      <c r="X22" s="248"/>
      <c r="Y22" s="248"/>
      <c r="Z22" s="248"/>
      <c r="AA22" s="248"/>
      <c r="AB22" s="248"/>
    </row>
    <row r="23" spans="1:28" s="332" customFormat="1" ht="18" customHeight="1">
      <c r="A23" s="322" t="s">
        <v>867</v>
      </c>
      <c r="B23" s="211" t="s">
        <v>1176</v>
      </c>
      <c r="C23" s="255">
        <v>568</v>
      </c>
      <c r="D23" s="255">
        <v>218</v>
      </c>
      <c r="E23" s="255">
        <v>371</v>
      </c>
      <c r="F23" s="323">
        <v>571</v>
      </c>
      <c r="G23" s="255">
        <v>693</v>
      </c>
      <c r="H23" s="255">
        <v>168</v>
      </c>
      <c r="I23" s="255">
        <v>454</v>
      </c>
      <c r="J23" s="323">
        <v>762</v>
      </c>
      <c r="K23" s="255">
        <v>1917</v>
      </c>
      <c r="L23" s="255">
        <v>549</v>
      </c>
      <c r="M23" s="255">
        <v>1360</v>
      </c>
      <c r="N23" s="323">
        <v>957</v>
      </c>
      <c r="O23" s="255">
        <v>853</v>
      </c>
      <c r="P23" s="255">
        <v>263</v>
      </c>
      <c r="Q23" s="255">
        <v>525</v>
      </c>
      <c r="R23" s="323">
        <v>795</v>
      </c>
      <c r="S23" s="254">
        <f t="shared" ref="S23:V28" si="8">+C23+G23+K23+O23</f>
        <v>4031</v>
      </c>
      <c r="T23" s="255">
        <f t="shared" si="8"/>
        <v>1198</v>
      </c>
      <c r="U23" s="255">
        <f t="shared" si="8"/>
        <v>2710</v>
      </c>
      <c r="V23" s="323">
        <f t="shared" si="8"/>
        <v>3085</v>
      </c>
      <c r="W23" s="248"/>
      <c r="X23" s="248"/>
      <c r="Y23" s="248"/>
      <c r="Z23" s="248"/>
      <c r="AA23" s="248"/>
      <c r="AB23" s="248"/>
    </row>
    <row r="24" spans="1:28" s="332" customFormat="1" ht="18" customHeight="1">
      <c r="A24" s="322"/>
      <c r="B24" s="211" t="s">
        <v>1292</v>
      </c>
      <c r="C24" s="255"/>
      <c r="D24" s="255"/>
      <c r="E24" s="255"/>
      <c r="F24" s="323">
        <v>0</v>
      </c>
      <c r="G24" s="255"/>
      <c r="H24" s="255"/>
      <c r="I24" s="255"/>
      <c r="J24" s="323">
        <v>0</v>
      </c>
      <c r="K24" s="255">
        <v>599</v>
      </c>
      <c r="L24" s="255">
        <v>115</v>
      </c>
      <c r="M24" s="255">
        <v>743</v>
      </c>
      <c r="N24" s="323">
        <v>0</v>
      </c>
      <c r="O24" s="255"/>
      <c r="P24" s="255"/>
      <c r="Q24" s="255"/>
      <c r="R24" s="323">
        <v>0</v>
      </c>
      <c r="S24" s="254">
        <f t="shared" si="8"/>
        <v>599</v>
      </c>
      <c r="T24" s="255">
        <f t="shared" si="8"/>
        <v>115</v>
      </c>
      <c r="U24" s="255">
        <f t="shared" si="8"/>
        <v>743</v>
      </c>
      <c r="V24" s="323">
        <f t="shared" si="8"/>
        <v>0</v>
      </c>
      <c r="W24" s="248"/>
      <c r="X24" s="248"/>
      <c r="Y24" s="248"/>
      <c r="Z24" s="248"/>
      <c r="AA24" s="248"/>
      <c r="AB24" s="248"/>
    </row>
    <row r="25" spans="1:28" s="332" customFormat="1" ht="18" customHeight="1">
      <c r="A25" s="322"/>
      <c r="B25" s="211" t="s">
        <v>1295</v>
      </c>
      <c r="C25" s="255">
        <v>231</v>
      </c>
      <c r="D25" s="255">
        <v>58</v>
      </c>
      <c r="E25" s="255">
        <v>324</v>
      </c>
      <c r="F25" s="323">
        <v>40</v>
      </c>
      <c r="G25" s="255">
        <v>1549</v>
      </c>
      <c r="H25" s="255">
        <v>475</v>
      </c>
      <c r="I25" s="255">
        <v>1595</v>
      </c>
      <c r="J25" s="323">
        <v>109</v>
      </c>
      <c r="K25" s="255">
        <v>2180</v>
      </c>
      <c r="L25" s="255">
        <v>770</v>
      </c>
      <c r="M25" s="255">
        <v>1996</v>
      </c>
      <c r="N25" s="323">
        <v>85</v>
      </c>
      <c r="O25" s="255">
        <v>353</v>
      </c>
      <c r="P25" s="255">
        <v>59</v>
      </c>
      <c r="Q25" s="255">
        <v>159</v>
      </c>
      <c r="R25" s="323">
        <v>11</v>
      </c>
      <c r="S25" s="254">
        <f t="shared" si="8"/>
        <v>4313</v>
      </c>
      <c r="T25" s="255">
        <f t="shared" si="8"/>
        <v>1362</v>
      </c>
      <c r="U25" s="255">
        <f t="shared" si="8"/>
        <v>4074</v>
      </c>
      <c r="V25" s="323">
        <f t="shared" si="8"/>
        <v>245</v>
      </c>
      <c r="W25" s="248"/>
      <c r="X25" s="248"/>
      <c r="Y25" s="248"/>
      <c r="Z25" s="248"/>
      <c r="AA25" s="248"/>
      <c r="AB25" s="248"/>
    </row>
    <row r="26" spans="1:28" s="332" customFormat="1" ht="18" customHeight="1">
      <c r="A26" s="322"/>
      <c r="B26" s="211" t="s">
        <v>1175</v>
      </c>
      <c r="C26" s="352">
        <v>1232</v>
      </c>
      <c r="D26" s="352">
        <v>375</v>
      </c>
      <c r="E26" s="352">
        <v>478</v>
      </c>
      <c r="F26" s="340">
        <v>1358</v>
      </c>
      <c r="G26" s="352">
        <v>1216</v>
      </c>
      <c r="H26" s="352">
        <v>429</v>
      </c>
      <c r="I26" s="352">
        <v>672</v>
      </c>
      <c r="J26" s="340">
        <v>1369</v>
      </c>
      <c r="K26" s="352">
        <v>3013</v>
      </c>
      <c r="L26" s="352">
        <v>1508</v>
      </c>
      <c r="M26" s="352">
        <v>1233</v>
      </c>
      <c r="N26" s="340">
        <v>2105</v>
      </c>
      <c r="O26" s="352">
        <v>566</v>
      </c>
      <c r="P26" s="352">
        <v>331</v>
      </c>
      <c r="Q26" s="352">
        <v>170</v>
      </c>
      <c r="R26" s="340">
        <v>488</v>
      </c>
      <c r="S26" s="254">
        <f t="shared" si="8"/>
        <v>6027</v>
      </c>
      <c r="T26" s="255">
        <f t="shared" si="8"/>
        <v>2643</v>
      </c>
      <c r="U26" s="352">
        <f t="shared" si="8"/>
        <v>2553</v>
      </c>
      <c r="V26" s="340">
        <f t="shared" si="8"/>
        <v>5320</v>
      </c>
      <c r="W26" s="248"/>
      <c r="X26" s="248"/>
      <c r="Y26" s="248"/>
      <c r="Z26" s="248"/>
      <c r="AA26" s="248"/>
      <c r="AB26" s="248"/>
    </row>
    <row r="27" spans="1:28" s="332" customFormat="1" ht="18" customHeight="1">
      <c r="A27" s="322"/>
      <c r="B27" s="243" t="s">
        <v>489</v>
      </c>
      <c r="C27" s="255">
        <v>92</v>
      </c>
      <c r="D27" s="255">
        <v>42</v>
      </c>
      <c r="E27" s="255">
        <v>19</v>
      </c>
      <c r="F27" s="323">
        <v>18</v>
      </c>
      <c r="G27" s="255">
        <v>262</v>
      </c>
      <c r="H27" s="255">
        <v>127</v>
      </c>
      <c r="I27" s="255">
        <v>120</v>
      </c>
      <c r="J27" s="323">
        <v>223</v>
      </c>
      <c r="K27" s="255">
        <v>329</v>
      </c>
      <c r="L27" s="255">
        <v>222</v>
      </c>
      <c r="M27" s="255">
        <v>178</v>
      </c>
      <c r="N27" s="323">
        <v>109</v>
      </c>
      <c r="O27" s="255">
        <v>94</v>
      </c>
      <c r="P27" s="255">
        <v>91</v>
      </c>
      <c r="Q27" s="255">
        <v>69</v>
      </c>
      <c r="R27" s="323">
        <v>90</v>
      </c>
      <c r="S27" s="254">
        <f t="shared" si="8"/>
        <v>777</v>
      </c>
      <c r="T27" s="255">
        <f t="shared" si="8"/>
        <v>482</v>
      </c>
      <c r="U27" s="255">
        <f t="shared" si="8"/>
        <v>386</v>
      </c>
      <c r="V27" s="323">
        <f t="shared" si="8"/>
        <v>440</v>
      </c>
      <c r="W27" s="248"/>
      <c r="X27" s="255"/>
      <c r="Y27" s="248"/>
      <c r="Z27" s="248"/>
      <c r="AA27" s="248"/>
      <c r="AB27" s="248"/>
    </row>
    <row r="28" spans="1:28" s="332" customFormat="1" ht="18" customHeight="1">
      <c r="A28" s="322"/>
      <c r="B28" s="243" t="s">
        <v>747</v>
      </c>
      <c r="C28" s="255">
        <v>236</v>
      </c>
      <c r="D28" s="255">
        <v>67</v>
      </c>
      <c r="E28" s="255">
        <v>180</v>
      </c>
      <c r="F28" s="323">
        <v>311</v>
      </c>
      <c r="G28" s="255">
        <v>206</v>
      </c>
      <c r="H28" s="255">
        <v>98</v>
      </c>
      <c r="I28" s="255">
        <v>187</v>
      </c>
      <c r="J28" s="323">
        <v>290</v>
      </c>
      <c r="K28" s="255">
        <v>740</v>
      </c>
      <c r="L28" s="255">
        <v>395</v>
      </c>
      <c r="M28" s="255">
        <v>568</v>
      </c>
      <c r="N28" s="323">
        <v>465</v>
      </c>
      <c r="O28" s="255">
        <v>272</v>
      </c>
      <c r="P28" s="255">
        <v>104</v>
      </c>
      <c r="Q28" s="255">
        <v>189</v>
      </c>
      <c r="R28" s="323">
        <v>277</v>
      </c>
      <c r="S28" s="254">
        <f t="shared" si="8"/>
        <v>1454</v>
      </c>
      <c r="T28" s="255">
        <f t="shared" si="8"/>
        <v>664</v>
      </c>
      <c r="U28" s="255">
        <f t="shared" si="8"/>
        <v>1124</v>
      </c>
      <c r="V28" s="323">
        <f t="shared" si="8"/>
        <v>1343</v>
      </c>
      <c r="W28" s="248"/>
      <c r="X28" s="248"/>
      <c r="Y28" s="248"/>
      <c r="Z28" s="248"/>
      <c r="AA28" s="248"/>
      <c r="AB28" s="248"/>
    </row>
    <row r="29" spans="1:28" s="332" customFormat="1" ht="18" customHeight="1">
      <c r="A29" s="322"/>
      <c r="B29" s="1271" t="s">
        <v>582</v>
      </c>
      <c r="C29" s="1272">
        <v>2359</v>
      </c>
      <c r="D29" s="1272">
        <v>760</v>
      </c>
      <c r="E29" s="1272">
        <f>SUM(E23:E28)</f>
        <v>1372</v>
      </c>
      <c r="F29" s="1274">
        <f t="shared" ref="F29:R29" si="9">SUM(F23:F28)</f>
        <v>2298</v>
      </c>
      <c r="G29" s="1272">
        <f t="shared" si="9"/>
        <v>3926</v>
      </c>
      <c r="H29" s="1272">
        <f t="shared" si="9"/>
        <v>1297</v>
      </c>
      <c r="I29" s="1272">
        <f t="shared" si="9"/>
        <v>3028</v>
      </c>
      <c r="J29" s="1274">
        <f t="shared" si="9"/>
        <v>2753</v>
      </c>
      <c r="K29" s="1272">
        <f t="shared" si="9"/>
        <v>8778</v>
      </c>
      <c r="L29" s="1272">
        <f t="shared" si="9"/>
        <v>3559</v>
      </c>
      <c r="M29" s="1272">
        <f t="shared" si="9"/>
        <v>6078</v>
      </c>
      <c r="N29" s="1274">
        <f t="shared" si="9"/>
        <v>3721</v>
      </c>
      <c r="O29" s="1272">
        <f t="shared" si="9"/>
        <v>2138</v>
      </c>
      <c r="P29" s="1272">
        <f t="shared" si="9"/>
        <v>848</v>
      </c>
      <c r="Q29" s="1272">
        <f t="shared" si="9"/>
        <v>1112</v>
      </c>
      <c r="R29" s="1274">
        <f t="shared" si="9"/>
        <v>1661</v>
      </c>
      <c r="S29" s="1275">
        <f>SUM(S23:S28)</f>
        <v>17201</v>
      </c>
      <c r="T29" s="1272">
        <f>SUM(T23:T28)</f>
        <v>6464</v>
      </c>
      <c r="U29" s="1272">
        <f>SUM(U23:U28)</f>
        <v>11590</v>
      </c>
      <c r="V29" s="1274">
        <f>SUM(V23:V28)</f>
        <v>10433</v>
      </c>
      <c r="W29" s="248"/>
      <c r="X29" s="248"/>
      <c r="Y29" s="248"/>
      <c r="Z29" s="248"/>
      <c r="AA29" s="248"/>
      <c r="AB29" s="248"/>
    </row>
    <row r="30" spans="1:28" s="332" customFormat="1" ht="18" customHeight="1">
      <c r="A30" s="322" t="s">
        <v>484</v>
      </c>
      <c r="B30" s="243" t="s">
        <v>748</v>
      </c>
      <c r="C30" s="255">
        <v>112</v>
      </c>
      <c r="D30" s="255">
        <v>36</v>
      </c>
      <c r="E30" s="255">
        <v>39</v>
      </c>
      <c r="F30" s="323">
        <v>194</v>
      </c>
      <c r="G30" s="255">
        <v>210</v>
      </c>
      <c r="H30" s="255">
        <v>92</v>
      </c>
      <c r="I30" s="255">
        <v>162</v>
      </c>
      <c r="J30" s="323">
        <v>719</v>
      </c>
      <c r="K30" s="255">
        <v>482</v>
      </c>
      <c r="L30" s="255">
        <v>293</v>
      </c>
      <c r="M30" s="255">
        <v>459</v>
      </c>
      <c r="N30" s="323">
        <v>546</v>
      </c>
      <c r="O30" s="255">
        <v>135</v>
      </c>
      <c r="P30" s="255">
        <v>72</v>
      </c>
      <c r="Q30" s="255">
        <v>97</v>
      </c>
      <c r="R30" s="323">
        <v>322</v>
      </c>
      <c r="S30" s="254">
        <f t="shared" ref="S30:V34" si="10">+C30+G30+K30+O30</f>
        <v>939</v>
      </c>
      <c r="T30" s="255">
        <f t="shared" si="10"/>
        <v>493</v>
      </c>
      <c r="U30" s="255">
        <f t="shared" si="10"/>
        <v>757</v>
      </c>
      <c r="V30" s="323">
        <f t="shared" si="10"/>
        <v>1781</v>
      </c>
      <c r="W30" s="248"/>
      <c r="X30" s="248"/>
      <c r="Y30" s="248"/>
      <c r="Z30" s="248"/>
      <c r="AA30" s="248"/>
      <c r="AB30" s="248"/>
    </row>
    <row r="31" spans="1:28" s="332" customFormat="1" ht="18" customHeight="1">
      <c r="A31" s="322"/>
      <c r="B31" s="211" t="s">
        <v>1296</v>
      </c>
      <c r="C31" s="255">
        <v>12</v>
      </c>
      <c r="D31" s="255">
        <v>2</v>
      </c>
      <c r="E31" s="255">
        <v>5</v>
      </c>
      <c r="F31" s="323">
        <v>37</v>
      </c>
      <c r="G31" s="255">
        <v>7</v>
      </c>
      <c r="H31" s="255">
        <v>5</v>
      </c>
      <c r="I31" s="255">
        <v>10</v>
      </c>
      <c r="J31" s="323">
        <v>50</v>
      </c>
      <c r="K31" s="255">
        <v>48</v>
      </c>
      <c r="L31" s="255">
        <v>25</v>
      </c>
      <c r="M31" s="255">
        <v>53</v>
      </c>
      <c r="N31" s="323">
        <v>60</v>
      </c>
      <c r="O31" s="255">
        <v>4</v>
      </c>
      <c r="P31" s="255">
        <v>11</v>
      </c>
      <c r="Q31" s="255">
        <v>19</v>
      </c>
      <c r="R31" s="323">
        <v>30</v>
      </c>
      <c r="S31" s="254">
        <f t="shared" si="10"/>
        <v>71</v>
      </c>
      <c r="T31" s="255">
        <f t="shared" si="10"/>
        <v>43</v>
      </c>
      <c r="U31" s="255">
        <f t="shared" si="10"/>
        <v>87</v>
      </c>
      <c r="V31" s="323">
        <f t="shared" si="10"/>
        <v>177</v>
      </c>
      <c r="W31" s="248"/>
      <c r="X31" s="248"/>
      <c r="Y31" s="248"/>
      <c r="Z31" s="248"/>
      <c r="AA31" s="248"/>
      <c r="AB31" s="248"/>
    </row>
    <row r="32" spans="1:28" s="332" customFormat="1" ht="18" customHeight="1">
      <c r="A32" s="322"/>
      <c r="B32" s="211" t="s">
        <v>1050</v>
      </c>
      <c r="C32" s="255">
        <v>22</v>
      </c>
      <c r="D32" s="255">
        <v>10</v>
      </c>
      <c r="E32" s="255">
        <v>7</v>
      </c>
      <c r="F32" s="323">
        <v>22</v>
      </c>
      <c r="G32" s="255">
        <v>29</v>
      </c>
      <c r="H32" s="255">
        <v>14</v>
      </c>
      <c r="I32" s="255">
        <v>36</v>
      </c>
      <c r="J32" s="323">
        <v>50</v>
      </c>
      <c r="K32" s="255">
        <v>174</v>
      </c>
      <c r="L32" s="255">
        <v>70</v>
      </c>
      <c r="M32" s="255">
        <v>75</v>
      </c>
      <c r="N32" s="323">
        <v>55</v>
      </c>
      <c r="O32" s="255">
        <v>58</v>
      </c>
      <c r="P32" s="255">
        <v>27</v>
      </c>
      <c r="Q32" s="255">
        <v>32</v>
      </c>
      <c r="R32" s="323">
        <v>66</v>
      </c>
      <c r="S32" s="254">
        <f t="shared" si="10"/>
        <v>283</v>
      </c>
      <c r="T32" s="255">
        <f t="shared" si="10"/>
        <v>121</v>
      </c>
      <c r="U32" s="255">
        <f t="shared" si="10"/>
        <v>150</v>
      </c>
      <c r="V32" s="323">
        <f t="shared" si="10"/>
        <v>193</v>
      </c>
      <c r="W32" s="248"/>
      <c r="X32" s="248"/>
      <c r="Y32" s="248"/>
      <c r="Z32" s="248"/>
      <c r="AA32" s="248"/>
      <c r="AB32" s="248"/>
    </row>
    <row r="33" spans="1:28" s="332" customFormat="1" ht="18" customHeight="1">
      <c r="A33" s="322"/>
      <c r="B33" s="211" t="s">
        <v>1059</v>
      </c>
      <c r="C33" s="255">
        <v>0</v>
      </c>
      <c r="D33" s="255">
        <v>0</v>
      </c>
      <c r="E33" s="255">
        <v>0</v>
      </c>
      <c r="F33" s="323">
        <v>0</v>
      </c>
      <c r="G33" s="255">
        <v>10</v>
      </c>
      <c r="H33" s="255">
        <v>1</v>
      </c>
      <c r="I33" s="255">
        <v>3</v>
      </c>
      <c r="J33" s="323">
        <v>0</v>
      </c>
      <c r="K33" s="255">
        <v>318</v>
      </c>
      <c r="L33" s="255">
        <v>100</v>
      </c>
      <c r="M33" s="255">
        <v>343</v>
      </c>
      <c r="N33" s="323">
        <v>0</v>
      </c>
      <c r="O33" s="255">
        <v>256</v>
      </c>
      <c r="P33" s="255">
        <v>72</v>
      </c>
      <c r="Q33" s="255">
        <v>168</v>
      </c>
      <c r="R33" s="323">
        <v>0</v>
      </c>
      <c r="S33" s="254">
        <f t="shared" si="10"/>
        <v>584</v>
      </c>
      <c r="T33" s="255">
        <f t="shared" si="10"/>
        <v>173</v>
      </c>
      <c r="U33" s="255">
        <f t="shared" si="10"/>
        <v>514</v>
      </c>
      <c r="V33" s="323">
        <f t="shared" si="10"/>
        <v>0</v>
      </c>
      <c r="W33" s="248"/>
      <c r="X33" s="248"/>
      <c r="Y33" s="248"/>
      <c r="Z33" s="248"/>
      <c r="AA33" s="248"/>
      <c r="AB33" s="248"/>
    </row>
    <row r="34" spans="1:28" s="332" customFormat="1" ht="18" customHeight="1">
      <c r="A34" s="322"/>
      <c r="B34" s="243" t="s">
        <v>868</v>
      </c>
      <c r="C34" s="255"/>
      <c r="D34" s="255"/>
      <c r="E34" s="255"/>
      <c r="F34" s="323">
        <v>0</v>
      </c>
      <c r="G34" s="255"/>
      <c r="H34" s="255"/>
      <c r="I34" s="255"/>
      <c r="J34" s="323">
        <v>0</v>
      </c>
      <c r="K34" s="255"/>
      <c r="L34" s="255"/>
      <c r="M34" s="255"/>
      <c r="N34" s="323">
        <v>0</v>
      </c>
      <c r="O34" s="255"/>
      <c r="P34" s="255"/>
      <c r="Q34" s="255"/>
      <c r="R34" s="323">
        <v>0</v>
      </c>
      <c r="S34" s="254">
        <f t="shared" si="10"/>
        <v>0</v>
      </c>
      <c r="T34" s="255">
        <f t="shared" si="10"/>
        <v>0</v>
      </c>
      <c r="U34" s="255">
        <f t="shared" si="10"/>
        <v>0</v>
      </c>
      <c r="V34" s="323">
        <f t="shared" si="10"/>
        <v>0</v>
      </c>
      <c r="W34" s="248"/>
      <c r="X34" s="255"/>
      <c r="Y34" s="248"/>
      <c r="Z34" s="255"/>
      <c r="AA34" s="248"/>
      <c r="AB34" s="248"/>
    </row>
    <row r="35" spans="1:28" s="332" customFormat="1" ht="18" customHeight="1">
      <c r="A35" s="322"/>
      <c r="B35" s="1271" t="s">
        <v>582</v>
      </c>
      <c r="C35" s="1272">
        <v>146</v>
      </c>
      <c r="D35" s="1272">
        <v>48</v>
      </c>
      <c r="E35" s="1272">
        <f>SUM(E30:E34)</f>
        <v>51</v>
      </c>
      <c r="F35" s="1274">
        <f t="shared" ref="F35:R35" si="11">SUM(F30:F34)</f>
        <v>253</v>
      </c>
      <c r="G35" s="1272">
        <f t="shared" si="11"/>
        <v>256</v>
      </c>
      <c r="H35" s="1272">
        <f t="shared" si="11"/>
        <v>112</v>
      </c>
      <c r="I35" s="1272">
        <f t="shared" si="11"/>
        <v>211</v>
      </c>
      <c r="J35" s="1274">
        <f t="shared" si="11"/>
        <v>819</v>
      </c>
      <c r="K35" s="1272">
        <f t="shared" si="11"/>
        <v>1022</v>
      </c>
      <c r="L35" s="1272">
        <f t="shared" si="11"/>
        <v>488</v>
      </c>
      <c r="M35" s="1272">
        <f t="shared" si="11"/>
        <v>930</v>
      </c>
      <c r="N35" s="1274">
        <f t="shared" si="11"/>
        <v>661</v>
      </c>
      <c r="O35" s="1272">
        <f t="shared" si="11"/>
        <v>453</v>
      </c>
      <c r="P35" s="1272">
        <f t="shared" si="11"/>
        <v>182</v>
      </c>
      <c r="Q35" s="1272">
        <f t="shared" si="11"/>
        <v>316</v>
      </c>
      <c r="R35" s="1274">
        <f t="shared" si="11"/>
        <v>418</v>
      </c>
      <c r="S35" s="1275">
        <f>SUM(S30:S34)</f>
        <v>1877</v>
      </c>
      <c r="T35" s="1272">
        <f>SUM(T30:T34)</f>
        <v>830</v>
      </c>
      <c r="U35" s="1272">
        <f>SUM(U30:U34)</f>
        <v>1508</v>
      </c>
      <c r="V35" s="1274">
        <f>SUM(V30:V34)</f>
        <v>2151</v>
      </c>
      <c r="W35" s="248"/>
      <c r="X35" s="671"/>
      <c r="Y35" s="696"/>
      <c r="Z35" s="671"/>
      <c r="AA35" s="248"/>
      <c r="AB35" s="248"/>
    </row>
    <row r="36" spans="1:28" s="332" customFormat="1" ht="18" customHeight="1">
      <c r="A36" s="322" t="s">
        <v>485</v>
      </c>
      <c r="B36" s="211" t="s">
        <v>586</v>
      </c>
      <c r="C36" s="255">
        <v>332</v>
      </c>
      <c r="D36" s="255">
        <v>58</v>
      </c>
      <c r="E36" s="255">
        <v>126</v>
      </c>
      <c r="F36" s="323">
        <v>204</v>
      </c>
      <c r="G36" s="255">
        <v>423</v>
      </c>
      <c r="H36" s="255">
        <v>146</v>
      </c>
      <c r="I36" s="255">
        <v>326</v>
      </c>
      <c r="J36" s="323">
        <v>429</v>
      </c>
      <c r="K36" s="255">
        <v>1066</v>
      </c>
      <c r="L36" s="255">
        <v>320</v>
      </c>
      <c r="M36" s="255">
        <v>742</v>
      </c>
      <c r="N36" s="323">
        <v>403</v>
      </c>
      <c r="O36" s="255">
        <v>357</v>
      </c>
      <c r="P36" s="255">
        <v>90</v>
      </c>
      <c r="Q36" s="255">
        <v>151</v>
      </c>
      <c r="R36" s="323">
        <v>238</v>
      </c>
      <c r="S36" s="254">
        <f t="shared" ref="S36:V38" si="12">+C36+G36+K36+O36</f>
        <v>2178</v>
      </c>
      <c r="T36" s="255">
        <f t="shared" si="12"/>
        <v>614</v>
      </c>
      <c r="U36" s="255">
        <f t="shared" si="12"/>
        <v>1345</v>
      </c>
      <c r="V36" s="323">
        <f t="shared" si="12"/>
        <v>1274</v>
      </c>
      <c r="W36" s="248"/>
      <c r="X36" s="248"/>
      <c r="Y36" s="248"/>
      <c r="Z36" s="248"/>
      <c r="AA36" s="248"/>
      <c r="AB36" s="248"/>
    </row>
    <row r="37" spans="1:28" s="332" customFormat="1" ht="18" customHeight="1">
      <c r="A37" s="322"/>
      <c r="B37" s="211" t="s">
        <v>750</v>
      </c>
      <c r="C37" s="255">
        <v>21</v>
      </c>
      <c r="D37" s="255">
        <v>8</v>
      </c>
      <c r="E37" s="255">
        <v>12</v>
      </c>
      <c r="F37" s="323">
        <v>15</v>
      </c>
      <c r="G37" s="255">
        <v>51</v>
      </c>
      <c r="H37" s="255">
        <v>14</v>
      </c>
      <c r="I37" s="255">
        <v>77</v>
      </c>
      <c r="J37" s="323">
        <v>83</v>
      </c>
      <c r="K37" s="255">
        <v>214</v>
      </c>
      <c r="L37" s="255">
        <v>83</v>
      </c>
      <c r="M37" s="255">
        <v>166</v>
      </c>
      <c r="N37" s="323">
        <v>61</v>
      </c>
      <c r="O37" s="255">
        <v>126</v>
      </c>
      <c r="P37" s="255">
        <v>33</v>
      </c>
      <c r="Q37" s="255">
        <v>72</v>
      </c>
      <c r="R37" s="323">
        <v>73</v>
      </c>
      <c r="S37" s="254">
        <f t="shared" si="12"/>
        <v>412</v>
      </c>
      <c r="T37" s="255">
        <f t="shared" si="12"/>
        <v>138</v>
      </c>
      <c r="U37" s="255">
        <f t="shared" si="12"/>
        <v>327</v>
      </c>
      <c r="V37" s="323">
        <f t="shared" si="12"/>
        <v>232</v>
      </c>
      <c r="W37" s="248"/>
      <c r="X37" s="248"/>
      <c r="Y37" s="248"/>
      <c r="Z37" s="248"/>
      <c r="AA37" s="248"/>
      <c r="AB37" s="248"/>
    </row>
    <row r="38" spans="1:28" s="332" customFormat="1" ht="18" customHeight="1">
      <c r="A38" s="322"/>
      <c r="B38" s="211" t="s">
        <v>1051</v>
      </c>
      <c r="C38" s="255">
        <v>27</v>
      </c>
      <c r="D38" s="255">
        <v>8</v>
      </c>
      <c r="E38" s="255">
        <v>126</v>
      </c>
      <c r="F38" s="323">
        <v>21</v>
      </c>
      <c r="G38" s="255">
        <v>22</v>
      </c>
      <c r="H38" s="255">
        <v>9</v>
      </c>
      <c r="I38" s="255">
        <v>326</v>
      </c>
      <c r="J38" s="323">
        <v>46</v>
      </c>
      <c r="K38" s="255">
        <v>60</v>
      </c>
      <c r="L38" s="255">
        <v>17</v>
      </c>
      <c r="M38" s="255">
        <v>742</v>
      </c>
      <c r="N38" s="323">
        <v>51</v>
      </c>
      <c r="O38" s="255">
        <v>22</v>
      </c>
      <c r="P38" s="255">
        <v>9</v>
      </c>
      <c r="Q38" s="255">
        <v>151</v>
      </c>
      <c r="R38" s="323">
        <v>17</v>
      </c>
      <c r="S38" s="254">
        <f t="shared" si="12"/>
        <v>131</v>
      </c>
      <c r="T38" s="255">
        <f t="shared" si="12"/>
        <v>43</v>
      </c>
      <c r="U38" s="255">
        <f t="shared" si="12"/>
        <v>1345</v>
      </c>
      <c r="V38" s="323">
        <f t="shared" si="12"/>
        <v>135</v>
      </c>
      <c r="W38" s="248"/>
      <c r="X38" s="248"/>
      <c r="Y38" s="248"/>
      <c r="Z38" s="248"/>
      <c r="AA38" s="248"/>
      <c r="AB38" s="248"/>
    </row>
    <row r="39" spans="1:28" s="332" customFormat="1" ht="18" customHeight="1">
      <c r="A39" s="322"/>
      <c r="B39" s="1271" t="s">
        <v>582</v>
      </c>
      <c r="C39" s="1272">
        <v>380</v>
      </c>
      <c r="D39" s="1272">
        <v>74</v>
      </c>
      <c r="E39" s="1272">
        <f>SUM(E36:E38)</f>
        <v>264</v>
      </c>
      <c r="F39" s="1274">
        <f t="shared" ref="F39:R39" si="13">SUM(F36:F38)</f>
        <v>240</v>
      </c>
      <c r="G39" s="1272">
        <f t="shared" si="13"/>
        <v>496</v>
      </c>
      <c r="H39" s="1272">
        <f t="shared" si="13"/>
        <v>169</v>
      </c>
      <c r="I39" s="1272">
        <f t="shared" si="13"/>
        <v>729</v>
      </c>
      <c r="J39" s="1274">
        <f t="shared" si="13"/>
        <v>558</v>
      </c>
      <c r="K39" s="1272">
        <f t="shared" si="13"/>
        <v>1340</v>
      </c>
      <c r="L39" s="1272">
        <f t="shared" si="13"/>
        <v>420</v>
      </c>
      <c r="M39" s="1272">
        <f t="shared" si="13"/>
        <v>1650</v>
      </c>
      <c r="N39" s="1274">
        <f t="shared" si="13"/>
        <v>515</v>
      </c>
      <c r="O39" s="1272">
        <f t="shared" si="13"/>
        <v>505</v>
      </c>
      <c r="P39" s="1272">
        <f t="shared" si="13"/>
        <v>132</v>
      </c>
      <c r="Q39" s="1272">
        <f t="shared" si="13"/>
        <v>374</v>
      </c>
      <c r="R39" s="1274">
        <f t="shared" si="13"/>
        <v>328</v>
      </c>
      <c r="S39" s="1275">
        <f>SUM(S36:S38)</f>
        <v>2721</v>
      </c>
      <c r="T39" s="1272">
        <f>SUM(T36:T38)</f>
        <v>795</v>
      </c>
      <c r="U39" s="1272">
        <f>SUM(U36:U38)</f>
        <v>3017</v>
      </c>
      <c r="V39" s="1274">
        <f>SUM(V36:V38)</f>
        <v>1641</v>
      </c>
      <c r="W39" s="248"/>
      <c r="X39" s="248"/>
      <c r="Y39" s="248"/>
      <c r="Z39" s="248"/>
      <c r="AA39" s="248"/>
      <c r="AB39" s="248"/>
    </row>
    <row r="40" spans="1:28" s="332" customFormat="1" ht="18" customHeight="1">
      <c r="A40" s="322" t="s">
        <v>486</v>
      </c>
      <c r="B40" s="243" t="s">
        <v>751</v>
      </c>
      <c r="C40" s="255">
        <v>147</v>
      </c>
      <c r="D40" s="255">
        <v>41</v>
      </c>
      <c r="E40" s="255">
        <v>69</v>
      </c>
      <c r="F40" s="323">
        <v>226</v>
      </c>
      <c r="G40" s="255">
        <v>172</v>
      </c>
      <c r="H40" s="255">
        <v>106</v>
      </c>
      <c r="I40" s="255">
        <v>211</v>
      </c>
      <c r="J40" s="323">
        <v>535</v>
      </c>
      <c r="K40" s="255">
        <v>399</v>
      </c>
      <c r="L40" s="255">
        <v>305</v>
      </c>
      <c r="M40" s="255">
        <v>512</v>
      </c>
      <c r="N40" s="323">
        <v>488</v>
      </c>
      <c r="O40" s="255">
        <v>77</v>
      </c>
      <c r="P40" s="255">
        <v>68</v>
      </c>
      <c r="Q40" s="255">
        <v>142</v>
      </c>
      <c r="R40" s="323">
        <v>384</v>
      </c>
      <c r="S40" s="254">
        <f t="shared" ref="S40:V41" si="14">+C40+G40+K40+O40</f>
        <v>795</v>
      </c>
      <c r="T40" s="255">
        <f t="shared" si="14"/>
        <v>520</v>
      </c>
      <c r="U40" s="255">
        <f t="shared" si="14"/>
        <v>934</v>
      </c>
      <c r="V40" s="323">
        <f t="shared" si="14"/>
        <v>1633</v>
      </c>
      <c r="W40" s="248"/>
      <c r="X40" s="248"/>
      <c r="Y40" s="248"/>
      <c r="Z40" s="248"/>
      <c r="AA40" s="248"/>
      <c r="AB40" s="248"/>
    </row>
    <row r="41" spans="1:28" s="332" customFormat="1" ht="18" customHeight="1">
      <c r="A41" s="322" t="s">
        <v>869</v>
      </c>
      <c r="B41" s="243" t="s">
        <v>752</v>
      </c>
      <c r="C41" s="255">
        <v>252</v>
      </c>
      <c r="D41" s="255">
        <v>103</v>
      </c>
      <c r="E41" s="255">
        <v>77</v>
      </c>
      <c r="F41" s="323">
        <v>109</v>
      </c>
      <c r="G41" s="255">
        <v>696</v>
      </c>
      <c r="H41" s="255">
        <v>154</v>
      </c>
      <c r="I41" s="255">
        <v>293</v>
      </c>
      <c r="J41" s="323">
        <v>580</v>
      </c>
      <c r="K41" s="255">
        <v>1365</v>
      </c>
      <c r="L41" s="255">
        <v>577</v>
      </c>
      <c r="M41" s="255">
        <v>987</v>
      </c>
      <c r="N41" s="323">
        <v>378</v>
      </c>
      <c r="O41" s="255">
        <v>254</v>
      </c>
      <c r="P41" s="255">
        <v>90</v>
      </c>
      <c r="Q41" s="255">
        <v>245</v>
      </c>
      <c r="R41" s="323">
        <v>339</v>
      </c>
      <c r="S41" s="254">
        <f t="shared" si="14"/>
        <v>2567</v>
      </c>
      <c r="T41" s="255">
        <f t="shared" si="14"/>
        <v>924</v>
      </c>
      <c r="U41" s="255">
        <f t="shared" si="14"/>
        <v>1602</v>
      </c>
      <c r="V41" s="323">
        <f t="shared" si="14"/>
        <v>1406</v>
      </c>
      <c r="W41" s="248"/>
      <c r="X41" s="248"/>
      <c r="Y41" s="248"/>
      <c r="Z41" s="248"/>
      <c r="AA41" s="248"/>
      <c r="AB41" s="248"/>
    </row>
    <row r="42" spans="1:28" s="332" customFormat="1" ht="18" customHeight="1">
      <c r="A42" s="322"/>
      <c r="B42" s="211" t="s">
        <v>902</v>
      </c>
      <c r="C42" s="255">
        <v>34</v>
      </c>
      <c r="D42" s="255">
        <v>47</v>
      </c>
      <c r="E42" s="255">
        <v>52</v>
      </c>
      <c r="F42" s="323">
        <v>21</v>
      </c>
      <c r="G42" s="255">
        <v>144</v>
      </c>
      <c r="H42" s="255">
        <v>274</v>
      </c>
      <c r="I42" s="255">
        <v>480</v>
      </c>
      <c r="J42" s="323">
        <v>109</v>
      </c>
      <c r="K42" s="255">
        <v>269</v>
      </c>
      <c r="L42" s="255">
        <v>344</v>
      </c>
      <c r="M42" s="255">
        <v>660</v>
      </c>
      <c r="N42" s="323">
        <v>61</v>
      </c>
      <c r="O42" s="255">
        <v>21</v>
      </c>
      <c r="P42" s="255">
        <v>18</v>
      </c>
      <c r="Q42" s="255">
        <v>57</v>
      </c>
      <c r="R42" s="323">
        <v>1</v>
      </c>
      <c r="S42" s="254"/>
      <c r="T42" s="255">
        <f t="shared" ref="T42:V44" si="15">+D42+H42+L42+P42</f>
        <v>683</v>
      </c>
      <c r="U42" s="255">
        <f t="shared" si="15"/>
        <v>1249</v>
      </c>
      <c r="V42" s="323">
        <f t="shared" si="15"/>
        <v>192</v>
      </c>
      <c r="W42" s="248"/>
      <c r="X42" s="248"/>
      <c r="Y42" s="248"/>
      <c r="Z42" s="248"/>
      <c r="AA42" s="248"/>
      <c r="AB42" s="248"/>
    </row>
    <row r="43" spans="1:28" s="332" customFormat="1" ht="18" customHeight="1">
      <c r="A43" s="322" t="s">
        <v>488</v>
      </c>
      <c r="B43" s="211" t="s">
        <v>753</v>
      </c>
      <c r="C43" s="255">
        <v>297</v>
      </c>
      <c r="D43" s="255">
        <v>131</v>
      </c>
      <c r="E43" s="255">
        <v>86</v>
      </c>
      <c r="F43" s="323">
        <v>195</v>
      </c>
      <c r="G43" s="255">
        <v>525</v>
      </c>
      <c r="H43" s="255">
        <v>163</v>
      </c>
      <c r="I43" s="255">
        <v>441</v>
      </c>
      <c r="J43" s="323">
        <v>493</v>
      </c>
      <c r="K43" s="255">
        <v>775</v>
      </c>
      <c r="L43" s="255">
        <v>365</v>
      </c>
      <c r="M43" s="255">
        <v>822</v>
      </c>
      <c r="N43" s="323">
        <v>454</v>
      </c>
      <c r="O43" s="255">
        <v>171</v>
      </c>
      <c r="P43" s="255">
        <v>80</v>
      </c>
      <c r="Q43" s="255">
        <v>137</v>
      </c>
      <c r="R43" s="323">
        <v>207</v>
      </c>
      <c r="S43" s="254">
        <f>+C43+G43+K43+O43</f>
        <v>1768</v>
      </c>
      <c r="T43" s="255">
        <f t="shared" si="15"/>
        <v>739</v>
      </c>
      <c r="U43" s="255">
        <f t="shared" si="15"/>
        <v>1486</v>
      </c>
      <c r="V43" s="323">
        <f t="shared" si="15"/>
        <v>1349</v>
      </c>
      <c r="W43" s="248"/>
      <c r="X43" s="248"/>
      <c r="Y43" s="248"/>
      <c r="Z43" s="248"/>
      <c r="AA43" s="248"/>
      <c r="AB43" s="248"/>
    </row>
    <row r="44" spans="1:28" s="332" customFormat="1" ht="18" customHeight="1">
      <c r="A44" s="322"/>
      <c r="B44" s="211" t="s">
        <v>1045</v>
      </c>
      <c r="C44" s="255">
        <v>40</v>
      </c>
      <c r="D44" s="255">
        <v>11</v>
      </c>
      <c r="E44" s="255">
        <v>20</v>
      </c>
      <c r="F44" s="323">
        <v>16</v>
      </c>
      <c r="G44" s="255">
        <v>46</v>
      </c>
      <c r="H44" s="255">
        <v>28</v>
      </c>
      <c r="I44" s="255">
        <v>98</v>
      </c>
      <c r="J44" s="323">
        <v>41</v>
      </c>
      <c r="K44" s="255">
        <v>144</v>
      </c>
      <c r="L44" s="255">
        <v>111</v>
      </c>
      <c r="M44" s="255">
        <v>119</v>
      </c>
      <c r="N44" s="323">
        <v>30</v>
      </c>
      <c r="O44" s="255">
        <v>27</v>
      </c>
      <c r="P44" s="255">
        <v>11</v>
      </c>
      <c r="Q44" s="255">
        <v>37</v>
      </c>
      <c r="R44" s="323">
        <v>32</v>
      </c>
      <c r="S44" s="254">
        <f>+C44+G44+K44+O44</f>
        <v>257</v>
      </c>
      <c r="T44" s="255">
        <f t="shared" si="15"/>
        <v>161</v>
      </c>
      <c r="U44" s="255">
        <f t="shared" si="15"/>
        <v>274</v>
      </c>
      <c r="V44" s="323">
        <f t="shared" si="15"/>
        <v>119</v>
      </c>
      <c r="W44" s="248"/>
      <c r="X44" s="248"/>
      <c r="Y44" s="255"/>
      <c r="Z44" s="255"/>
      <c r="AA44" s="248"/>
      <c r="AB44" s="248"/>
    </row>
    <row r="45" spans="1:28" s="332" customFormat="1" ht="18" customHeight="1">
      <c r="A45" s="322"/>
      <c r="B45" s="1271" t="s">
        <v>582</v>
      </c>
      <c r="C45" s="1272">
        <v>337</v>
      </c>
      <c r="D45" s="1272">
        <v>142</v>
      </c>
      <c r="E45" s="1272">
        <f>SUM(E43:E44)</f>
        <v>106</v>
      </c>
      <c r="F45" s="1274">
        <f t="shared" ref="F45:R45" si="16">SUM(F43:F44)</f>
        <v>211</v>
      </c>
      <c r="G45" s="1272">
        <f t="shared" si="16"/>
        <v>571</v>
      </c>
      <c r="H45" s="1272">
        <f t="shared" si="16"/>
        <v>191</v>
      </c>
      <c r="I45" s="1272">
        <f t="shared" si="16"/>
        <v>539</v>
      </c>
      <c r="J45" s="1274">
        <f t="shared" si="16"/>
        <v>534</v>
      </c>
      <c r="K45" s="1272">
        <f t="shared" si="16"/>
        <v>919</v>
      </c>
      <c r="L45" s="1272">
        <f t="shared" si="16"/>
        <v>476</v>
      </c>
      <c r="M45" s="1272">
        <f t="shared" si="16"/>
        <v>941</v>
      </c>
      <c r="N45" s="1274">
        <f t="shared" si="16"/>
        <v>484</v>
      </c>
      <c r="O45" s="1272">
        <f t="shared" si="16"/>
        <v>198</v>
      </c>
      <c r="P45" s="1272">
        <f t="shared" si="16"/>
        <v>91</v>
      </c>
      <c r="Q45" s="1272">
        <f t="shared" si="16"/>
        <v>174</v>
      </c>
      <c r="R45" s="1274">
        <f t="shared" si="16"/>
        <v>239</v>
      </c>
      <c r="S45" s="1275">
        <f>SUM(S43:S44)</f>
        <v>2025</v>
      </c>
      <c r="T45" s="1272">
        <f>SUM(T43:T44)</f>
        <v>900</v>
      </c>
      <c r="U45" s="1272">
        <f>SUM(U43:U44)</f>
        <v>1760</v>
      </c>
      <c r="V45" s="1274">
        <f>SUM(V43:V44)</f>
        <v>1468</v>
      </c>
      <c r="W45" s="248"/>
      <c r="X45" s="248"/>
      <c r="Y45" s="248"/>
      <c r="Z45" s="248"/>
      <c r="AA45" s="248"/>
      <c r="AB45" s="248"/>
    </row>
    <row r="46" spans="1:28" s="332" customFormat="1" ht="18" customHeight="1">
      <c r="A46" s="1026" t="s">
        <v>870</v>
      </c>
      <c r="B46" s="1027"/>
      <c r="C46" s="1276">
        <f>+C29+C35+C39+C40+C41+C45</f>
        <v>3621</v>
      </c>
      <c r="D46" s="1276">
        <f>+D29+D35+D39+D40+D41+D45</f>
        <v>1168</v>
      </c>
      <c r="E46" s="1276">
        <f>+E29+E35+E39+E40+E41+E45+E42</f>
        <v>1991</v>
      </c>
      <c r="F46" s="1277">
        <f t="shared" ref="F46:R46" si="17">+F29+F35+F39+F40+F41+F45+F42</f>
        <v>3358</v>
      </c>
      <c r="G46" s="1276">
        <f t="shared" si="17"/>
        <v>6261</v>
      </c>
      <c r="H46" s="1276">
        <f t="shared" si="17"/>
        <v>2303</v>
      </c>
      <c r="I46" s="1276">
        <f t="shared" si="17"/>
        <v>5491</v>
      </c>
      <c r="J46" s="1277">
        <f t="shared" si="17"/>
        <v>5888</v>
      </c>
      <c r="K46" s="1276">
        <f t="shared" si="17"/>
        <v>14092</v>
      </c>
      <c r="L46" s="1276">
        <f t="shared" si="17"/>
        <v>6169</v>
      </c>
      <c r="M46" s="1276">
        <f t="shared" si="17"/>
        <v>11758</v>
      </c>
      <c r="N46" s="1277">
        <f t="shared" si="17"/>
        <v>6308</v>
      </c>
      <c r="O46" s="1276">
        <f t="shared" si="17"/>
        <v>3646</v>
      </c>
      <c r="P46" s="1276">
        <f t="shared" si="17"/>
        <v>1429</v>
      </c>
      <c r="Q46" s="1276">
        <f t="shared" si="17"/>
        <v>2420</v>
      </c>
      <c r="R46" s="1277">
        <f t="shared" si="17"/>
        <v>3370</v>
      </c>
      <c r="S46" s="1278">
        <f>+S29+S35+S39+S40+S41+S45</f>
        <v>27186</v>
      </c>
      <c r="T46" s="1276">
        <f>+T29+T35+T39+T40+T41+T45+T42</f>
        <v>11116</v>
      </c>
      <c r="U46" s="1276">
        <f>+U29+U35+U39+U40+U41+U45+U42</f>
        <v>21660</v>
      </c>
      <c r="V46" s="1277">
        <f>+V29+V35+V39+V40+V41+V45+V42</f>
        <v>18924</v>
      </c>
      <c r="W46" s="327"/>
      <c r="X46" s="337"/>
      <c r="Y46" s="327"/>
      <c r="Z46" s="337"/>
      <c r="AA46" s="248"/>
      <c r="AB46" s="248"/>
    </row>
    <row r="47" spans="1:28" s="332" customFormat="1" ht="18" customHeight="1">
      <c r="A47" s="1292" t="s">
        <v>594</v>
      </c>
      <c r="B47" s="1293"/>
      <c r="C47" s="1294">
        <f t="shared" ref="C47:T47" si="18">+C22+C46</f>
        <v>5396</v>
      </c>
      <c r="D47" s="1294">
        <f t="shared" si="18"/>
        <v>1641</v>
      </c>
      <c r="E47" s="1294">
        <f t="shared" si="18"/>
        <v>2527</v>
      </c>
      <c r="F47" s="1295">
        <f t="shared" ref="F47:R47" si="19">+F22+F46</f>
        <v>4358</v>
      </c>
      <c r="G47" s="1294">
        <f t="shared" si="19"/>
        <v>10708</v>
      </c>
      <c r="H47" s="1294">
        <f t="shared" si="19"/>
        <v>3749</v>
      </c>
      <c r="I47" s="1294">
        <f t="shared" si="19"/>
        <v>8500</v>
      </c>
      <c r="J47" s="1295">
        <f t="shared" si="19"/>
        <v>9733</v>
      </c>
      <c r="K47" s="1294">
        <f t="shared" si="19"/>
        <v>23405</v>
      </c>
      <c r="L47" s="1294">
        <f t="shared" si="19"/>
        <v>10051</v>
      </c>
      <c r="M47" s="1294">
        <f t="shared" si="19"/>
        <v>19757</v>
      </c>
      <c r="N47" s="1295">
        <f t="shared" si="19"/>
        <v>9268</v>
      </c>
      <c r="O47" s="1294">
        <f t="shared" si="19"/>
        <v>8769</v>
      </c>
      <c r="P47" s="1294">
        <f t="shared" si="19"/>
        <v>3118</v>
      </c>
      <c r="Q47" s="1294">
        <f t="shared" si="19"/>
        <v>4670</v>
      </c>
      <c r="R47" s="1295">
        <f t="shared" si="19"/>
        <v>5604</v>
      </c>
      <c r="S47" s="1481">
        <f t="shared" si="18"/>
        <v>47844</v>
      </c>
      <c r="T47" s="1294">
        <f t="shared" si="18"/>
        <v>18606</v>
      </c>
      <c r="U47" s="1294">
        <f>+U22+U46</f>
        <v>35454</v>
      </c>
      <c r="V47" s="1295">
        <f>+V22+V46</f>
        <v>28963</v>
      </c>
      <c r="W47" s="336"/>
      <c r="X47" s="336"/>
      <c r="Y47" s="327"/>
      <c r="Z47" s="334"/>
    </row>
    <row r="48" spans="1:28" s="332" customFormat="1" ht="18" customHeight="1">
      <c r="C48" s="335"/>
      <c r="D48" s="335"/>
      <c r="E48" s="335"/>
      <c r="F48" s="335"/>
      <c r="G48" s="335"/>
      <c r="H48" s="335"/>
      <c r="I48" s="335"/>
      <c r="J48" s="335"/>
      <c r="K48" s="335"/>
      <c r="L48" s="335"/>
      <c r="M48" s="335"/>
      <c r="N48" s="335"/>
      <c r="O48" s="335"/>
      <c r="P48" s="335"/>
      <c r="Q48" s="335"/>
      <c r="R48" s="335"/>
      <c r="S48" s="335"/>
      <c r="T48" s="335"/>
      <c r="U48" s="335"/>
      <c r="V48" s="335"/>
      <c r="W48" s="335"/>
      <c r="X48" s="335"/>
      <c r="Y48" s="335"/>
    </row>
    <row r="49" spans="2:24">
      <c r="B49" s="154"/>
      <c r="C49" s="286"/>
      <c r="D49" s="286"/>
      <c r="E49" s="286"/>
      <c r="F49" s="286"/>
      <c r="G49" s="286"/>
      <c r="H49" s="286"/>
      <c r="I49" s="286"/>
      <c r="J49" s="286"/>
      <c r="K49" s="286"/>
      <c r="L49" s="286"/>
      <c r="M49" s="286"/>
      <c r="N49" s="286"/>
      <c r="O49" s="286"/>
      <c r="P49" s="286"/>
      <c r="Q49" s="286"/>
      <c r="R49" s="286"/>
      <c r="S49" s="286"/>
      <c r="T49" s="286"/>
      <c r="U49" s="286"/>
      <c r="V49" s="286"/>
      <c r="W49" s="286"/>
    </row>
    <row r="50" spans="2:24">
      <c r="B50" s="154"/>
      <c r="C50" s="286"/>
      <c r="D50" s="286"/>
      <c r="E50" s="286"/>
      <c r="F50" s="286"/>
      <c r="G50" s="286"/>
      <c r="H50" s="286"/>
      <c r="I50" s="286"/>
      <c r="J50" s="286"/>
      <c r="K50" s="286"/>
      <c r="L50" s="286"/>
      <c r="M50" s="286"/>
      <c r="N50" s="286"/>
      <c r="O50" s="286"/>
      <c r="P50" s="286"/>
      <c r="Q50" s="286"/>
      <c r="R50" s="286"/>
      <c r="S50" s="286"/>
      <c r="T50" s="286"/>
      <c r="U50" s="286"/>
      <c r="V50" s="286"/>
    </row>
    <row r="51" spans="2:24">
      <c r="C51" s="286"/>
      <c r="D51" s="286"/>
      <c r="E51" s="286"/>
      <c r="F51" s="286"/>
      <c r="G51" s="286"/>
      <c r="H51" s="286"/>
      <c r="I51" s="286"/>
      <c r="J51" s="286"/>
      <c r="K51" s="286"/>
      <c r="L51" s="286"/>
      <c r="M51" s="286"/>
      <c r="N51" s="286"/>
      <c r="O51" s="286"/>
      <c r="P51" s="286"/>
      <c r="Q51" s="286"/>
      <c r="R51" s="286"/>
      <c r="S51" s="286"/>
      <c r="T51" s="286"/>
      <c r="U51" s="286"/>
      <c r="V51" s="286"/>
      <c r="W51" s="286"/>
      <c r="X51" s="286"/>
    </row>
    <row r="52" spans="2:24">
      <c r="C52" s="286"/>
      <c r="D52" s="286"/>
      <c r="E52" s="286"/>
      <c r="F52" s="286"/>
      <c r="G52" s="286"/>
      <c r="H52" s="286"/>
      <c r="I52" s="286"/>
      <c r="J52" s="286"/>
      <c r="K52" s="286"/>
      <c r="L52" s="286"/>
      <c r="M52" s="286"/>
      <c r="N52" s="286"/>
      <c r="O52" s="286"/>
      <c r="P52" s="286"/>
      <c r="Q52" s="286"/>
      <c r="R52" s="286"/>
      <c r="S52" s="286"/>
      <c r="T52" s="286"/>
      <c r="U52" s="286"/>
      <c r="V52" s="286"/>
      <c r="W52" s="286"/>
      <c r="X52" s="286"/>
    </row>
    <row r="53" spans="2:24">
      <c r="C53" s="286"/>
      <c r="D53" s="286"/>
      <c r="E53" s="286"/>
      <c r="F53" s="286"/>
      <c r="G53" s="286"/>
      <c r="H53" s="286"/>
      <c r="I53" s="286"/>
      <c r="J53" s="286"/>
      <c r="K53" s="286"/>
      <c r="L53" s="286"/>
      <c r="M53" s="286"/>
      <c r="N53" s="286"/>
      <c r="O53" s="286"/>
      <c r="P53" s="286"/>
      <c r="Q53" s="286"/>
      <c r="R53" s="286"/>
      <c r="S53" s="286"/>
      <c r="T53" s="286"/>
      <c r="U53" s="286"/>
      <c r="V53" s="286"/>
    </row>
    <row r="54" spans="2:24">
      <c r="C54" s="286"/>
      <c r="D54" s="286"/>
      <c r="E54" s="286"/>
      <c r="F54" s="286"/>
      <c r="G54" s="286"/>
      <c r="H54" s="286"/>
      <c r="I54" s="286"/>
      <c r="J54" s="286"/>
      <c r="K54" s="286"/>
      <c r="L54" s="286"/>
      <c r="M54" s="286"/>
      <c r="N54" s="286"/>
      <c r="O54" s="286"/>
      <c r="P54" s="286"/>
      <c r="Q54" s="286"/>
      <c r="R54" s="286"/>
      <c r="S54" s="286"/>
      <c r="T54" s="286"/>
      <c r="U54" s="286"/>
      <c r="V54" s="286"/>
    </row>
    <row r="55" spans="2:24">
      <c r="C55" s="286"/>
      <c r="D55" s="286"/>
      <c r="E55" s="286"/>
      <c r="F55" s="286"/>
      <c r="G55" s="286"/>
      <c r="H55" s="286"/>
      <c r="I55" s="286"/>
      <c r="J55" s="286"/>
      <c r="K55" s="286"/>
      <c r="L55" s="286"/>
      <c r="M55" s="286"/>
      <c r="N55" s="286"/>
      <c r="O55" s="286"/>
      <c r="P55" s="286"/>
      <c r="Q55" s="286"/>
      <c r="R55" s="286"/>
      <c r="S55" s="286"/>
      <c r="T55" s="286"/>
      <c r="U55" s="286"/>
      <c r="V55" s="286"/>
    </row>
  </sheetData>
  <phoneticPr fontId="18" type="noConversion"/>
  <pageMargins left="1.5748031496062993" right="0.78740157480314965" top="1.1811023622047245" bottom="0.59055118110236227" header="0" footer="0"/>
  <pageSetup paperSize="5" scale="70" orientation="landscape"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P34"/>
  <sheetViews>
    <sheetView topLeftCell="C1" workbookViewId="0">
      <selection activeCell="AM13" sqref="AM13"/>
    </sheetView>
  </sheetViews>
  <sheetFormatPr baseColWidth="10" defaultColWidth="11.42578125" defaultRowHeight="12"/>
  <cols>
    <col min="1" max="1" width="12.7109375" style="277" customWidth="1"/>
    <col min="2" max="2" width="19.42578125" style="277" customWidth="1"/>
    <col min="3" max="10" width="7.28515625" style="277" customWidth="1"/>
    <col min="11" max="12" width="5.7109375" style="277" customWidth="1"/>
    <col min="13" max="22" width="7.28515625" style="277" customWidth="1"/>
    <col min="23" max="23" width="7.42578125" style="277" customWidth="1"/>
    <col min="24" max="24" width="6.5703125" style="277" customWidth="1"/>
    <col min="25" max="26" width="7.28515625" style="277" customWidth="1"/>
    <col min="27" max="28" width="6.28515625" style="277" customWidth="1"/>
    <col min="29" max="30" width="7.28515625" style="277" customWidth="1"/>
    <col min="31" max="32" width="6.28515625" style="277" customWidth="1"/>
    <col min="33" max="34" width="7.28515625" style="277" customWidth="1"/>
    <col min="35" max="35" width="7.42578125" style="277" bestFit="1" customWidth="1"/>
    <col min="36" max="59" width="7.28515625" style="277" customWidth="1"/>
    <col min="60" max="16384" width="11.42578125" style="277"/>
  </cols>
  <sheetData>
    <row r="1" spans="1:39">
      <c r="A1" s="1504" t="s">
        <v>882</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row>
    <row r="2" spans="1:39">
      <c r="A2" s="1504" t="s">
        <v>1086</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row>
    <row r="3" spans="1:39">
      <c r="A3" s="1504" t="str">
        <f>+'47'!A3:U3</f>
        <v>2020 - 2023</v>
      </c>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row>
    <row r="6" spans="1:39" s="332" customFormat="1" ht="20.25" customHeight="1">
      <c r="A6" s="1266" t="s">
        <v>493</v>
      </c>
      <c r="B6" s="1296" t="s">
        <v>770</v>
      </c>
      <c r="C6" s="1257" t="s">
        <v>877</v>
      </c>
      <c r="D6" s="1259"/>
      <c r="E6" s="1259"/>
      <c r="F6" s="1117"/>
      <c r="G6" s="1257" t="s">
        <v>878</v>
      </c>
      <c r="H6" s="1259"/>
      <c r="I6" s="1259"/>
      <c r="J6" s="1117"/>
      <c r="K6" s="1257" t="s">
        <v>883</v>
      </c>
      <c r="L6" s="1259"/>
      <c r="M6" s="1259"/>
      <c r="N6" s="1117"/>
      <c r="O6" s="1257"/>
      <c r="P6" s="1259" t="s">
        <v>879</v>
      </c>
      <c r="Q6" s="1259"/>
      <c r="R6" s="1117"/>
      <c r="S6" s="1257" t="s">
        <v>884</v>
      </c>
      <c r="T6" s="1259"/>
      <c r="U6" s="1259"/>
      <c r="V6" s="1117"/>
      <c r="W6" s="1257" t="s">
        <v>885</v>
      </c>
      <c r="X6" s="1259"/>
      <c r="Y6" s="1259"/>
      <c r="Z6" s="1117"/>
      <c r="AA6" s="1257" t="s">
        <v>886</v>
      </c>
      <c r="AB6" s="1259"/>
      <c r="AC6" s="1259"/>
      <c r="AD6" s="1117"/>
      <c r="AE6" s="1257" t="s">
        <v>1081</v>
      </c>
      <c r="AF6" s="1259"/>
      <c r="AG6" s="1259"/>
      <c r="AH6" s="1117"/>
      <c r="AI6" s="1105" t="s">
        <v>594</v>
      </c>
      <c r="AJ6" s="1259"/>
      <c r="AK6" s="1259"/>
      <c r="AL6" s="1117"/>
    </row>
    <row r="7" spans="1:39" s="332" customFormat="1" ht="20.25" customHeight="1">
      <c r="A7" s="1269"/>
      <c r="B7" s="1269"/>
      <c r="C7" s="1254">
        <f>+'47'!C7</f>
        <v>2020</v>
      </c>
      <c r="D7" s="1255">
        <f>+'47'!D7</f>
        <v>2021</v>
      </c>
      <c r="E7" s="1255">
        <f>+'47'!E7</f>
        <v>2022</v>
      </c>
      <c r="F7" s="1256">
        <f>+'47'!F7</f>
        <v>2023</v>
      </c>
      <c r="G7" s="1254">
        <f>+'47'!G7</f>
        <v>2020</v>
      </c>
      <c r="H7" s="1255">
        <f>+'47'!H7</f>
        <v>2021</v>
      </c>
      <c r="I7" s="1255">
        <f>+'47'!I7</f>
        <v>2022</v>
      </c>
      <c r="J7" s="1256">
        <f>+'47'!J7</f>
        <v>2023</v>
      </c>
      <c r="K7" s="1254">
        <f>+'47'!K7</f>
        <v>2020</v>
      </c>
      <c r="L7" s="1255">
        <f>+'47'!L7</f>
        <v>2021</v>
      </c>
      <c r="M7" s="1255">
        <f>+'47'!M7</f>
        <v>2022</v>
      </c>
      <c r="N7" s="1256">
        <f>+'47'!N7</f>
        <v>2023</v>
      </c>
      <c r="O7" s="1254">
        <f>+'47'!K7</f>
        <v>2020</v>
      </c>
      <c r="P7" s="1255">
        <f>+'47'!L7</f>
        <v>2021</v>
      </c>
      <c r="Q7" s="1255">
        <f>+'47'!M7</f>
        <v>2022</v>
      </c>
      <c r="R7" s="1256">
        <f>+'47'!N7</f>
        <v>2023</v>
      </c>
      <c r="S7" s="1254">
        <f>+'47'!O7</f>
        <v>2020</v>
      </c>
      <c r="T7" s="1255">
        <f>+'47'!P7</f>
        <v>2021</v>
      </c>
      <c r="U7" s="1255">
        <f>+'47'!Q7</f>
        <v>2022</v>
      </c>
      <c r="V7" s="1256">
        <f>+'47'!R7</f>
        <v>2023</v>
      </c>
      <c r="W7" s="1255">
        <f>+'47'!S7</f>
        <v>2020</v>
      </c>
      <c r="X7" s="1255">
        <f>+'47'!T7</f>
        <v>2021</v>
      </c>
      <c r="Y7" s="1255">
        <f>+'47'!U7</f>
        <v>2022</v>
      </c>
      <c r="Z7" s="1255">
        <f>+'47'!V7</f>
        <v>2023</v>
      </c>
      <c r="AA7" s="1297">
        <f t="shared" ref="AA7:AH7" si="0">+W7</f>
        <v>2020</v>
      </c>
      <c r="AB7" s="1252">
        <f t="shared" si="0"/>
        <v>2021</v>
      </c>
      <c r="AC7" s="1255">
        <f t="shared" si="0"/>
        <v>2022</v>
      </c>
      <c r="AD7" s="1256">
        <f t="shared" si="0"/>
        <v>2023</v>
      </c>
      <c r="AE7" s="1297">
        <f t="shared" si="0"/>
        <v>2020</v>
      </c>
      <c r="AF7" s="1252">
        <f t="shared" si="0"/>
        <v>2021</v>
      </c>
      <c r="AG7" s="1255">
        <f t="shared" si="0"/>
        <v>2022</v>
      </c>
      <c r="AH7" s="1256">
        <f t="shared" si="0"/>
        <v>2023</v>
      </c>
      <c r="AI7" s="1297">
        <f>+W7</f>
        <v>2020</v>
      </c>
      <c r="AJ7" s="1255">
        <f>+X7</f>
        <v>2021</v>
      </c>
      <c r="AK7" s="1255">
        <f>+Y7</f>
        <v>2022</v>
      </c>
      <c r="AL7" s="1256">
        <f>+Z7</f>
        <v>2023</v>
      </c>
    </row>
    <row r="8" spans="1:39" s="332" customFormat="1" ht="20.25" customHeight="1">
      <c r="A8" s="330" t="s">
        <v>864</v>
      </c>
      <c r="B8" s="331" t="s">
        <v>887</v>
      </c>
      <c r="C8" s="255">
        <v>1386</v>
      </c>
      <c r="D8" s="255">
        <v>1465</v>
      </c>
      <c r="E8" s="255">
        <f>+'[5]23'!$E$13</f>
        <v>2453</v>
      </c>
      <c r="F8" s="323">
        <f>+'[6]23'!$E$13</f>
        <v>2829</v>
      </c>
      <c r="G8" s="255">
        <v>1282</v>
      </c>
      <c r="H8" s="255">
        <v>1744</v>
      </c>
      <c r="I8" s="255">
        <f>+'[5]23'!$E$14</f>
        <v>2043</v>
      </c>
      <c r="J8" s="323">
        <f>+'[6]23'!$E$14</f>
        <v>2319</v>
      </c>
      <c r="K8" s="255"/>
      <c r="L8" s="255"/>
      <c r="M8" s="255"/>
      <c r="N8" s="323"/>
      <c r="O8" s="255">
        <v>12117</v>
      </c>
      <c r="P8" s="255">
        <v>14801</v>
      </c>
      <c r="Q8" s="255">
        <f>+'[5]23'!$E$15</f>
        <v>13443</v>
      </c>
      <c r="R8" s="323">
        <f>+'[6]23'!$E$15</f>
        <v>14725</v>
      </c>
      <c r="S8" s="255">
        <v>7452</v>
      </c>
      <c r="T8" s="255">
        <v>8463</v>
      </c>
      <c r="U8" s="255">
        <f>+'[5]23'!$E$16</f>
        <v>8432</v>
      </c>
      <c r="V8" s="323">
        <f>+'[6]23'!$E$16</f>
        <v>9954</v>
      </c>
      <c r="W8" s="255">
        <v>319</v>
      </c>
      <c r="X8" s="255">
        <v>1299</v>
      </c>
      <c r="Y8" s="255">
        <f>+'[5]23'!$E$21</f>
        <v>1220</v>
      </c>
      <c r="Z8" s="323">
        <f>+'[6]23'!$E$21</f>
        <v>1469</v>
      </c>
      <c r="AA8" s="255">
        <v>67</v>
      </c>
      <c r="AB8" s="255">
        <v>0</v>
      </c>
      <c r="AC8" s="255">
        <f>+'[5]23'!$E$22</f>
        <v>0</v>
      </c>
      <c r="AD8" s="323">
        <f>+'[6]23'!$E$22</f>
        <v>0</v>
      </c>
      <c r="AE8" s="255">
        <v>31</v>
      </c>
      <c r="AF8" s="255">
        <v>0</v>
      </c>
      <c r="AG8" s="255">
        <f>+'[5]23'!$E$23</f>
        <v>0</v>
      </c>
      <c r="AH8" s="323">
        <f>+'[6]23'!$E$23</f>
        <v>0</v>
      </c>
      <c r="AI8" s="255">
        <f>+C8+G8+K8+O8+S8+W8+AA8</f>
        <v>22623</v>
      </c>
      <c r="AJ8" s="255">
        <f t="shared" ref="AJ8:AL14" si="1">+D8+H8+L8+P8+T8+X8+AB8+AF8</f>
        <v>27772</v>
      </c>
      <c r="AK8" s="255">
        <f t="shared" si="1"/>
        <v>27591</v>
      </c>
      <c r="AL8" s="323">
        <f>+F8+J8+N8+R8+V8+Z8+AD8+AH8</f>
        <v>31296</v>
      </c>
    </row>
    <row r="9" spans="1:39" s="332" customFormat="1" ht="20.25" customHeight="1">
      <c r="A9" s="322"/>
      <c r="B9" s="243" t="s">
        <v>888</v>
      </c>
      <c r="C9" s="255">
        <v>1434</v>
      </c>
      <c r="D9" s="255">
        <v>733</v>
      </c>
      <c r="E9" s="255">
        <f>+'[5]23'!$F$13</f>
        <v>2421</v>
      </c>
      <c r="F9" s="323">
        <f>+'[6]23'!$F$13</f>
        <v>1830</v>
      </c>
      <c r="G9" s="255">
        <v>957</v>
      </c>
      <c r="H9" s="255">
        <v>493</v>
      </c>
      <c r="I9" s="255">
        <f>+'[5]23'!$F$14</f>
        <v>1171</v>
      </c>
      <c r="J9" s="323">
        <f>+'[6]23'!$F$14</f>
        <v>1157</v>
      </c>
      <c r="K9" s="255"/>
      <c r="L9" s="255"/>
      <c r="M9" s="255"/>
      <c r="N9" s="323"/>
      <c r="O9" s="255">
        <v>7601</v>
      </c>
      <c r="P9" s="255">
        <v>4759</v>
      </c>
      <c r="Q9" s="255">
        <f>+'[5]23'!$F$15</f>
        <v>7841</v>
      </c>
      <c r="R9" s="323">
        <f>+'[6]23'!$F$15</f>
        <v>7667</v>
      </c>
      <c r="S9" s="255">
        <v>2569</v>
      </c>
      <c r="T9" s="255">
        <v>2360</v>
      </c>
      <c r="U9" s="255">
        <f>+'[5]23'!$F$16</f>
        <v>4343</v>
      </c>
      <c r="V9" s="323">
        <f>+'[6]23'!$F$16</f>
        <v>5207</v>
      </c>
      <c r="W9" s="255">
        <v>1160</v>
      </c>
      <c r="X9" s="255">
        <v>956</v>
      </c>
      <c r="Y9" s="255">
        <f>+'[5]23'!$F$21</f>
        <v>1405</v>
      </c>
      <c r="Z9" s="323">
        <f>+'[6]23'!$F$21</f>
        <v>2261</v>
      </c>
      <c r="AA9" s="255">
        <v>10</v>
      </c>
      <c r="AB9" s="255">
        <v>49</v>
      </c>
      <c r="AC9" s="255">
        <f>+'[5]23'!$F$22</f>
        <v>26</v>
      </c>
      <c r="AD9" s="323">
        <f>+'[6]23'!$F$22</f>
        <v>14</v>
      </c>
      <c r="AE9" s="255"/>
      <c r="AF9" s="255"/>
      <c r="AG9" s="255"/>
      <c r="AH9" s="323"/>
      <c r="AI9" s="255">
        <f>+C9+G9+K9+O9+S9+W9+AA9</f>
        <v>13731</v>
      </c>
      <c r="AJ9" s="255">
        <f t="shared" si="1"/>
        <v>9350</v>
      </c>
      <c r="AK9" s="255">
        <f t="shared" si="1"/>
        <v>17207</v>
      </c>
      <c r="AL9" s="323">
        <f t="shared" si="1"/>
        <v>18136</v>
      </c>
    </row>
    <row r="10" spans="1:39" s="332" customFormat="1" ht="20.25" customHeight="1">
      <c r="A10" s="322"/>
      <c r="B10" s="211" t="s">
        <v>1395</v>
      </c>
      <c r="C10" s="255">
        <v>0</v>
      </c>
      <c r="D10" s="255">
        <v>0</v>
      </c>
      <c r="E10" s="255">
        <f>+'[5]23'!$G$13</f>
        <v>0</v>
      </c>
      <c r="F10" s="323">
        <f>+'[6]23'!$G$13</f>
        <v>0</v>
      </c>
      <c r="G10" s="255">
        <v>0</v>
      </c>
      <c r="H10" s="255">
        <v>0</v>
      </c>
      <c r="I10" s="255">
        <f>+'[5]23'!$G$14</f>
        <v>0</v>
      </c>
      <c r="J10" s="323">
        <f>+'[6]23'!$G$14</f>
        <v>0</v>
      </c>
      <c r="K10" s="255"/>
      <c r="L10" s="255"/>
      <c r="M10" s="255"/>
      <c r="N10" s="323"/>
      <c r="O10" s="255">
        <v>0</v>
      </c>
      <c r="P10" s="255">
        <v>0</v>
      </c>
      <c r="Q10" s="255">
        <f>+'[5]23'!$G$15</f>
        <v>0</v>
      </c>
      <c r="R10" s="323">
        <f>+'[6]23'!$G$15</f>
        <v>0</v>
      </c>
      <c r="S10" s="255">
        <v>0</v>
      </c>
      <c r="T10" s="255">
        <v>0</v>
      </c>
      <c r="U10" s="255">
        <f>+'[5]23'!$G$16</f>
        <v>0</v>
      </c>
      <c r="V10" s="323">
        <f>+'[6]23'!$G$16</f>
        <v>0</v>
      </c>
      <c r="W10" s="255">
        <v>0</v>
      </c>
      <c r="X10" s="255">
        <v>0</v>
      </c>
      <c r="Y10" s="255">
        <f>+'[5]23'!$G$21</f>
        <v>0</v>
      </c>
      <c r="Z10" s="323">
        <f>+'[6]23'!$G$21</f>
        <v>0</v>
      </c>
      <c r="AA10" s="255"/>
      <c r="AB10" s="255"/>
      <c r="AC10" s="255"/>
      <c r="AD10" s="323"/>
      <c r="AE10" s="255"/>
      <c r="AF10" s="255"/>
      <c r="AG10" s="255"/>
      <c r="AH10" s="323"/>
      <c r="AI10" s="255">
        <f>+C10+G10+K10+O10+S10+W10+AA10</f>
        <v>0</v>
      </c>
      <c r="AJ10" s="255">
        <f t="shared" si="1"/>
        <v>0</v>
      </c>
      <c r="AK10" s="255">
        <f t="shared" si="1"/>
        <v>0</v>
      </c>
      <c r="AL10" s="323">
        <f t="shared" si="1"/>
        <v>0</v>
      </c>
    </row>
    <row r="11" spans="1:39" s="332" customFormat="1" ht="20.25" customHeight="1">
      <c r="A11" s="322"/>
      <c r="B11" s="1271" t="s">
        <v>582</v>
      </c>
      <c r="C11" s="1272">
        <v>2820</v>
      </c>
      <c r="D11" s="1272">
        <v>2198</v>
      </c>
      <c r="E11" s="1272">
        <f>SUM(E8:E10)</f>
        <v>4874</v>
      </c>
      <c r="F11" s="1274">
        <f>SUM(F8:F10)</f>
        <v>4659</v>
      </c>
      <c r="G11" s="1272">
        <v>2239</v>
      </c>
      <c r="H11" s="1272">
        <v>2237</v>
      </c>
      <c r="I11" s="1272">
        <f t="shared" ref="I11:N11" si="2">SUM(I8:I10)</f>
        <v>3214</v>
      </c>
      <c r="J11" s="1274">
        <f t="shared" si="2"/>
        <v>3476</v>
      </c>
      <c r="K11" s="1272">
        <f t="shared" si="2"/>
        <v>0</v>
      </c>
      <c r="L11" s="1272">
        <f t="shared" si="2"/>
        <v>0</v>
      </c>
      <c r="M11" s="1272">
        <f t="shared" si="2"/>
        <v>0</v>
      </c>
      <c r="N11" s="1274">
        <f t="shared" si="2"/>
        <v>0</v>
      </c>
      <c r="O11" s="1272">
        <v>19718</v>
      </c>
      <c r="P11" s="1272">
        <v>19560</v>
      </c>
      <c r="Q11" s="1272">
        <f>SUM(Q8:Q10)</f>
        <v>21284</v>
      </c>
      <c r="R11" s="1274">
        <f>SUM(R8:R10)</f>
        <v>22392</v>
      </c>
      <c r="S11" s="1272">
        <v>10021</v>
      </c>
      <c r="T11" s="1272">
        <v>10823</v>
      </c>
      <c r="U11" s="1272">
        <f>SUM(U8:U10)</f>
        <v>12775</v>
      </c>
      <c r="V11" s="1274">
        <f>SUM(V8:V10)</f>
        <v>15161</v>
      </c>
      <c r="W11" s="1272">
        <v>1479</v>
      </c>
      <c r="X11" s="1272">
        <v>2255</v>
      </c>
      <c r="Y11" s="1272">
        <f>SUM(Y8:Y10)</f>
        <v>2625</v>
      </c>
      <c r="Z11" s="1274">
        <f>SUM(Z8:Z10)</f>
        <v>3730</v>
      </c>
      <c r="AA11" s="1272">
        <v>77</v>
      </c>
      <c r="AB11" s="1272">
        <v>49</v>
      </c>
      <c r="AC11" s="1272">
        <f>SUM(AC8:AC10)</f>
        <v>26</v>
      </c>
      <c r="AD11" s="1274">
        <f>SUM(AD8:AD10)</f>
        <v>14</v>
      </c>
      <c r="AE11" s="1272">
        <v>31</v>
      </c>
      <c r="AF11" s="1272">
        <v>0</v>
      </c>
      <c r="AG11" s="1272">
        <f>SUM(AG8:AG10)</f>
        <v>0</v>
      </c>
      <c r="AH11" s="1274">
        <f>SUM(AH8:AH10)</f>
        <v>0</v>
      </c>
      <c r="AI11" s="1272">
        <f>SUM(AI8:AI10)</f>
        <v>36354</v>
      </c>
      <c r="AJ11" s="1272">
        <f t="shared" si="1"/>
        <v>37122</v>
      </c>
      <c r="AK11" s="1272">
        <f t="shared" si="1"/>
        <v>44798</v>
      </c>
      <c r="AL11" s="1274">
        <f t="shared" si="1"/>
        <v>49432</v>
      </c>
    </row>
    <row r="12" spans="1:39" s="332" customFormat="1" ht="20.25" customHeight="1">
      <c r="A12" s="322" t="s">
        <v>479</v>
      </c>
      <c r="B12" s="243" t="s">
        <v>889</v>
      </c>
      <c r="C12" s="255">
        <v>1486</v>
      </c>
      <c r="D12" s="255">
        <v>1767</v>
      </c>
      <c r="E12" s="255">
        <f>+'[5]23'!$J$13</f>
        <v>3026</v>
      </c>
      <c r="F12" s="323">
        <f>+'[6]23'!$J$13</f>
        <v>2671</v>
      </c>
      <c r="G12" s="255">
        <v>1331</v>
      </c>
      <c r="H12" s="255">
        <v>1593</v>
      </c>
      <c r="I12" s="255">
        <f>+'[5]23'!$J$14</f>
        <v>2132</v>
      </c>
      <c r="J12" s="323">
        <f>+'[6]23'!$J$14</f>
        <v>2102</v>
      </c>
      <c r="K12" s="255"/>
      <c r="L12" s="255"/>
      <c r="M12" s="255"/>
      <c r="N12" s="323"/>
      <c r="O12" s="255">
        <v>12368</v>
      </c>
      <c r="P12" s="255">
        <v>14079</v>
      </c>
      <c r="Q12" s="255">
        <f>+'[5]23'!$J$15</f>
        <v>11828</v>
      </c>
      <c r="R12" s="323">
        <f>+'[6]23'!$J$15</f>
        <v>11201</v>
      </c>
      <c r="S12" s="255">
        <v>4324</v>
      </c>
      <c r="T12" s="255">
        <v>5202</v>
      </c>
      <c r="U12" s="255">
        <f>+'[5]23'!$J$16</f>
        <v>5204</v>
      </c>
      <c r="V12" s="323">
        <f>+'[6]23'!$J$16</f>
        <v>5408</v>
      </c>
      <c r="W12" s="255">
        <v>337</v>
      </c>
      <c r="X12" s="255">
        <v>423</v>
      </c>
      <c r="Y12" s="255">
        <f>+'[5]23'!$J$21</f>
        <v>523</v>
      </c>
      <c r="Z12" s="323">
        <f>+'[6]23'!$J$21</f>
        <v>776</v>
      </c>
      <c r="AA12" s="255">
        <v>51</v>
      </c>
      <c r="AB12" s="255">
        <v>1</v>
      </c>
      <c r="AC12" s="255">
        <f>+'[5]23'!$J$22</f>
        <v>5</v>
      </c>
      <c r="AD12" s="323">
        <f>+'[6]23'!$J$22</f>
        <v>25</v>
      </c>
      <c r="AE12" s="255">
        <v>52</v>
      </c>
      <c r="AF12" s="255">
        <v>0</v>
      </c>
      <c r="AG12" s="255">
        <f>+'[5]23'!$J$23</f>
        <v>26</v>
      </c>
      <c r="AH12" s="323">
        <f>+'[6]23'!$J$23</f>
        <v>36</v>
      </c>
      <c r="AI12" s="255">
        <f>+C12+G12+K12+O12+S12+W12+AA12+AE12</f>
        <v>19949</v>
      </c>
      <c r="AJ12" s="255">
        <f t="shared" si="1"/>
        <v>23065</v>
      </c>
      <c r="AK12" s="255">
        <f t="shared" si="1"/>
        <v>22744</v>
      </c>
      <c r="AL12" s="323">
        <f t="shared" si="1"/>
        <v>22219</v>
      </c>
      <c r="AM12" s="335"/>
    </row>
    <row r="13" spans="1:39" s="332" customFormat="1" ht="20.25" customHeight="1">
      <c r="A13" s="322" t="s">
        <v>865</v>
      </c>
      <c r="B13" s="243" t="s">
        <v>890</v>
      </c>
      <c r="C13" s="255">
        <v>1087</v>
      </c>
      <c r="D13" s="255">
        <v>1134</v>
      </c>
      <c r="E13" s="255">
        <f>+'[5]23'!$H$13</f>
        <v>3011</v>
      </c>
      <c r="F13" s="323">
        <f>+'[6]23'!$H$13</f>
        <v>2780</v>
      </c>
      <c r="G13" s="255">
        <v>825</v>
      </c>
      <c r="H13" s="255">
        <v>1122</v>
      </c>
      <c r="I13" s="255">
        <f>+'[5]23'!$H$14</f>
        <v>2080</v>
      </c>
      <c r="J13" s="323">
        <f>+'[6]23'!$H$14</f>
        <v>1895</v>
      </c>
      <c r="K13" s="255"/>
      <c r="L13" s="255"/>
      <c r="M13" s="255"/>
      <c r="N13" s="323"/>
      <c r="O13" s="255">
        <v>7148</v>
      </c>
      <c r="P13" s="255">
        <v>8008</v>
      </c>
      <c r="Q13" s="255">
        <f>+'[5]23'!$H$15</f>
        <v>9324</v>
      </c>
      <c r="R13" s="323">
        <f>+'[6]23'!$H$15</f>
        <v>9086</v>
      </c>
      <c r="S13" s="255">
        <v>2627</v>
      </c>
      <c r="T13" s="255">
        <v>2717</v>
      </c>
      <c r="U13" s="255">
        <f>+'[5]23'!$H$16</f>
        <v>3134</v>
      </c>
      <c r="V13" s="323">
        <f>+'[6]23'!$H$16</f>
        <v>4012</v>
      </c>
      <c r="W13" s="255">
        <v>463</v>
      </c>
      <c r="X13" s="255">
        <v>698</v>
      </c>
      <c r="Y13" s="255">
        <f>+'[5]23'!$H$21</f>
        <v>1188</v>
      </c>
      <c r="Z13" s="323">
        <f>+'[6]23'!$H$21</f>
        <v>1884</v>
      </c>
      <c r="AA13" s="255">
        <v>6</v>
      </c>
      <c r="AB13" s="255">
        <v>7</v>
      </c>
      <c r="AC13" s="255">
        <f>+'[5]23'!$H$22</f>
        <v>15</v>
      </c>
      <c r="AD13" s="323">
        <f>+'[6]23'!$H$22</f>
        <v>20</v>
      </c>
      <c r="AE13" s="255">
        <v>0</v>
      </c>
      <c r="AF13" s="255">
        <v>0</v>
      </c>
      <c r="AG13" s="255">
        <f>+'[5]23'!$H$23</f>
        <v>0</v>
      </c>
      <c r="AH13" s="323">
        <f>+'[6]23'!$H$23</f>
        <v>0</v>
      </c>
      <c r="AI13" s="255">
        <f>+C13+G13+K13+O13+S13+W13+AA13+AE13</f>
        <v>12156</v>
      </c>
      <c r="AJ13" s="255">
        <f t="shared" si="1"/>
        <v>13686</v>
      </c>
      <c r="AK13" s="255">
        <f t="shared" si="1"/>
        <v>18752</v>
      </c>
      <c r="AL13" s="323">
        <f t="shared" si="1"/>
        <v>19677</v>
      </c>
    </row>
    <row r="14" spans="1:39" s="332" customFormat="1" ht="20.25" customHeight="1">
      <c r="A14" s="322" t="s">
        <v>481</v>
      </c>
      <c r="B14" s="243" t="s">
        <v>891</v>
      </c>
      <c r="C14" s="255">
        <v>1172</v>
      </c>
      <c r="D14" s="255">
        <v>1194</v>
      </c>
      <c r="E14" s="255">
        <f>+'[5]23'!$I$13</f>
        <v>2245</v>
      </c>
      <c r="F14" s="323">
        <f>+'[6]23'!$I$13</f>
        <v>2269</v>
      </c>
      <c r="G14" s="255">
        <v>901</v>
      </c>
      <c r="H14" s="255">
        <v>1041</v>
      </c>
      <c r="I14" s="255">
        <f>+'[5]23'!$I$14</f>
        <v>1655</v>
      </c>
      <c r="J14" s="323">
        <f>+'[6]23'!$I$14</f>
        <v>2176</v>
      </c>
      <c r="K14" s="255"/>
      <c r="L14" s="255"/>
      <c r="M14" s="255"/>
      <c r="N14" s="323"/>
      <c r="O14" s="255">
        <v>7625</v>
      </c>
      <c r="P14" s="255">
        <v>6443</v>
      </c>
      <c r="Q14" s="255">
        <f>+'[5]23'!$I$15</f>
        <v>8040</v>
      </c>
      <c r="R14" s="323">
        <f>+'[6]23'!$I$15</f>
        <v>9790</v>
      </c>
      <c r="S14" s="255">
        <v>2848</v>
      </c>
      <c r="T14" s="255">
        <v>2243</v>
      </c>
      <c r="U14" s="255">
        <f>+'[5]23'!$I$16</f>
        <v>2866</v>
      </c>
      <c r="V14" s="323">
        <f>+'[6]23'!$I$16</f>
        <v>3862</v>
      </c>
      <c r="W14" s="255">
        <v>676</v>
      </c>
      <c r="X14" s="255">
        <v>651</v>
      </c>
      <c r="Y14" s="255">
        <f>+'[5]23'!$I$21</f>
        <v>642</v>
      </c>
      <c r="Z14" s="323">
        <f>+'[6]23'!$I$21</f>
        <v>1158</v>
      </c>
      <c r="AA14" s="255">
        <v>1</v>
      </c>
      <c r="AB14" s="255">
        <v>10</v>
      </c>
      <c r="AC14" s="255">
        <f>+'[5]23'!$I$22</f>
        <v>23</v>
      </c>
      <c r="AD14" s="323">
        <f>+'[6]23'!$I$22</f>
        <v>6</v>
      </c>
      <c r="AE14" s="255"/>
      <c r="AF14" s="255">
        <v>30</v>
      </c>
      <c r="AG14" s="255">
        <f>+'[5]23'!$I$23</f>
        <v>0</v>
      </c>
      <c r="AH14" s="323">
        <f>+'[6]23'!$I$23</f>
        <v>37</v>
      </c>
      <c r="AI14" s="255">
        <f>+C14+G14+K14+O14+S14+W14+AA14</f>
        <v>13223</v>
      </c>
      <c r="AJ14" s="255">
        <f t="shared" si="1"/>
        <v>11612</v>
      </c>
      <c r="AK14" s="255">
        <f t="shared" si="1"/>
        <v>15471</v>
      </c>
      <c r="AL14" s="323">
        <f t="shared" si="1"/>
        <v>19298</v>
      </c>
    </row>
    <row r="15" spans="1:39" s="332" customFormat="1" ht="20.25" customHeight="1">
      <c r="A15" s="1026" t="s">
        <v>866</v>
      </c>
      <c r="B15" s="1027"/>
      <c r="C15" s="1276">
        <v>6565</v>
      </c>
      <c r="D15" s="1276">
        <v>6293</v>
      </c>
      <c r="E15" s="1276">
        <f>SUM(E11:E14)</f>
        <v>13156</v>
      </c>
      <c r="F15" s="1277">
        <f>SUM(F11:F14)</f>
        <v>12379</v>
      </c>
      <c r="G15" s="1276">
        <v>5296</v>
      </c>
      <c r="H15" s="1276">
        <v>5993</v>
      </c>
      <c r="I15" s="1276">
        <f t="shared" ref="I15:N15" si="3">SUM(I11:I14)</f>
        <v>9081</v>
      </c>
      <c r="J15" s="1277">
        <f t="shared" si="3"/>
        <v>9649</v>
      </c>
      <c r="K15" s="1276">
        <f t="shared" si="3"/>
        <v>0</v>
      </c>
      <c r="L15" s="1276">
        <f t="shared" si="3"/>
        <v>0</v>
      </c>
      <c r="M15" s="1276">
        <f t="shared" si="3"/>
        <v>0</v>
      </c>
      <c r="N15" s="1277">
        <f t="shared" si="3"/>
        <v>0</v>
      </c>
      <c r="O15" s="1276">
        <v>46859</v>
      </c>
      <c r="P15" s="1276">
        <v>48090</v>
      </c>
      <c r="Q15" s="1276">
        <f>SUM(Q11:Q14)</f>
        <v>50476</v>
      </c>
      <c r="R15" s="1277">
        <f>SUM(R11:R14)</f>
        <v>52469</v>
      </c>
      <c r="S15" s="1276">
        <v>19820</v>
      </c>
      <c r="T15" s="1276">
        <v>20985</v>
      </c>
      <c r="U15" s="1276">
        <f>SUM(U11:U14)</f>
        <v>23979</v>
      </c>
      <c r="V15" s="1277">
        <f>SUM(V11:V14)</f>
        <v>28443</v>
      </c>
      <c r="W15" s="1276">
        <v>2955</v>
      </c>
      <c r="X15" s="1276">
        <v>4027</v>
      </c>
      <c r="Y15" s="1276">
        <f>SUM(Y11:Y14)</f>
        <v>4978</v>
      </c>
      <c r="Z15" s="1277">
        <f>SUM(Z11:Z14)</f>
        <v>7548</v>
      </c>
      <c r="AA15" s="1276">
        <v>135</v>
      </c>
      <c r="AB15" s="1276">
        <v>67</v>
      </c>
      <c r="AC15" s="1276">
        <f>SUM(AC11:AC14)</f>
        <v>69</v>
      </c>
      <c r="AD15" s="1277">
        <f>SUM(AD11:AD14)</f>
        <v>65</v>
      </c>
      <c r="AE15" s="1276">
        <v>83</v>
      </c>
      <c r="AF15" s="1276">
        <v>30</v>
      </c>
      <c r="AG15" s="1276">
        <f t="shared" ref="AG15:AL15" si="4">SUM(AG11:AG14)</f>
        <v>26</v>
      </c>
      <c r="AH15" s="1277">
        <f t="shared" si="4"/>
        <v>73</v>
      </c>
      <c r="AI15" s="1276">
        <f t="shared" si="4"/>
        <v>81682</v>
      </c>
      <c r="AJ15" s="1276">
        <f t="shared" si="4"/>
        <v>85485</v>
      </c>
      <c r="AK15" s="1276">
        <f t="shared" si="4"/>
        <v>101765</v>
      </c>
      <c r="AL15" s="1277">
        <f t="shared" si="4"/>
        <v>110626</v>
      </c>
    </row>
    <row r="16" spans="1:39" s="332" customFormat="1" ht="20.25" customHeight="1">
      <c r="A16" s="322" t="s">
        <v>867</v>
      </c>
      <c r="B16" s="243" t="s">
        <v>892</v>
      </c>
      <c r="C16" s="255">
        <v>1185</v>
      </c>
      <c r="D16" s="255">
        <v>1642</v>
      </c>
      <c r="E16" s="255">
        <f>+'[5]23'!$O$13</f>
        <v>3493</v>
      </c>
      <c r="F16" s="323">
        <f>+'[6]23'!$O$13</f>
        <v>3754</v>
      </c>
      <c r="G16" s="255">
        <v>878</v>
      </c>
      <c r="H16" s="255">
        <v>1278</v>
      </c>
      <c r="I16" s="255">
        <f>+'[5]23'!$O$14</f>
        <v>2253</v>
      </c>
      <c r="J16" s="323">
        <f>+'[6]23'!$O$14</f>
        <v>1668</v>
      </c>
      <c r="K16" s="255"/>
      <c r="L16" s="255"/>
      <c r="M16" s="255"/>
      <c r="N16" s="323"/>
      <c r="O16" s="255">
        <v>6482</v>
      </c>
      <c r="P16" s="255">
        <v>10843</v>
      </c>
      <c r="Q16" s="255">
        <f>+'[5]23'!$O$15</f>
        <v>12651</v>
      </c>
      <c r="R16" s="323">
        <f>+'[6]23'!$O$15</f>
        <v>10043</v>
      </c>
      <c r="S16" s="255">
        <v>2786</v>
      </c>
      <c r="T16" s="255">
        <v>4019</v>
      </c>
      <c r="U16" s="255">
        <f>+'[5]23'!$O$16</f>
        <v>5067</v>
      </c>
      <c r="V16" s="323">
        <f>+'[6]23'!$O$16</f>
        <v>4894</v>
      </c>
      <c r="W16" s="255">
        <v>405</v>
      </c>
      <c r="X16" s="255">
        <v>445</v>
      </c>
      <c r="Y16" s="255">
        <f>+'[5]23'!$O$21</f>
        <v>805</v>
      </c>
      <c r="Z16" s="323">
        <f>+'[6]23'!$O$21</f>
        <v>1199</v>
      </c>
      <c r="AA16" s="255">
        <v>106</v>
      </c>
      <c r="AB16" s="255">
        <v>12</v>
      </c>
      <c r="AC16" s="255">
        <f>+'[5]23'!$O$22</f>
        <v>26</v>
      </c>
      <c r="AD16" s="323">
        <f>+'[6]23'!$O$22</f>
        <v>46</v>
      </c>
      <c r="AE16" s="255"/>
      <c r="AF16" s="255"/>
      <c r="AG16" s="255">
        <f>+'[5]23'!$O$23</f>
        <v>32</v>
      </c>
      <c r="AH16" s="323">
        <f>+'[6]23'!$O$23</f>
        <v>6</v>
      </c>
      <c r="AI16" s="255">
        <f t="shared" ref="AI16:AL20" si="5">+C16+G16+K16+O16+S16+W16+AA16+AE16</f>
        <v>11842</v>
      </c>
      <c r="AJ16" s="255">
        <f t="shared" si="5"/>
        <v>18239</v>
      </c>
      <c r="AK16" s="255">
        <f t="shared" si="5"/>
        <v>24327</v>
      </c>
      <c r="AL16" s="323">
        <f t="shared" si="5"/>
        <v>21610</v>
      </c>
    </row>
    <row r="17" spans="1:42" s="332" customFormat="1" ht="20.25" customHeight="1">
      <c r="A17" s="322"/>
      <c r="B17" s="211" t="s">
        <v>1292</v>
      </c>
      <c r="C17" s="255">
        <v>0</v>
      </c>
      <c r="D17" s="255">
        <v>0</v>
      </c>
      <c r="E17" s="255">
        <f>+'[5]23'!$K$13</f>
        <v>0</v>
      </c>
      <c r="F17" s="323">
        <f>+'[6]23'!$K$13</f>
        <v>0</v>
      </c>
      <c r="G17" s="255">
        <v>0</v>
      </c>
      <c r="H17" s="255">
        <v>0</v>
      </c>
      <c r="I17" s="255">
        <f>+'[5]23'!$K$14</f>
        <v>2</v>
      </c>
      <c r="J17" s="323">
        <f>+'[6]23'!$K$14</f>
        <v>0</v>
      </c>
      <c r="K17" s="255"/>
      <c r="L17" s="255"/>
      <c r="M17" s="255"/>
      <c r="N17" s="323"/>
      <c r="O17" s="255">
        <v>229</v>
      </c>
      <c r="P17" s="255">
        <v>1072</v>
      </c>
      <c r="Q17" s="255">
        <f>+'[5]23'!$K$15</f>
        <v>1462</v>
      </c>
      <c r="R17" s="323">
        <f>+'[6]23'!$K$15</f>
        <v>1789</v>
      </c>
      <c r="S17" s="255">
        <v>1</v>
      </c>
      <c r="T17" s="255">
        <v>0</v>
      </c>
      <c r="U17" s="255">
        <f>+'[5]23'!$K$16</f>
        <v>5</v>
      </c>
      <c r="V17" s="323">
        <f>+'[6]23'!$K$16</f>
        <v>10</v>
      </c>
      <c r="W17" s="255">
        <v>0</v>
      </c>
      <c r="X17" s="255">
        <v>0</v>
      </c>
      <c r="Y17" s="255">
        <f>+'[5]23'!$K$21</f>
        <v>0</v>
      </c>
      <c r="Z17" s="323">
        <f>+'[6]23'!$K$21</f>
        <v>0</v>
      </c>
      <c r="AA17" s="255"/>
      <c r="AB17" s="255"/>
      <c r="AC17" s="255"/>
      <c r="AD17" s="323"/>
      <c r="AE17" s="255"/>
      <c r="AF17" s="255"/>
      <c r="AG17" s="255"/>
      <c r="AH17" s="323"/>
      <c r="AI17" s="255">
        <f t="shared" si="5"/>
        <v>230</v>
      </c>
      <c r="AJ17" s="255">
        <f t="shared" si="5"/>
        <v>1072</v>
      </c>
      <c r="AK17" s="255">
        <f t="shared" si="5"/>
        <v>1469</v>
      </c>
      <c r="AL17" s="323">
        <f t="shared" si="5"/>
        <v>1799</v>
      </c>
    </row>
    <row r="18" spans="1:42" s="332" customFormat="1" ht="20.25" customHeight="1">
      <c r="A18" s="322"/>
      <c r="B18" s="243" t="s">
        <v>893</v>
      </c>
      <c r="C18" s="255">
        <v>2738</v>
      </c>
      <c r="D18" s="255">
        <v>2618</v>
      </c>
      <c r="E18" s="255">
        <f>+'[5]23'!$P$13</f>
        <v>4509</v>
      </c>
      <c r="F18" s="323">
        <f>+'[6]23'!$P$13</f>
        <v>5062</v>
      </c>
      <c r="G18" s="255">
        <v>1821</v>
      </c>
      <c r="H18" s="255">
        <v>1983</v>
      </c>
      <c r="I18" s="255">
        <f>+'[5]23'!$P$14</f>
        <v>2860</v>
      </c>
      <c r="J18" s="323">
        <f>+'[6]23'!$P$14</f>
        <v>2830</v>
      </c>
      <c r="K18" s="255"/>
      <c r="L18" s="255"/>
      <c r="M18" s="255"/>
      <c r="N18" s="323"/>
      <c r="O18" s="255">
        <v>13888</v>
      </c>
      <c r="P18" s="255">
        <v>17375</v>
      </c>
      <c r="Q18" s="255">
        <f>+'[5]23'!$P$15</f>
        <v>18404</v>
      </c>
      <c r="R18" s="323">
        <f>+'[6]23'!$P$15</f>
        <v>18257</v>
      </c>
      <c r="S18" s="255">
        <v>5847</v>
      </c>
      <c r="T18" s="255">
        <v>7671</v>
      </c>
      <c r="U18" s="255">
        <f>+'[5]23'!$P$16</f>
        <v>10935</v>
      </c>
      <c r="V18" s="323">
        <f>+'[6]23'!$P$16</f>
        <v>11010</v>
      </c>
      <c r="W18" s="255">
        <v>654</v>
      </c>
      <c r="X18" s="255">
        <v>916</v>
      </c>
      <c r="Y18" s="255">
        <f>+'[5]23'!$P$21</f>
        <v>919</v>
      </c>
      <c r="Z18" s="323">
        <f>+'[6]23'!$P$21</f>
        <v>1724</v>
      </c>
      <c r="AA18" s="255"/>
      <c r="AB18" s="255"/>
      <c r="AC18" s="255">
        <f>+'[5]23'!$P$22</f>
        <v>12</v>
      </c>
      <c r="AD18" s="323">
        <f>+'[6]23'!$P$22</f>
        <v>202</v>
      </c>
      <c r="AE18" s="255"/>
      <c r="AF18" s="255"/>
      <c r="AG18" s="255">
        <f>+'[5]23'!$P$23</f>
        <v>18</v>
      </c>
      <c r="AH18" s="323">
        <f>+'[6]23'!$P$23</f>
        <v>0</v>
      </c>
      <c r="AI18" s="255">
        <f t="shared" si="5"/>
        <v>24948</v>
      </c>
      <c r="AJ18" s="255">
        <f t="shared" si="5"/>
        <v>30563</v>
      </c>
      <c r="AK18" s="255">
        <f t="shared" si="5"/>
        <v>37657</v>
      </c>
      <c r="AL18" s="323">
        <f t="shared" si="5"/>
        <v>39085</v>
      </c>
    </row>
    <row r="19" spans="1:42" s="332" customFormat="1" ht="20.25" customHeight="1">
      <c r="A19" s="322"/>
      <c r="B19" s="211" t="s">
        <v>1414</v>
      </c>
      <c r="C19" s="255">
        <v>0</v>
      </c>
      <c r="D19" s="255">
        <v>0</v>
      </c>
      <c r="E19" s="255">
        <f>+'[5]23'!$L$13</f>
        <v>0</v>
      </c>
      <c r="F19" s="323">
        <f>+'[6]23'!$L$13</f>
        <v>0</v>
      </c>
      <c r="G19" s="255">
        <v>0</v>
      </c>
      <c r="H19" s="255">
        <v>0</v>
      </c>
      <c r="I19" s="255">
        <f>+'[5]23'!$L$14</f>
        <v>0</v>
      </c>
      <c r="J19" s="323">
        <f>+'[6]23'!$L$14</f>
        <v>0</v>
      </c>
      <c r="K19" s="255"/>
      <c r="L19" s="255"/>
      <c r="M19" s="255"/>
      <c r="N19" s="323"/>
      <c r="O19" s="255">
        <v>0</v>
      </c>
      <c r="P19" s="255">
        <v>0</v>
      </c>
      <c r="Q19" s="255">
        <f>+'[5]23'!$L$15</f>
        <v>0</v>
      </c>
      <c r="R19" s="323">
        <f>+'[6]23'!$L$15</f>
        <v>0</v>
      </c>
      <c r="S19" s="255">
        <v>0</v>
      </c>
      <c r="T19" s="255">
        <v>0</v>
      </c>
      <c r="U19" s="255">
        <f>+'[5]23'!$L$16</f>
        <v>0</v>
      </c>
      <c r="V19" s="323">
        <f>+'[6]23'!$L$16</f>
        <v>0</v>
      </c>
      <c r="W19" s="255">
        <v>0</v>
      </c>
      <c r="X19" s="255">
        <v>35</v>
      </c>
      <c r="Y19" s="255">
        <f>+'[5]23'!$L$21</f>
        <v>0</v>
      </c>
      <c r="Z19" s="323">
        <f>+'[6]23'!$L$21</f>
        <v>0</v>
      </c>
      <c r="AA19" s="255"/>
      <c r="AB19" s="255"/>
      <c r="AC19" s="255"/>
      <c r="AD19" s="323"/>
      <c r="AE19" s="255"/>
      <c r="AF19" s="255"/>
      <c r="AG19" s="255"/>
      <c r="AH19" s="323"/>
      <c r="AI19" s="255">
        <f t="shared" si="5"/>
        <v>0</v>
      </c>
      <c r="AJ19" s="255">
        <f t="shared" si="5"/>
        <v>35</v>
      </c>
      <c r="AK19" s="255">
        <f t="shared" si="5"/>
        <v>0</v>
      </c>
      <c r="AL19" s="323">
        <f t="shared" si="5"/>
        <v>0</v>
      </c>
    </row>
    <row r="20" spans="1:42" s="332" customFormat="1" ht="20.25" customHeight="1">
      <c r="A20" s="322"/>
      <c r="B20" s="243" t="s">
        <v>747</v>
      </c>
      <c r="C20" s="255">
        <v>449</v>
      </c>
      <c r="D20" s="255">
        <v>593</v>
      </c>
      <c r="E20" s="255">
        <f>+'[5]23'!$N$13</f>
        <v>1337</v>
      </c>
      <c r="F20" s="323">
        <f>+'[6]23'!$N$13</f>
        <v>982</v>
      </c>
      <c r="G20" s="255">
        <v>329</v>
      </c>
      <c r="H20" s="255">
        <v>512</v>
      </c>
      <c r="I20" s="255">
        <f>+'[5]23'!$N$14</f>
        <v>1010</v>
      </c>
      <c r="J20" s="323">
        <f>+'[6]23'!$N$14</f>
        <v>611</v>
      </c>
      <c r="K20" s="255"/>
      <c r="L20" s="255"/>
      <c r="M20" s="255"/>
      <c r="N20" s="323"/>
      <c r="O20" s="255">
        <v>2503</v>
      </c>
      <c r="P20" s="255">
        <v>3724</v>
      </c>
      <c r="Q20" s="255">
        <f>+'[5]23'!$N$15</f>
        <v>3548</v>
      </c>
      <c r="R20" s="323">
        <f>+'[6]23'!$N$15</f>
        <v>2607</v>
      </c>
      <c r="S20" s="255">
        <v>855</v>
      </c>
      <c r="T20" s="255">
        <v>1309</v>
      </c>
      <c r="U20" s="255">
        <f>+'[5]23'!$N$16</f>
        <v>1374</v>
      </c>
      <c r="V20" s="323">
        <f>+'[6]23'!$N$16</f>
        <v>931</v>
      </c>
      <c r="W20" s="255">
        <v>261</v>
      </c>
      <c r="X20" s="255">
        <v>450</v>
      </c>
      <c r="Y20" s="255">
        <f>+'[5]23'!$N$21</f>
        <v>709</v>
      </c>
      <c r="Z20" s="323">
        <f>+'[6]23'!$N$21</f>
        <v>700</v>
      </c>
      <c r="AA20" s="255"/>
      <c r="AB20" s="255">
        <v>12</v>
      </c>
      <c r="AC20" s="255">
        <f>+'[5]23'!$N$22</f>
        <v>0</v>
      </c>
      <c r="AD20" s="323">
        <f>+'[6]23'!$N$22</f>
        <v>0</v>
      </c>
      <c r="AE20" s="255">
        <v>0</v>
      </c>
      <c r="AF20" s="255">
        <v>16</v>
      </c>
      <c r="AG20" s="255">
        <f>+'[5]23'!$N$23</f>
        <v>0</v>
      </c>
      <c r="AH20" s="323">
        <f>+'[6]23'!$N$23</f>
        <v>0</v>
      </c>
      <c r="AI20" s="255">
        <f t="shared" si="5"/>
        <v>4397</v>
      </c>
      <c r="AJ20" s="255">
        <f t="shared" si="5"/>
        <v>6616</v>
      </c>
      <c r="AK20" s="255">
        <f t="shared" si="5"/>
        <v>7978</v>
      </c>
      <c r="AL20" s="323">
        <f t="shared" si="5"/>
        <v>5831</v>
      </c>
      <c r="AP20" s="335"/>
    </row>
    <row r="21" spans="1:42" s="332" customFormat="1" ht="20.25" customHeight="1">
      <c r="A21" s="322"/>
      <c r="B21" s="1271" t="s">
        <v>582</v>
      </c>
      <c r="C21" s="1272">
        <v>4372</v>
      </c>
      <c r="D21" s="1272">
        <v>4853</v>
      </c>
      <c r="E21" s="1272">
        <f>SUM(E16:E20)</f>
        <v>9339</v>
      </c>
      <c r="F21" s="1274">
        <f>SUM(F16:F20)</f>
        <v>9798</v>
      </c>
      <c r="G21" s="1272">
        <v>3028</v>
      </c>
      <c r="H21" s="1272">
        <v>3773</v>
      </c>
      <c r="I21" s="1272">
        <f t="shared" ref="I21:N21" si="6">SUM(I16:I20)</f>
        <v>6125</v>
      </c>
      <c r="J21" s="1274">
        <f t="shared" si="6"/>
        <v>5109</v>
      </c>
      <c r="K21" s="1272">
        <f t="shared" si="6"/>
        <v>0</v>
      </c>
      <c r="L21" s="1272">
        <f t="shared" si="6"/>
        <v>0</v>
      </c>
      <c r="M21" s="1272">
        <f t="shared" si="6"/>
        <v>0</v>
      </c>
      <c r="N21" s="1274">
        <f t="shared" si="6"/>
        <v>0</v>
      </c>
      <c r="O21" s="1272">
        <v>23102</v>
      </c>
      <c r="P21" s="1272">
        <v>33014</v>
      </c>
      <c r="Q21" s="1272">
        <f>SUM(Q16:Q20)</f>
        <v>36065</v>
      </c>
      <c r="R21" s="1274">
        <f>SUM(R16:R20)</f>
        <v>32696</v>
      </c>
      <c r="S21" s="1272">
        <v>9489</v>
      </c>
      <c r="T21" s="1272">
        <v>12999</v>
      </c>
      <c r="U21" s="1272">
        <f>SUM(U16:U20)</f>
        <v>17381</v>
      </c>
      <c r="V21" s="1274">
        <f>SUM(V16:V20)</f>
        <v>16845</v>
      </c>
      <c r="W21" s="1272">
        <v>1320</v>
      </c>
      <c r="X21" s="1272">
        <v>1846</v>
      </c>
      <c r="Y21" s="1272">
        <f>SUM(Y16:Y20)</f>
        <v>2433</v>
      </c>
      <c r="Z21" s="1274">
        <f>SUM(Z16:Z20)</f>
        <v>3623</v>
      </c>
      <c r="AA21" s="1272">
        <v>106</v>
      </c>
      <c r="AB21" s="1272">
        <v>24</v>
      </c>
      <c r="AC21" s="1272">
        <f>SUM(AC16:AC20)</f>
        <v>38</v>
      </c>
      <c r="AD21" s="1274">
        <f>SUM(AD16:AD20)</f>
        <v>248</v>
      </c>
      <c r="AE21" s="1272">
        <v>0</v>
      </c>
      <c r="AF21" s="1272">
        <v>16</v>
      </c>
      <c r="AG21" s="1272">
        <f>SUM(AG16:AG20)</f>
        <v>50</v>
      </c>
      <c r="AH21" s="1274">
        <f>SUM(AH16:AH20)</f>
        <v>6</v>
      </c>
      <c r="AI21" s="1272">
        <f>SUM(AI16:AI20)</f>
        <v>41417</v>
      </c>
      <c r="AJ21" s="1272">
        <f t="shared" ref="AJ21:AJ30" si="7">+D21+H21+L21+P21+T21+X21+AB21+AF21</f>
        <v>56525</v>
      </c>
      <c r="AK21" s="1272">
        <f t="shared" ref="AK21:AK30" si="8">+E21+I21+M21+Q21+U21+Y21+AC21+AG21</f>
        <v>71431</v>
      </c>
      <c r="AL21" s="1274">
        <f t="shared" ref="AL21:AL30" si="9">+F21+J21+N21+R21+V21+Z21+AD21+AH21</f>
        <v>68325</v>
      </c>
      <c r="AP21" s="335"/>
    </row>
    <row r="22" spans="1:42" s="332" customFormat="1" ht="20.25" customHeight="1">
      <c r="A22" s="322"/>
      <c r="B22" s="243" t="s">
        <v>894</v>
      </c>
      <c r="C22" s="255">
        <v>1447</v>
      </c>
      <c r="D22" s="255">
        <v>1315</v>
      </c>
      <c r="E22" s="255">
        <f>+'[5]23'!$W$13</f>
        <v>3375</v>
      </c>
      <c r="F22" s="323">
        <f>+'[6]23'!$W$13</f>
        <v>4447</v>
      </c>
      <c r="G22" s="255">
        <v>1061</v>
      </c>
      <c r="H22" s="255">
        <v>1177</v>
      </c>
      <c r="I22" s="255">
        <f>+'[5]23'!$W$14</f>
        <v>2247</v>
      </c>
      <c r="J22" s="323">
        <f>+'[6]23'!$W$14</f>
        <v>2787</v>
      </c>
      <c r="K22" s="255"/>
      <c r="L22" s="255"/>
      <c r="M22" s="255"/>
      <c r="N22" s="323"/>
      <c r="O22" s="255">
        <v>10458</v>
      </c>
      <c r="P22" s="255">
        <v>11413</v>
      </c>
      <c r="Q22" s="255">
        <f>+'[5]23'!$W$15</f>
        <v>12181</v>
      </c>
      <c r="R22" s="323">
        <f>+'[6]23'!$W$15</f>
        <v>14176</v>
      </c>
      <c r="S22" s="255">
        <v>4404</v>
      </c>
      <c r="T22" s="255">
        <v>4889</v>
      </c>
      <c r="U22" s="255">
        <f>+'[5]23'!$W$16</f>
        <v>5879</v>
      </c>
      <c r="V22" s="323">
        <f>+'[6]23'!$W$16</f>
        <v>7035</v>
      </c>
      <c r="W22" s="255">
        <v>677</v>
      </c>
      <c r="X22" s="255">
        <v>1139</v>
      </c>
      <c r="Y22" s="255">
        <f>+'[5]23'!$W$21</f>
        <v>1841</v>
      </c>
      <c r="Z22" s="323">
        <f>+'[6]23'!$W$21</f>
        <v>2092</v>
      </c>
      <c r="AA22" s="255">
        <v>13</v>
      </c>
      <c r="AB22" s="255">
        <v>2</v>
      </c>
      <c r="AC22" s="255">
        <f>+'[5]23'!$W$22</f>
        <v>8</v>
      </c>
      <c r="AD22" s="323">
        <f>+'[6]23'!$W$22</f>
        <v>49</v>
      </c>
      <c r="AE22" s="255"/>
      <c r="AF22" s="255"/>
      <c r="AG22" s="255"/>
      <c r="AH22" s="323"/>
      <c r="AI22" s="255">
        <f>+C22+G22+K22+O22+S22+W22+AA22</f>
        <v>18060</v>
      </c>
      <c r="AJ22" s="255">
        <f t="shared" si="7"/>
        <v>19935</v>
      </c>
      <c r="AK22" s="255">
        <f t="shared" si="8"/>
        <v>25531</v>
      </c>
      <c r="AL22" s="323">
        <f t="shared" si="9"/>
        <v>30586</v>
      </c>
    </row>
    <row r="23" spans="1:42" s="332" customFormat="1" ht="20.25" customHeight="1">
      <c r="A23" s="322"/>
      <c r="B23" s="211" t="s">
        <v>1094</v>
      </c>
      <c r="C23" s="255"/>
      <c r="D23" s="255"/>
      <c r="E23" s="255"/>
      <c r="F23" s="323"/>
      <c r="G23" s="255"/>
      <c r="H23" s="255"/>
      <c r="I23" s="255"/>
      <c r="J23" s="323"/>
      <c r="K23" s="255"/>
      <c r="L23" s="255"/>
      <c r="M23" s="255"/>
      <c r="N23" s="323"/>
      <c r="O23" s="255">
        <v>29</v>
      </c>
      <c r="P23" s="255">
        <v>103</v>
      </c>
      <c r="Q23" s="255">
        <f>+'[5]23'!$U$15</f>
        <v>196</v>
      </c>
      <c r="R23" s="323">
        <f>+'[6]23'!$U$15</f>
        <v>141</v>
      </c>
      <c r="S23" s="255">
        <v>16</v>
      </c>
      <c r="T23" s="255">
        <v>61</v>
      </c>
      <c r="U23" s="255">
        <f>+'[5]23'!$U$16</f>
        <v>276</v>
      </c>
      <c r="V23" s="323">
        <f>+'[6]23'!$U$16</f>
        <v>267</v>
      </c>
      <c r="W23" s="255"/>
      <c r="X23" s="255"/>
      <c r="Y23" s="255"/>
      <c r="Z23" s="323"/>
      <c r="AA23" s="255"/>
      <c r="AB23" s="255"/>
      <c r="AC23" s="255"/>
      <c r="AD23" s="323"/>
      <c r="AE23" s="255"/>
      <c r="AF23" s="255"/>
      <c r="AG23" s="255"/>
      <c r="AH23" s="323"/>
      <c r="AI23" s="255">
        <f>+C23+G23+K23+O23+S23+W23+AA23+AE23</f>
        <v>45</v>
      </c>
      <c r="AJ23" s="255">
        <f t="shared" si="7"/>
        <v>164</v>
      </c>
      <c r="AK23" s="255">
        <f t="shared" si="8"/>
        <v>472</v>
      </c>
      <c r="AL23" s="323">
        <f t="shared" si="9"/>
        <v>408</v>
      </c>
    </row>
    <row r="24" spans="1:42" s="332" customFormat="1" ht="20.25" customHeight="1">
      <c r="A24" s="322"/>
      <c r="B24" s="243" t="s">
        <v>868</v>
      </c>
      <c r="C24" s="255">
        <v>0</v>
      </c>
      <c r="D24" s="255">
        <v>0</v>
      </c>
      <c r="E24" s="255">
        <f>+'[5]23'!$V$13</f>
        <v>0</v>
      </c>
      <c r="F24" s="323">
        <f>+'[6]23'!$V$13</f>
        <v>0</v>
      </c>
      <c r="G24" s="255">
        <v>0</v>
      </c>
      <c r="H24" s="255">
        <v>0</v>
      </c>
      <c r="I24" s="255">
        <f>+'[5]23'!$V$14</f>
        <v>0</v>
      </c>
      <c r="J24" s="323">
        <f>+'[6]23'!$V$14</f>
        <v>0</v>
      </c>
      <c r="K24" s="255"/>
      <c r="L24" s="255"/>
      <c r="M24" s="255"/>
      <c r="N24" s="323"/>
      <c r="O24" s="255">
        <v>0</v>
      </c>
      <c r="P24" s="255">
        <v>103</v>
      </c>
      <c r="Q24" s="255">
        <f>+'[5]23'!$V$15</f>
        <v>260</v>
      </c>
      <c r="R24" s="323">
        <f>+'[6]23'!$V$15</f>
        <v>59</v>
      </c>
      <c r="S24" s="255">
        <v>0</v>
      </c>
      <c r="T24" s="255">
        <v>0</v>
      </c>
      <c r="U24" s="255">
        <f>+'[5]23'!$V$16</f>
        <v>1</v>
      </c>
      <c r="V24" s="323">
        <f>+'[6]23'!$V$16</f>
        <v>0</v>
      </c>
      <c r="W24" s="255">
        <v>0</v>
      </c>
      <c r="X24" s="255">
        <v>0</v>
      </c>
      <c r="Y24" s="255">
        <f>+'[5]23'!$V$21</f>
        <v>0</v>
      </c>
      <c r="Z24" s="323">
        <f>+'[6]23'!$V$21</f>
        <v>0</v>
      </c>
      <c r="AA24" s="255"/>
      <c r="AB24" s="255"/>
      <c r="AC24" s="255"/>
      <c r="AD24" s="323"/>
      <c r="AE24" s="255"/>
      <c r="AF24" s="255"/>
      <c r="AG24" s="255"/>
      <c r="AH24" s="323"/>
      <c r="AI24" s="255">
        <f>+C24+G24+K24+O24+S24+W24+AA24</f>
        <v>0</v>
      </c>
      <c r="AJ24" s="255">
        <f t="shared" si="7"/>
        <v>103</v>
      </c>
      <c r="AK24" s="255">
        <f t="shared" si="8"/>
        <v>261</v>
      </c>
      <c r="AL24" s="323">
        <f t="shared" si="9"/>
        <v>59</v>
      </c>
    </row>
    <row r="25" spans="1:42" s="332" customFormat="1" ht="20.25" customHeight="1">
      <c r="A25" s="322"/>
      <c r="B25" s="1271" t="s">
        <v>582</v>
      </c>
      <c r="C25" s="1272">
        <v>1447</v>
      </c>
      <c r="D25" s="1272">
        <v>1315</v>
      </c>
      <c r="E25" s="1272">
        <f>SUM(E22:E24)</f>
        <v>3375</v>
      </c>
      <c r="F25" s="1274">
        <f>SUM(F22:F24)</f>
        <v>4447</v>
      </c>
      <c r="G25" s="1272">
        <v>1061</v>
      </c>
      <c r="H25" s="1272">
        <v>1177</v>
      </c>
      <c r="I25" s="1272">
        <f t="shared" ref="I25:N25" si="10">SUM(I22:I24)</f>
        <v>2247</v>
      </c>
      <c r="J25" s="1274">
        <f t="shared" si="10"/>
        <v>2787</v>
      </c>
      <c r="K25" s="1272">
        <f t="shared" si="10"/>
        <v>0</v>
      </c>
      <c r="L25" s="1272">
        <f t="shared" si="10"/>
        <v>0</v>
      </c>
      <c r="M25" s="1272">
        <f t="shared" si="10"/>
        <v>0</v>
      </c>
      <c r="N25" s="1274">
        <f t="shared" si="10"/>
        <v>0</v>
      </c>
      <c r="O25" s="1272">
        <v>10487</v>
      </c>
      <c r="P25" s="1272">
        <v>11619</v>
      </c>
      <c r="Q25" s="1272">
        <f>SUM(Q22:Q24)</f>
        <v>12637</v>
      </c>
      <c r="R25" s="1274">
        <f>SUM(R22:R24)</f>
        <v>14376</v>
      </c>
      <c r="S25" s="1272">
        <v>4420</v>
      </c>
      <c r="T25" s="1272">
        <v>4950</v>
      </c>
      <c r="U25" s="1272">
        <f>SUM(U22:U24)</f>
        <v>6156</v>
      </c>
      <c r="V25" s="1274">
        <f>SUM(V22:V24)</f>
        <v>7302</v>
      </c>
      <c r="W25" s="1272">
        <v>677</v>
      </c>
      <c r="X25" s="1272">
        <v>1139</v>
      </c>
      <c r="Y25" s="1272">
        <f>SUM(Y22:Y24)</f>
        <v>1841</v>
      </c>
      <c r="Z25" s="1274">
        <f>SUM(Z22:Z24)</f>
        <v>2092</v>
      </c>
      <c r="AA25" s="1272">
        <v>13</v>
      </c>
      <c r="AB25" s="1272">
        <v>2</v>
      </c>
      <c r="AC25" s="1272">
        <f>SUM(AC22:AC24)</f>
        <v>8</v>
      </c>
      <c r="AD25" s="1274">
        <f>SUM(AD22:AD24)</f>
        <v>49</v>
      </c>
      <c r="AE25" s="1272">
        <v>0</v>
      </c>
      <c r="AF25" s="1272">
        <v>0</v>
      </c>
      <c r="AG25" s="1272">
        <f>SUM(AG22:AG24)</f>
        <v>0</v>
      </c>
      <c r="AH25" s="1274">
        <f>SUM(AH22:AH24)</f>
        <v>0</v>
      </c>
      <c r="AI25" s="1272">
        <f>SUM(AI22:AI24)</f>
        <v>18105</v>
      </c>
      <c r="AJ25" s="1272">
        <f t="shared" si="7"/>
        <v>20202</v>
      </c>
      <c r="AK25" s="1272">
        <f t="shared" si="8"/>
        <v>26264</v>
      </c>
      <c r="AL25" s="1274">
        <f t="shared" si="9"/>
        <v>31053</v>
      </c>
    </row>
    <row r="26" spans="1:42" s="332" customFormat="1" ht="20.25" customHeight="1">
      <c r="A26" s="322" t="s">
        <v>485</v>
      </c>
      <c r="B26" s="243" t="s">
        <v>895</v>
      </c>
      <c r="C26" s="255">
        <v>1323</v>
      </c>
      <c r="D26" s="255">
        <v>1377</v>
      </c>
      <c r="E26" s="255">
        <f>+'[5]23'!$X$13</f>
        <v>2543</v>
      </c>
      <c r="F26" s="323">
        <f>+'[6]23'!$X$13</f>
        <v>2666</v>
      </c>
      <c r="G26" s="255">
        <v>819</v>
      </c>
      <c r="H26" s="255">
        <v>1355</v>
      </c>
      <c r="I26" s="255">
        <f>+'[5]23'!$X$14</f>
        <v>2075</v>
      </c>
      <c r="J26" s="323">
        <f>+'[6]23'!$X$14</f>
        <v>1965</v>
      </c>
      <c r="K26" s="255"/>
      <c r="L26" s="255"/>
      <c r="M26" s="255"/>
      <c r="N26" s="323"/>
      <c r="O26" s="255">
        <v>6970</v>
      </c>
      <c r="P26" s="255">
        <v>13116</v>
      </c>
      <c r="Q26" s="255">
        <f>+'[5]23'!$X$15</f>
        <v>11935</v>
      </c>
      <c r="R26" s="323">
        <f>+'[6]23'!$X$15</f>
        <v>9462</v>
      </c>
      <c r="S26" s="255">
        <v>3295</v>
      </c>
      <c r="T26" s="255">
        <v>5436</v>
      </c>
      <c r="U26" s="255">
        <f>+'[5]23'!$X$16</f>
        <v>5104</v>
      </c>
      <c r="V26" s="323">
        <f>+'[6]23'!$X$16</f>
        <v>4015</v>
      </c>
      <c r="W26" s="255">
        <v>421</v>
      </c>
      <c r="X26" s="255">
        <v>653</v>
      </c>
      <c r="Y26" s="255">
        <f>+'[5]23'!$X$21</f>
        <v>684</v>
      </c>
      <c r="Z26" s="323">
        <f>+'[6]23'!$X$21</f>
        <v>1502</v>
      </c>
      <c r="AA26" s="255"/>
      <c r="AB26" s="255"/>
      <c r="AC26" s="255"/>
      <c r="AD26" s="323"/>
      <c r="AE26" s="255"/>
      <c r="AF26" s="255"/>
      <c r="AG26" s="255"/>
      <c r="AH26" s="323"/>
      <c r="AI26" s="255">
        <f>+C26+G26+K26+O26+S26+W26+AA26+AE26</f>
        <v>12828</v>
      </c>
      <c r="AJ26" s="255">
        <f t="shared" si="7"/>
        <v>21937</v>
      </c>
      <c r="AK26" s="255">
        <f t="shared" si="8"/>
        <v>22341</v>
      </c>
      <c r="AL26" s="323">
        <f t="shared" si="9"/>
        <v>19610</v>
      </c>
    </row>
    <row r="27" spans="1:42" s="332" customFormat="1" ht="20.25" customHeight="1">
      <c r="A27" s="322" t="s">
        <v>486</v>
      </c>
      <c r="B27" s="243" t="s">
        <v>896</v>
      </c>
      <c r="C27" s="255">
        <v>1133</v>
      </c>
      <c r="D27" s="255">
        <v>1467</v>
      </c>
      <c r="E27" s="255">
        <f>+'[5]23'!$T$13</f>
        <v>3907</v>
      </c>
      <c r="F27" s="323">
        <f>+'[6]23'!$T$13</f>
        <v>3227</v>
      </c>
      <c r="G27" s="255">
        <v>934</v>
      </c>
      <c r="H27" s="255">
        <v>1340</v>
      </c>
      <c r="I27" s="255">
        <f>+'[5]23'!$T$14</f>
        <v>2746</v>
      </c>
      <c r="J27" s="323">
        <f>+'[6]23'!$T$14</f>
        <v>2144</v>
      </c>
      <c r="K27" s="255"/>
      <c r="L27" s="255"/>
      <c r="M27" s="255"/>
      <c r="N27" s="323"/>
      <c r="O27" s="255">
        <v>7431</v>
      </c>
      <c r="P27" s="255">
        <v>9544</v>
      </c>
      <c r="Q27" s="255">
        <f>+'[5]23'!$T$15</f>
        <v>12042</v>
      </c>
      <c r="R27" s="323">
        <f>+'[6]23'!$T$15</f>
        <v>9073</v>
      </c>
      <c r="S27" s="255">
        <v>2165</v>
      </c>
      <c r="T27" s="255">
        <v>2528</v>
      </c>
      <c r="U27" s="255">
        <f>+'[5]23'!$T$16</f>
        <v>3954</v>
      </c>
      <c r="V27" s="323">
        <f>+'[6]23'!$T$16</f>
        <v>3281</v>
      </c>
      <c r="W27" s="255">
        <v>250</v>
      </c>
      <c r="X27" s="255">
        <v>331</v>
      </c>
      <c r="Y27" s="255">
        <f>+'[5]23'!$T$21</f>
        <v>463</v>
      </c>
      <c r="Z27" s="323">
        <f>+'[6]23'!$T$21</f>
        <v>452</v>
      </c>
      <c r="AA27" s="255"/>
      <c r="AB27" s="255">
        <v>2</v>
      </c>
      <c r="AC27" s="255">
        <f>+'[5]23'!$T$22</f>
        <v>24</v>
      </c>
      <c r="AD27" s="323">
        <f>+'[6]23'!$T$22</f>
        <v>9</v>
      </c>
      <c r="AE27" s="255"/>
      <c r="AF27" s="255"/>
      <c r="AG27" s="255"/>
      <c r="AH27" s="323"/>
      <c r="AI27" s="255">
        <f>+C27+G27+K27+O27+S27+W27+AA27+AE27</f>
        <v>11913</v>
      </c>
      <c r="AJ27" s="255">
        <f t="shared" si="7"/>
        <v>15212</v>
      </c>
      <c r="AK27" s="255">
        <f t="shared" si="8"/>
        <v>23136</v>
      </c>
      <c r="AL27" s="323">
        <f t="shared" si="9"/>
        <v>18186</v>
      </c>
    </row>
    <row r="28" spans="1:42" s="332" customFormat="1" ht="20.25" customHeight="1">
      <c r="A28" s="322" t="s">
        <v>869</v>
      </c>
      <c r="B28" s="243" t="s">
        <v>752</v>
      </c>
      <c r="C28" s="255">
        <v>1260</v>
      </c>
      <c r="D28" s="255">
        <v>1565</v>
      </c>
      <c r="E28" s="255">
        <f>+'[5]23'!$S$13</f>
        <v>2586</v>
      </c>
      <c r="F28" s="323">
        <f>+'[6]23'!$S$13</f>
        <v>2303</v>
      </c>
      <c r="G28" s="255">
        <v>892</v>
      </c>
      <c r="H28" s="255">
        <v>1256</v>
      </c>
      <c r="I28" s="255">
        <f>+'[5]23'!$S$14</f>
        <v>1573</v>
      </c>
      <c r="J28" s="323">
        <f>+'[6]23'!$S$14</f>
        <v>1254</v>
      </c>
      <c r="K28" s="255"/>
      <c r="L28" s="255"/>
      <c r="M28" s="255"/>
      <c r="N28" s="323"/>
      <c r="O28" s="255">
        <v>9177</v>
      </c>
      <c r="P28" s="255">
        <v>11973</v>
      </c>
      <c r="Q28" s="255">
        <f>+'[5]23'!$S$15</f>
        <v>10038</v>
      </c>
      <c r="R28" s="323">
        <f>+'[6]23'!$S$15</f>
        <v>7225</v>
      </c>
      <c r="S28" s="255">
        <v>3539</v>
      </c>
      <c r="T28" s="255">
        <v>4408</v>
      </c>
      <c r="U28" s="255">
        <f>+'[5]23'!$S$16</f>
        <v>4373</v>
      </c>
      <c r="V28" s="323">
        <f>+'[6]23'!$S$16</f>
        <v>3649</v>
      </c>
      <c r="W28" s="255">
        <v>642</v>
      </c>
      <c r="X28" s="255">
        <v>207</v>
      </c>
      <c r="Y28" s="255">
        <f>+'[5]23'!$S$21</f>
        <v>672</v>
      </c>
      <c r="Z28" s="323">
        <f>+'[6]23'!$S$21</f>
        <v>949</v>
      </c>
      <c r="AA28" s="255">
        <v>21</v>
      </c>
      <c r="AB28" s="255">
        <v>5</v>
      </c>
      <c r="AC28" s="255">
        <f>+'[5]23'!$S$22</f>
        <v>78</v>
      </c>
      <c r="AD28" s="323">
        <f>+'[6]23'!$S$22</f>
        <v>0</v>
      </c>
      <c r="AE28" s="255"/>
      <c r="AF28" s="255">
        <v>1</v>
      </c>
      <c r="AG28" s="255">
        <f>+'[5]23'!$S$23</f>
        <v>0</v>
      </c>
      <c r="AH28" s="323">
        <f>+'[6]23'!$S$23</f>
        <v>0</v>
      </c>
      <c r="AI28" s="255">
        <f>+C28+G28+K28+O28+S28+W28+AA28</f>
        <v>15531</v>
      </c>
      <c r="AJ28" s="255">
        <f t="shared" si="7"/>
        <v>19415</v>
      </c>
      <c r="AK28" s="255">
        <f t="shared" si="8"/>
        <v>19320</v>
      </c>
      <c r="AL28" s="323">
        <f t="shared" si="9"/>
        <v>15380</v>
      </c>
    </row>
    <row r="29" spans="1:42" s="332" customFormat="1" ht="20.25" customHeight="1">
      <c r="A29" s="322"/>
      <c r="B29" s="211" t="s">
        <v>902</v>
      </c>
      <c r="C29" s="255">
        <v>3</v>
      </c>
      <c r="D29" s="255">
        <v>0</v>
      </c>
      <c r="E29" s="255">
        <f>+'[5]23'!$R$13</f>
        <v>0</v>
      </c>
      <c r="F29" s="323">
        <f>+'[6]23'!$R$13</f>
        <v>0</v>
      </c>
      <c r="G29" s="255">
        <v>12</v>
      </c>
      <c r="H29" s="255">
        <v>0</v>
      </c>
      <c r="I29" s="255">
        <f>+'[5]23'!$R$14</f>
        <v>0</v>
      </c>
      <c r="J29" s="323">
        <f>+'[6]23'!$R$14</f>
        <v>2</v>
      </c>
      <c r="K29" s="255"/>
      <c r="L29" s="255"/>
      <c r="M29" s="255"/>
      <c r="N29" s="323"/>
      <c r="O29" s="255">
        <v>243</v>
      </c>
      <c r="P29" s="255">
        <v>553</v>
      </c>
      <c r="Q29" s="255">
        <f>+'[5]23'!$R$15</f>
        <v>486</v>
      </c>
      <c r="R29" s="323">
        <f>+'[6]23'!$R$15</f>
        <v>445</v>
      </c>
      <c r="S29" s="255">
        <v>217</v>
      </c>
      <c r="T29" s="255">
        <v>483</v>
      </c>
      <c r="U29" s="255">
        <f>+'[5]23'!$R$16</f>
        <v>663</v>
      </c>
      <c r="V29" s="323">
        <f>+'[6]23'!$R$16</f>
        <v>832</v>
      </c>
      <c r="W29" s="255">
        <v>0</v>
      </c>
      <c r="X29" s="255">
        <v>180</v>
      </c>
      <c r="Y29" s="255">
        <f>+'[5]23'!$R$21</f>
        <v>205</v>
      </c>
      <c r="Z29" s="323">
        <f>+'[6]23'!$R$21</f>
        <v>31</v>
      </c>
      <c r="AA29" s="255"/>
      <c r="AB29" s="255"/>
      <c r="AC29" s="255"/>
      <c r="AD29" s="323"/>
      <c r="AE29" s="255"/>
      <c r="AF29" s="255"/>
      <c r="AG29" s="255"/>
      <c r="AH29" s="323"/>
      <c r="AI29" s="255">
        <f>+C29+G29+K29+O29+S29+W29+AA29</f>
        <v>475</v>
      </c>
      <c r="AJ29" s="255">
        <f t="shared" si="7"/>
        <v>1216</v>
      </c>
      <c r="AK29" s="255">
        <f t="shared" si="8"/>
        <v>1354</v>
      </c>
      <c r="AL29" s="323">
        <f t="shared" si="9"/>
        <v>1310</v>
      </c>
    </row>
    <row r="30" spans="1:42" s="332" customFormat="1" ht="20.25" customHeight="1">
      <c r="A30" s="322" t="s">
        <v>488</v>
      </c>
      <c r="B30" s="243" t="s">
        <v>897</v>
      </c>
      <c r="C30" s="255">
        <v>1556</v>
      </c>
      <c r="D30" s="255">
        <v>1567</v>
      </c>
      <c r="E30" s="255">
        <f>+'[5]23'!$Q$13</f>
        <v>3858</v>
      </c>
      <c r="F30" s="323">
        <f>+'[6]23'!$Q$13</f>
        <v>3398</v>
      </c>
      <c r="G30" s="255">
        <v>1337</v>
      </c>
      <c r="H30" s="255">
        <v>1615</v>
      </c>
      <c r="I30" s="255">
        <f>+'[5]23'!$Q$14</f>
        <v>2701</v>
      </c>
      <c r="J30" s="323">
        <f>+'[6]23'!$Q$14</f>
        <v>2523</v>
      </c>
      <c r="K30" s="255"/>
      <c r="L30" s="255"/>
      <c r="M30" s="255"/>
      <c r="N30" s="323"/>
      <c r="O30" s="255">
        <v>13336</v>
      </c>
      <c r="P30" s="255">
        <v>14025</v>
      </c>
      <c r="Q30" s="255">
        <f>+'[5]23'!$Q$15</f>
        <v>12876</v>
      </c>
      <c r="R30" s="323">
        <f>+'[6]23'!$Q$15</f>
        <v>12193</v>
      </c>
      <c r="S30" s="255">
        <v>4405</v>
      </c>
      <c r="T30" s="255">
        <v>4389</v>
      </c>
      <c r="U30" s="255">
        <f>+'[5]23'!$Q$16</f>
        <v>4991</v>
      </c>
      <c r="V30" s="323">
        <f>+'[6]23'!$Q$16</f>
        <v>5181</v>
      </c>
      <c r="W30" s="255">
        <v>772</v>
      </c>
      <c r="X30" s="255">
        <v>851</v>
      </c>
      <c r="Y30" s="255">
        <f>+'[5]23'!$Q$21</f>
        <v>1230</v>
      </c>
      <c r="Z30" s="323">
        <f>+'[6]23'!$Q$21</f>
        <v>1800</v>
      </c>
      <c r="AA30" s="255">
        <v>3</v>
      </c>
      <c r="AB30" s="255">
        <v>1</v>
      </c>
      <c r="AC30" s="255">
        <f>+'[5]23'!$Q$22</f>
        <v>7</v>
      </c>
      <c r="AD30" s="323">
        <f>+'[6]23'!$Q$22</f>
        <v>0</v>
      </c>
      <c r="AE30" s="255"/>
      <c r="AF30" s="255"/>
      <c r="AG30" s="255"/>
      <c r="AH30" s="323"/>
      <c r="AI30" s="255">
        <f>+C30+G30+K30+O30+S30+W30+AA30</f>
        <v>21409</v>
      </c>
      <c r="AJ30" s="255">
        <f t="shared" si="7"/>
        <v>22448</v>
      </c>
      <c r="AK30" s="255">
        <f t="shared" si="8"/>
        <v>25663</v>
      </c>
      <c r="AL30" s="323">
        <f t="shared" si="9"/>
        <v>25095</v>
      </c>
      <c r="AM30" s="335"/>
    </row>
    <row r="31" spans="1:42" s="332" customFormat="1" ht="20.25" customHeight="1">
      <c r="A31" s="1026" t="s">
        <v>870</v>
      </c>
      <c r="B31" s="1027"/>
      <c r="C31" s="1276">
        <f t="shared" ref="C31:AJ31" si="11">SUM(C25:C30)+C21</f>
        <v>11094</v>
      </c>
      <c r="D31" s="1276">
        <f t="shared" si="11"/>
        <v>12144</v>
      </c>
      <c r="E31" s="1276">
        <f t="shared" si="11"/>
        <v>25608</v>
      </c>
      <c r="F31" s="1277">
        <f t="shared" ref="F31" si="12">SUM(F25:F30)+F21</f>
        <v>25839</v>
      </c>
      <c r="G31" s="1276">
        <f t="shared" si="11"/>
        <v>8083</v>
      </c>
      <c r="H31" s="1276">
        <f t="shared" si="11"/>
        <v>10516</v>
      </c>
      <c r="I31" s="1276">
        <f t="shared" si="11"/>
        <v>17467</v>
      </c>
      <c r="J31" s="1277">
        <f t="shared" ref="J31" si="13">SUM(J25:J30)+J21</f>
        <v>15784</v>
      </c>
      <c r="K31" s="1276">
        <f t="shared" si="11"/>
        <v>0</v>
      </c>
      <c r="L31" s="1276">
        <f t="shared" si="11"/>
        <v>0</v>
      </c>
      <c r="M31" s="1276">
        <f t="shared" si="11"/>
        <v>0</v>
      </c>
      <c r="N31" s="1277">
        <f t="shared" ref="N31" si="14">SUM(N25:N30)+N21</f>
        <v>0</v>
      </c>
      <c r="O31" s="1276">
        <f t="shared" si="11"/>
        <v>70746</v>
      </c>
      <c r="P31" s="1276">
        <f t="shared" si="11"/>
        <v>93844</v>
      </c>
      <c r="Q31" s="1276">
        <f t="shared" si="11"/>
        <v>96079</v>
      </c>
      <c r="R31" s="1277">
        <f t="shared" ref="R31" si="15">SUM(R25:R30)+R21</f>
        <v>85470</v>
      </c>
      <c r="S31" s="1276">
        <f t="shared" si="11"/>
        <v>27530</v>
      </c>
      <c r="T31" s="1276">
        <f t="shared" si="11"/>
        <v>35193</v>
      </c>
      <c r="U31" s="1276">
        <f t="shared" si="11"/>
        <v>42622</v>
      </c>
      <c r="V31" s="1277">
        <f t="shared" ref="V31" si="16">SUM(V25:V30)+V21</f>
        <v>41105</v>
      </c>
      <c r="W31" s="1276">
        <f t="shared" si="11"/>
        <v>4082</v>
      </c>
      <c r="X31" s="1276">
        <f t="shared" si="11"/>
        <v>5207</v>
      </c>
      <c r="Y31" s="1276">
        <f t="shared" si="11"/>
        <v>7528</v>
      </c>
      <c r="Z31" s="1277">
        <f t="shared" ref="Z31" si="17">SUM(Z25:Z30)+Z21</f>
        <v>10449</v>
      </c>
      <c r="AA31" s="1276">
        <f t="shared" si="11"/>
        <v>143</v>
      </c>
      <c r="AB31" s="1276">
        <f t="shared" si="11"/>
        <v>34</v>
      </c>
      <c r="AC31" s="1276">
        <f t="shared" si="11"/>
        <v>155</v>
      </c>
      <c r="AD31" s="1277">
        <f t="shared" ref="AD31" si="18">SUM(AD25:AD30)+AD21</f>
        <v>306</v>
      </c>
      <c r="AE31" s="1276">
        <v>70</v>
      </c>
      <c r="AF31" s="1276">
        <f t="shared" si="11"/>
        <v>17</v>
      </c>
      <c r="AG31" s="1276">
        <f>SUM(AG25:AG30)+AG21</f>
        <v>50</v>
      </c>
      <c r="AH31" s="1277">
        <f>SUM(AH25:AH30)+AH21</f>
        <v>6</v>
      </c>
      <c r="AI31" s="1276">
        <f t="shared" si="11"/>
        <v>121678</v>
      </c>
      <c r="AJ31" s="1276">
        <f t="shared" si="11"/>
        <v>156955</v>
      </c>
      <c r="AK31" s="1276">
        <f>SUM(AK25:AK30)+AK21</f>
        <v>189509</v>
      </c>
      <c r="AL31" s="1277">
        <f>SUM(AL25:AL30)+AL21</f>
        <v>178959</v>
      </c>
    </row>
    <row r="32" spans="1:42" s="332" customFormat="1" ht="20.25" customHeight="1">
      <c r="A32" s="1292" t="s">
        <v>594</v>
      </c>
      <c r="B32" s="1293"/>
      <c r="C32" s="1294">
        <f t="shared" ref="C32:AJ32" si="19">+C15+C31</f>
        <v>17659</v>
      </c>
      <c r="D32" s="1294">
        <f t="shared" si="19"/>
        <v>18437</v>
      </c>
      <c r="E32" s="1294">
        <f t="shared" si="19"/>
        <v>38764</v>
      </c>
      <c r="F32" s="1295">
        <f t="shared" ref="F32" si="20">+F15+F31</f>
        <v>38218</v>
      </c>
      <c r="G32" s="1294">
        <f t="shared" si="19"/>
        <v>13379</v>
      </c>
      <c r="H32" s="1294">
        <f t="shared" si="19"/>
        <v>16509</v>
      </c>
      <c r="I32" s="1294">
        <f t="shared" si="19"/>
        <v>26548</v>
      </c>
      <c r="J32" s="1295">
        <f t="shared" ref="J32" si="21">+J15+J31</f>
        <v>25433</v>
      </c>
      <c r="K32" s="1294">
        <f t="shared" si="19"/>
        <v>0</v>
      </c>
      <c r="L32" s="1294">
        <f t="shared" si="19"/>
        <v>0</v>
      </c>
      <c r="M32" s="1294">
        <f t="shared" si="19"/>
        <v>0</v>
      </c>
      <c r="N32" s="1295">
        <f t="shared" ref="N32" si="22">+N15+N31</f>
        <v>0</v>
      </c>
      <c r="O32" s="1294">
        <f t="shared" si="19"/>
        <v>117605</v>
      </c>
      <c r="P32" s="1294">
        <f t="shared" si="19"/>
        <v>141934</v>
      </c>
      <c r="Q32" s="1294">
        <f t="shared" si="19"/>
        <v>146555</v>
      </c>
      <c r="R32" s="1295">
        <f t="shared" ref="R32" si="23">+R15+R31</f>
        <v>137939</v>
      </c>
      <c r="S32" s="1294">
        <f t="shared" si="19"/>
        <v>47350</v>
      </c>
      <c r="T32" s="1294">
        <f t="shared" si="19"/>
        <v>56178</v>
      </c>
      <c r="U32" s="1294">
        <f t="shared" si="19"/>
        <v>66601</v>
      </c>
      <c r="V32" s="1295">
        <f t="shared" ref="V32" si="24">+V15+V31</f>
        <v>69548</v>
      </c>
      <c r="W32" s="1294">
        <f t="shared" si="19"/>
        <v>7037</v>
      </c>
      <c r="X32" s="1294">
        <f t="shared" si="19"/>
        <v>9234</v>
      </c>
      <c r="Y32" s="1294">
        <f t="shared" si="19"/>
        <v>12506</v>
      </c>
      <c r="Z32" s="1295">
        <f t="shared" ref="Z32" si="25">+Z15+Z31</f>
        <v>17997</v>
      </c>
      <c r="AA32" s="1294">
        <f t="shared" si="19"/>
        <v>278</v>
      </c>
      <c r="AB32" s="1294">
        <f t="shared" si="19"/>
        <v>101</v>
      </c>
      <c r="AC32" s="1294">
        <f t="shared" si="19"/>
        <v>224</v>
      </c>
      <c r="AD32" s="1295">
        <f t="shared" ref="AD32" si="26">+AD15+AD31</f>
        <v>371</v>
      </c>
      <c r="AE32" s="1294">
        <f t="shared" si="19"/>
        <v>153</v>
      </c>
      <c r="AF32" s="1294">
        <f>+AF15+AF31</f>
        <v>47</v>
      </c>
      <c r="AG32" s="1294">
        <f>+AG15+AG31</f>
        <v>76</v>
      </c>
      <c r="AH32" s="1295">
        <f>+AH15+AH31</f>
        <v>79</v>
      </c>
      <c r="AI32" s="1294">
        <f t="shared" si="19"/>
        <v>203360</v>
      </c>
      <c r="AJ32" s="1294">
        <f t="shared" si="19"/>
        <v>242440</v>
      </c>
      <c r="AK32" s="1294">
        <f>+AK15+AK31</f>
        <v>291274</v>
      </c>
      <c r="AL32" s="1295">
        <f>+AL15+AL31</f>
        <v>289585</v>
      </c>
      <c r="AM32" s="335"/>
    </row>
    <row r="34" spans="8:38">
      <c r="H34" s="286"/>
      <c r="AL34" s="277">
        <f>+AL32/AK32*100-100</f>
        <v>-0.57986638010945057</v>
      </c>
    </row>
  </sheetData>
  <phoneticPr fontId="18" type="noConversion"/>
  <pageMargins left="0.39370078740157483" right="0" top="1.1811023622047245" bottom="0.78740157480314965" header="0" footer="0"/>
  <pageSetup paperSize="5" scale="68"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I295"/>
  <sheetViews>
    <sheetView zoomScaleNormal="100" workbookViewId="0">
      <pane xSplit="1" topLeftCell="D1" activePane="topRight" state="frozen"/>
      <selection activeCell="A7" sqref="A7"/>
      <selection pane="topRight" activeCell="D7" sqref="D7"/>
    </sheetView>
  </sheetViews>
  <sheetFormatPr baseColWidth="10" defaultColWidth="11.42578125" defaultRowHeight="12"/>
  <cols>
    <col min="1" max="1" width="29.42578125" style="277" customWidth="1"/>
    <col min="2" max="21" width="7.28515625" style="277" customWidth="1"/>
    <col min="22" max="22" width="9" style="277" customWidth="1"/>
    <col min="23" max="23" width="10" style="277" customWidth="1"/>
    <col min="24" max="25" width="7.28515625" style="277" customWidth="1"/>
    <col min="26" max="27" width="10" style="277" customWidth="1"/>
    <col min="28" max="34" width="7.28515625" style="277" customWidth="1"/>
    <col min="35" max="16384" width="11.42578125" style="277"/>
  </cols>
  <sheetData>
    <row r="1" spans="1:35">
      <c r="A1" s="1504" t="s">
        <v>1276</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row>
    <row r="2" spans="1:35">
      <c r="A2" s="1504" t="s">
        <v>898</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row>
    <row r="3" spans="1:35">
      <c r="A3" s="1504" t="s">
        <v>814</v>
      </c>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row>
    <row r="6" spans="1:35">
      <c r="A6" s="278" t="s">
        <v>899</v>
      </c>
    </row>
    <row r="7" spans="1:35" s="332" customFormat="1" ht="18" customHeight="1">
      <c r="A7" s="961" t="s">
        <v>900</v>
      </c>
      <c r="B7" s="1104" t="s">
        <v>901</v>
      </c>
      <c r="C7" s="1105"/>
      <c r="D7" s="1259"/>
      <c r="E7" s="1486"/>
      <c r="F7" s="1104" t="s">
        <v>820</v>
      </c>
      <c r="G7" s="1105"/>
      <c r="H7" s="1259"/>
      <c r="I7" s="1486"/>
      <c r="J7" s="1104" t="s">
        <v>902</v>
      </c>
      <c r="K7" s="1105"/>
      <c r="L7" s="1259"/>
      <c r="M7" s="1486"/>
      <c r="N7" s="1104" t="s">
        <v>1094</v>
      </c>
      <c r="O7" s="1105"/>
      <c r="P7" s="1259"/>
      <c r="Q7" s="1486"/>
      <c r="R7" s="1104" t="s">
        <v>1062</v>
      </c>
      <c r="S7" s="1105"/>
      <c r="T7" s="1259"/>
      <c r="U7" s="1486"/>
      <c r="V7" s="1104" t="s">
        <v>1300</v>
      </c>
      <c r="W7" s="1105"/>
      <c r="X7" s="1259"/>
      <c r="Y7" s="1486"/>
      <c r="Z7" s="1104" t="s">
        <v>1408</v>
      </c>
      <c r="AA7" s="1105"/>
      <c r="AB7" s="1259"/>
      <c r="AC7" s="1486"/>
      <c r="AD7" s="1104" t="s">
        <v>594</v>
      </c>
      <c r="AE7" s="1105"/>
      <c r="AF7" s="1259"/>
      <c r="AG7" s="1486"/>
    </row>
    <row r="8" spans="1:35" s="332" customFormat="1" ht="18" customHeight="1">
      <c r="A8" s="1139"/>
      <c r="B8" s="1254">
        <f>+'48'!AI7</f>
        <v>2020</v>
      </c>
      <c r="C8" s="1255">
        <f>+'48'!AJ7</f>
        <v>2021</v>
      </c>
      <c r="D8" s="1255">
        <f>+'48'!AK7</f>
        <v>2022</v>
      </c>
      <c r="E8" s="1256">
        <f>+'48'!AL7</f>
        <v>2023</v>
      </c>
      <c r="F8" s="1254">
        <f t="shared" ref="F8:AC8" si="0">+B8</f>
        <v>2020</v>
      </c>
      <c r="G8" s="1255">
        <f t="shared" si="0"/>
        <v>2021</v>
      </c>
      <c r="H8" s="1255">
        <f t="shared" si="0"/>
        <v>2022</v>
      </c>
      <c r="I8" s="1256">
        <f t="shared" si="0"/>
        <v>2023</v>
      </c>
      <c r="J8" s="1254">
        <f t="shared" si="0"/>
        <v>2020</v>
      </c>
      <c r="K8" s="1255">
        <f t="shared" si="0"/>
        <v>2021</v>
      </c>
      <c r="L8" s="1255">
        <f t="shared" si="0"/>
        <v>2022</v>
      </c>
      <c r="M8" s="1256">
        <f t="shared" si="0"/>
        <v>2023</v>
      </c>
      <c r="N8" s="1254">
        <f t="shared" si="0"/>
        <v>2020</v>
      </c>
      <c r="O8" s="1255">
        <f t="shared" si="0"/>
        <v>2021</v>
      </c>
      <c r="P8" s="1255">
        <f t="shared" si="0"/>
        <v>2022</v>
      </c>
      <c r="Q8" s="1256">
        <f t="shared" si="0"/>
        <v>2023</v>
      </c>
      <c r="R8" s="1255">
        <f t="shared" si="0"/>
        <v>2020</v>
      </c>
      <c r="S8" s="1255">
        <f t="shared" si="0"/>
        <v>2021</v>
      </c>
      <c r="T8" s="1255">
        <f t="shared" si="0"/>
        <v>2022</v>
      </c>
      <c r="U8" s="1256">
        <f t="shared" si="0"/>
        <v>2023</v>
      </c>
      <c r="V8" s="1255">
        <f t="shared" si="0"/>
        <v>2020</v>
      </c>
      <c r="W8" s="1255">
        <f t="shared" si="0"/>
        <v>2021</v>
      </c>
      <c r="X8" s="1255">
        <f t="shared" si="0"/>
        <v>2022</v>
      </c>
      <c r="Y8" s="1256">
        <f t="shared" si="0"/>
        <v>2023</v>
      </c>
      <c r="Z8" s="1254">
        <f t="shared" si="0"/>
        <v>2020</v>
      </c>
      <c r="AA8" s="1255">
        <f t="shared" si="0"/>
        <v>2021</v>
      </c>
      <c r="AB8" s="1255">
        <f t="shared" si="0"/>
        <v>2022</v>
      </c>
      <c r="AC8" s="1256">
        <f t="shared" si="0"/>
        <v>2023</v>
      </c>
      <c r="AD8" s="1254">
        <f>+N8</f>
        <v>2020</v>
      </c>
      <c r="AE8" s="1255">
        <f>+O8</f>
        <v>2021</v>
      </c>
      <c r="AF8" s="1255">
        <f>+P8</f>
        <v>2022</v>
      </c>
      <c r="AG8" s="1256">
        <f>+Q8</f>
        <v>2023</v>
      </c>
    </row>
    <row r="9" spans="1:35" s="332" customFormat="1" ht="18" customHeight="1">
      <c r="A9" s="338" t="s">
        <v>903</v>
      </c>
      <c r="B9" s="255">
        <v>2485</v>
      </c>
      <c r="C9" s="255">
        <v>2240</v>
      </c>
      <c r="D9" s="255">
        <v>3000</v>
      </c>
      <c r="E9" s="323">
        <v>3308</v>
      </c>
      <c r="F9" s="255">
        <v>200</v>
      </c>
      <c r="G9" s="255">
        <v>274</v>
      </c>
      <c r="H9" s="255">
        <v>397</v>
      </c>
      <c r="I9" s="323">
        <v>519</v>
      </c>
      <c r="J9" s="255"/>
      <c r="K9" s="255"/>
      <c r="L9" s="255"/>
      <c r="M9" s="323"/>
      <c r="N9" s="255"/>
      <c r="O9" s="255"/>
      <c r="P9" s="255"/>
      <c r="Q9" s="323"/>
      <c r="R9" s="255"/>
      <c r="S9" s="255"/>
      <c r="T9" s="255"/>
      <c r="U9" s="323"/>
      <c r="V9" s="255"/>
      <c r="W9" s="255"/>
      <c r="X9" s="255"/>
      <c r="Y9" s="323"/>
      <c r="Z9" s="255"/>
      <c r="AA9" s="255"/>
      <c r="AB9" s="255"/>
      <c r="AC9" s="323"/>
      <c r="AD9" s="255">
        <f>+N9+J9+F9+B9</f>
        <v>2685</v>
      </c>
      <c r="AE9" s="255">
        <f>+O9+K9+G9+C9</f>
        <v>2514</v>
      </c>
      <c r="AF9" s="255">
        <f>+P9+L9+H9+D9</f>
        <v>3397</v>
      </c>
      <c r="AG9" s="255">
        <f>+Q9+M9+I9+E9</f>
        <v>3827</v>
      </c>
      <c r="AI9" s="335"/>
    </row>
    <row r="10" spans="1:35" s="332" customFormat="1" ht="18" customHeight="1">
      <c r="A10" s="339" t="s">
        <v>904</v>
      </c>
      <c r="B10" s="255"/>
      <c r="C10" s="255"/>
      <c r="D10" s="255"/>
      <c r="E10" s="323">
        <v>0</v>
      </c>
      <c r="F10" s="255"/>
      <c r="G10" s="255">
        <v>23</v>
      </c>
      <c r="H10" s="255">
        <v>5</v>
      </c>
      <c r="I10" s="323">
        <v>0</v>
      </c>
      <c r="J10" s="255"/>
      <c r="K10" s="255"/>
      <c r="L10" s="255"/>
      <c r="M10" s="323"/>
      <c r="N10" s="255"/>
      <c r="O10" s="255"/>
      <c r="P10" s="255"/>
      <c r="Q10" s="323"/>
      <c r="R10" s="255"/>
      <c r="S10" s="255"/>
      <c r="T10" s="255"/>
      <c r="U10" s="323"/>
      <c r="V10" s="255"/>
      <c r="W10" s="255"/>
      <c r="X10" s="255"/>
      <c r="Y10" s="323"/>
      <c r="Z10" s="255"/>
      <c r="AA10" s="255"/>
      <c r="AB10" s="255"/>
      <c r="AC10" s="323"/>
      <c r="AD10" s="255">
        <f t="shared" ref="AD10:AD38" si="1">+N10+J10+F10+B10</f>
        <v>0</v>
      </c>
      <c r="AE10" s="255">
        <f t="shared" ref="AE10:AE38" si="2">+O10+K10+G10+C10</f>
        <v>23</v>
      </c>
      <c r="AF10" s="255">
        <f t="shared" ref="AF10:AF38" si="3">+P10+L10+H10+D10</f>
        <v>5</v>
      </c>
      <c r="AG10" s="323">
        <f t="shared" ref="AG10:AG37" si="4">+Q10+M10+I10+E10</f>
        <v>0</v>
      </c>
      <c r="AI10" s="335"/>
    </row>
    <row r="11" spans="1:35" s="332" customFormat="1" ht="18" customHeight="1">
      <c r="A11" s="339" t="s">
        <v>905</v>
      </c>
      <c r="B11" s="255">
        <v>659</v>
      </c>
      <c r="C11" s="255">
        <v>1137</v>
      </c>
      <c r="D11" s="255">
        <v>1212</v>
      </c>
      <c r="E11" s="323">
        <v>1556</v>
      </c>
      <c r="F11" s="255"/>
      <c r="G11" s="255">
        <v>211</v>
      </c>
      <c r="H11" s="255">
        <v>327</v>
      </c>
      <c r="I11" s="323">
        <v>478</v>
      </c>
      <c r="J11" s="255"/>
      <c r="K11" s="255"/>
      <c r="L11" s="255"/>
      <c r="M11" s="323"/>
      <c r="N11" s="255"/>
      <c r="O11" s="255"/>
      <c r="P11" s="255"/>
      <c r="Q11" s="323"/>
      <c r="R11" s="255"/>
      <c r="S11" s="255"/>
      <c r="T11" s="255"/>
      <c r="U11" s="323"/>
      <c r="V11" s="255"/>
      <c r="W11" s="255"/>
      <c r="X11" s="255"/>
      <c r="Y11" s="323"/>
      <c r="Z11" s="255"/>
      <c r="AA11" s="255"/>
      <c r="AB11" s="255"/>
      <c r="AC11" s="323"/>
      <c r="AD11" s="255">
        <f t="shared" si="1"/>
        <v>659</v>
      </c>
      <c r="AE11" s="255">
        <f t="shared" si="2"/>
        <v>1348</v>
      </c>
      <c r="AF11" s="255">
        <f t="shared" si="3"/>
        <v>1539</v>
      </c>
      <c r="AG11" s="323">
        <f t="shared" si="4"/>
        <v>2034</v>
      </c>
      <c r="AI11" s="335"/>
    </row>
    <row r="12" spans="1:35" s="332" customFormat="1" ht="18" customHeight="1">
      <c r="A12" s="67" t="s">
        <v>906</v>
      </c>
      <c r="B12" s="255"/>
      <c r="C12" s="255"/>
      <c r="D12" s="255"/>
      <c r="E12" s="323">
        <v>0</v>
      </c>
      <c r="F12" s="255">
        <v>204</v>
      </c>
      <c r="G12" s="255">
        <v>343</v>
      </c>
      <c r="H12" s="255">
        <v>386</v>
      </c>
      <c r="I12" s="323">
        <v>453</v>
      </c>
      <c r="J12" s="255"/>
      <c r="K12" s="255"/>
      <c r="L12" s="255"/>
      <c r="M12" s="323"/>
      <c r="N12" s="255"/>
      <c r="O12" s="255"/>
      <c r="P12" s="255"/>
      <c r="Q12" s="323"/>
      <c r="R12" s="255"/>
      <c r="S12" s="255"/>
      <c r="T12" s="255"/>
      <c r="U12" s="323"/>
      <c r="V12" s="255"/>
      <c r="W12" s="255"/>
      <c r="X12" s="255"/>
      <c r="Y12" s="323"/>
      <c r="Z12" s="255"/>
      <c r="AA12" s="255"/>
      <c r="AB12" s="255"/>
      <c r="AC12" s="323"/>
      <c r="AD12" s="255">
        <f t="shared" si="1"/>
        <v>204</v>
      </c>
      <c r="AE12" s="255">
        <f t="shared" si="2"/>
        <v>343</v>
      </c>
      <c r="AF12" s="255">
        <f t="shared" si="3"/>
        <v>386</v>
      </c>
      <c r="AG12" s="323">
        <f t="shared" si="4"/>
        <v>453</v>
      </c>
      <c r="AI12" s="335"/>
    </row>
    <row r="13" spans="1:35" s="332" customFormat="1" ht="18" customHeight="1">
      <c r="A13" s="339" t="s">
        <v>907</v>
      </c>
      <c r="B13" s="255">
        <v>237</v>
      </c>
      <c r="C13" s="255">
        <v>43</v>
      </c>
      <c r="D13" s="255">
        <v>385</v>
      </c>
      <c r="E13" s="323">
        <v>421</v>
      </c>
      <c r="F13" s="255"/>
      <c r="G13" s="255">
        <v>1</v>
      </c>
      <c r="H13" s="255">
        <v>2</v>
      </c>
      <c r="I13" s="323">
        <v>3</v>
      </c>
      <c r="J13" s="255"/>
      <c r="K13" s="255"/>
      <c r="L13" s="255"/>
      <c r="M13" s="323"/>
      <c r="N13" s="255"/>
      <c r="O13" s="255"/>
      <c r="P13" s="255"/>
      <c r="Q13" s="323"/>
      <c r="R13" s="255"/>
      <c r="S13" s="255"/>
      <c r="T13" s="255"/>
      <c r="U13" s="323"/>
      <c r="V13" s="255"/>
      <c r="W13" s="255"/>
      <c r="X13" s="255"/>
      <c r="Y13" s="323"/>
      <c r="Z13" s="255"/>
      <c r="AA13" s="255"/>
      <c r="AB13" s="255"/>
      <c r="AC13" s="323"/>
      <c r="AD13" s="255">
        <f t="shared" si="1"/>
        <v>237</v>
      </c>
      <c r="AE13" s="255">
        <f t="shared" si="2"/>
        <v>44</v>
      </c>
      <c r="AF13" s="255">
        <f t="shared" si="3"/>
        <v>387</v>
      </c>
      <c r="AG13" s="323">
        <f t="shared" si="4"/>
        <v>424</v>
      </c>
      <c r="AI13" s="335"/>
    </row>
    <row r="14" spans="1:35" s="332" customFormat="1" ht="18" customHeight="1">
      <c r="A14" s="339" t="s">
        <v>908</v>
      </c>
      <c r="B14" s="255"/>
      <c r="C14" s="255"/>
      <c r="D14" s="255"/>
      <c r="E14" s="323">
        <v>0</v>
      </c>
      <c r="F14" s="255">
        <v>5</v>
      </c>
      <c r="G14" s="255">
        <v>25</v>
      </c>
      <c r="H14" s="255">
        <v>0</v>
      </c>
      <c r="I14" s="323">
        <v>1</v>
      </c>
      <c r="J14" s="255"/>
      <c r="K14" s="255"/>
      <c r="L14" s="255"/>
      <c r="M14" s="323"/>
      <c r="N14" s="255"/>
      <c r="O14" s="255"/>
      <c r="P14" s="255"/>
      <c r="Q14" s="323"/>
      <c r="R14" s="255"/>
      <c r="S14" s="255"/>
      <c r="T14" s="255"/>
      <c r="U14" s="323"/>
      <c r="V14" s="255"/>
      <c r="W14" s="255"/>
      <c r="X14" s="255"/>
      <c r="Y14" s="323"/>
      <c r="Z14" s="255"/>
      <c r="AA14" s="255"/>
      <c r="AB14" s="255"/>
      <c r="AC14" s="323"/>
      <c r="AD14" s="255">
        <f t="shared" si="1"/>
        <v>5</v>
      </c>
      <c r="AE14" s="255">
        <f t="shared" si="2"/>
        <v>25</v>
      </c>
      <c r="AF14" s="255">
        <f t="shared" si="3"/>
        <v>0</v>
      </c>
      <c r="AG14" s="323">
        <f t="shared" si="4"/>
        <v>1</v>
      </c>
      <c r="AI14" s="335"/>
    </row>
    <row r="15" spans="1:35" s="332" customFormat="1" ht="18" customHeight="1">
      <c r="A15" s="339" t="s">
        <v>909</v>
      </c>
      <c r="B15" s="255"/>
      <c r="C15" s="255"/>
      <c r="D15" s="255"/>
      <c r="E15" s="323">
        <v>0</v>
      </c>
      <c r="F15" s="255">
        <v>154</v>
      </c>
      <c r="G15" s="255">
        <v>324</v>
      </c>
      <c r="H15" s="255">
        <v>370</v>
      </c>
      <c r="I15" s="323">
        <v>382</v>
      </c>
      <c r="J15" s="255"/>
      <c r="K15" s="255"/>
      <c r="L15" s="255"/>
      <c r="M15" s="323"/>
      <c r="N15" s="255"/>
      <c r="O15" s="255"/>
      <c r="P15" s="255"/>
      <c r="Q15" s="323"/>
      <c r="R15" s="255"/>
      <c r="S15" s="255"/>
      <c r="T15" s="255"/>
      <c r="U15" s="323"/>
      <c r="V15" s="255"/>
      <c r="W15" s="255"/>
      <c r="X15" s="255"/>
      <c r="Y15" s="323"/>
      <c r="Z15" s="255"/>
      <c r="AA15" s="255"/>
      <c r="AB15" s="255"/>
      <c r="AC15" s="323"/>
      <c r="AD15" s="255">
        <f t="shared" si="1"/>
        <v>154</v>
      </c>
      <c r="AE15" s="255">
        <f t="shared" si="2"/>
        <v>324</v>
      </c>
      <c r="AF15" s="255">
        <f t="shared" si="3"/>
        <v>370</v>
      </c>
      <c r="AG15" s="323">
        <f t="shared" si="4"/>
        <v>382</v>
      </c>
      <c r="AI15" s="335"/>
    </row>
    <row r="16" spans="1:35" s="332" customFormat="1" ht="18" customHeight="1">
      <c r="A16" s="339" t="s">
        <v>910</v>
      </c>
      <c r="B16" s="255"/>
      <c r="C16" s="255"/>
      <c r="D16" s="255"/>
      <c r="E16" s="323">
        <v>0</v>
      </c>
      <c r="F16" s="255"/>
      <c r="G16" s="255"/>
      <c r="H16" s="255"/>
      <c r="I16" s="323">
        <v>0</v>
      </c>
      <c r="J16" s="255"/>
      <c r="K16" s="255"/>
      <c r="L16" s="255"/>
      <c r="M16" s="323"/>
      <c r="N16" s="255"/>
      <c r="O16" s="255"/>
      <c r="P16" s="255"/>
      <c r="Q16" s="323"/>
      <c r="R16" s="255"/>
      <c r="S16" s="255"/>
      <c r="T16" s="255"/>
      <c r="U16" s="323"/>
      <c r="V16" s="255"/>
      <c r="W16" s="255"/>
      <c r="X16" s="255"/>
      <c r="Y16" s="323"/>
      <c r="Z16" s="255"/>
      <c r="AA16" s="255"/>
      <c r="AB16" s="255"/>
      <c r="AC16" s="323"/>
      <c r="AD16" s="255">
        <f t="shared" si="1"/>
        <v>0</v>
      </c>
      <c r="AE16" s="255">
        <f t="shared" si="2"/>
        <v>0</v>
      </c>
      <c r="AF16" s="255">
        <f t="shared" si="3"/>
        <v>0</v>
      </c>
      <c r="AG16" s="323">
        <f t="shared" si="4"/>
        <v>0</v>
      </c>
      <c r="AI16" s="335"/>
    </row>
    <row r="17" spans="1:35" s="332" customFormat="1" ht="18" customHeight="1">
      <c r="A17" s="339" t="s">
        <v>911</v>
      </c>
      <c r="B17" s="255"/>
      <c r="C17" s="255"/>
      <c r="D17" s="255"/>
      <c r="E17" s="323">
        <v>0</v>
      </c>
      <c r="F17" s="255"/>
      <c r="G17" s="255"/>
      <c r="H17" s="255"/>
      <c r="I17" s="323">
        <v>0</v>
      </c>
      <c r="J17" s="255"/>
      <c r="K17" s="255"/>
      <c r="L17" s="255"/>
      <c r="M17" s="323"/>
      <c r="N17" s="255"/>
      <c r="O17" s="255"/>
      <c r="P17" s="255"/>
      <c r="Q17" s="323"/>
      <c r="R17" s="255"/>
      <c r="S17" s="255"/>
      <c r="T17" s="255"/>
      <c r="U17" s="323"/>
      <c r="V17" s="255"/>
      <c r="W17" s="255"/>
      <c r="X17" s="255"/>
      <c r="Y17" s="323"/>
      <c r="Z17" s="255"/>
      <c r="AA17" s="255"/>
      <c r="AB17" s="255"/>
      <c r="AC17" s="323"/>
      <c r="AD17" s="255">
        <f t="shared" si="1"/>
        <v>0</v>
      </c>
      <c r="AE17" s="255">
        <f t="shared" si="2"/>
        <v>0</v>
      </c>
      <c r="AF17" s="255">
        <f t="shared" si="3"/>
        <v>0</v>
      </c>
      <c r="AG17" s="323">
        <f t="shared" si="4"/>
        <v>0</v>
      </c>
      <c r="AI17" s="335"/>
    </row>
    <row r="18" spans="1:35" s="332" customFormat="1" ht="18" customHeight="1">
      <c r="A18" s="339" t="s">
        <v>912</v>
      </c>
      <c r="B18" s="255"/>
      <c r="C18" s="255"/>
      <c r="D18" s="255"/>
      <c r="E18" s="323">
        <v>0</v>
      </c>
      <c r="F18" s="255">
        <v>3</v>
      </c>
      <c r="G18" s="255">
        <v>7</v>
      </c>
      <c r="H18" s="255">
        <v>2</v>
      </c>
      <c r="I18" s="323">
        <v>8</v>
      </c>
      <c r="J18" s="255"/>
      <c r="K18" s="255"/>
      <c r="L18" s="255"/>
      <c r="M18" s="323"/>
      <c r="N18" s="255"/>
      <c r="O18" s="255"/>
      <c r="P18" s="255"/>
      <c r="Q18" s="323"/>
      <c r="R18" s="255"/>
      <c r="S18" s="255"/>
      <c r="T18" s="255"/>
      <c r="U18" s="323"/>
      <c r="V18" s="255"/>
      <c r="W18" s="255"/>
      <c r="X18" s="255"/>
      <c r="Y18" s="323"/>
      <c r="Z18" s="255"/>
      <c r="AA18" s="255"/>
      <c r="AB18" s="255"/>
      <c r="AC18" s="323"/>
      <c r="AD18" s="255">
        <f t="shared" si="1"/>
        <v>3</v>
      </c>
      <c r="AE18" s="255">
        <f t="shared" si="2"/>
        <v>7</v>
      </c>
      <c r="AF18" s="255">
        <f t="shared" si="3"/>
        <v>2</v>
      </c>
      <c r="AG18" s="323">
        <f t="shared" si="4"/>
        <v>8</v>
      </c>
      <c r="AI18" s="335"/>
    </row>
    <row r="19" spans="1:35" s="332" customFormat="1" ht="18" customHeight="1">
      <c r="A19" s="339" t="s">
        <v>913</v>
      </c>
      <c r="B19" s="255"/>
      <c r="C19" s="255"/>
      <c r="D19" s="255"/>
      <c r="E19" s="323">
        <v>0</v>
      </c>
      <c r="F19" s="255">
        <v>64</v>
      </c>
      <c r="G19" s="255">
        <v>4</v>
      </c>
      <c r="H19" s="255"/>
      <c r="I19" s="323">
        <v>0</v>
      </c>
      <c r="J19" s="255"/>
      <c r="K19" s="255"/>
      <c r="L19" s="255"/>
      <c r="M19" s="323"/>
      <c r="N19" s="255"/>
      <c r="O19" s="255"/>
      <c r="P19" s="255"/>
      <c r="Q19" s="323"/>
      <c r="R19" s="255"/>
      <c r="S19" s="255"/>
      <c r="T19" s="255"/>
      <c r="U19" s="323"/>
      <c r="V19" s="255"/>
      <c r="W19" s="255"/>
      <c r="X19" s="255"/>
      <c r="Y19" s="323"/>
      <c r="Z19" s="255"/>
      <c r="AA19" s="255"/>
      <c r="AB19" s="255"/>
      <c r="AC19" s="323"/>
      <c r="AD19" s="255">
        <f t="shared" si="1"/>
        <v>64</v>
      </c>
      <c r="AE19" s="255">
        <f t="shared" si="2"/>
        <v>4</v>
      </c>
      <c r="AF19" s="255">
        <f t="shared" si="3"/>
        <v>0</v>
      </c>
      <c r="AG19" s="323">
        <f t="shared" si="4"/>
        <v>0</v>
      </c>
      <c r="AI19" s="335"/>
    </row>
    <row r="20" spans="1:35" s="332" customFormat="1" ht="18" customHeight="1">
      <c r="A20" s="339" t="s">
        <v>914</v>
      </c>
      <c r="B20" s="255"/>
      <c r="C20" s="255"/>
      <c r="D20" s="255"/>
      <c r="E20" s="323">
        <v>0</v>
      </c>
      <c r="F20" s="255">
        <v>7</v>
      </c>
      <c r="G20" s="255">
        <v>5</v>
      </c>
      <c r="H20" s="255"/>
      <c r="I20" s="323">
        <v>0</v>
      </c>
      <c r="J20" s="255"/>
      <c r="K20" s="255"/>
      <c r="L20" s="255"/>
      <c r="M20" s="323"/>
      <c r="N20" s="255"/>
      <c r="O20" s="255"/>
      <c r="P20" s="255"/>
      <c r="Q20" s="323"/>
      <c r="R20" s="255"/>
      <c r="S20" s="255"/>
      <c r="T20" s="255"/>
      <c r="U20" s="323"/>
      <c r="V20" s="255"/>
      <c r="W20" s="255"/>
      <c r="X20" s="255"/>
      <c r="Y20" s="323"/>
      <c r="Z20" s="255"/>
      <c r="AA20" s="255"/>
      <c r="AB20" s="255"/>
      <c r="AC20" s="323"/>
      <c r="AD20" s="255">
        <f t="shared" si="1"/>
        <v>7</v>
      </c>
      <c r="AE20" s="255">
        <f t="shared" si="2"/>
        <v>5</v>
      </c>
      <c r="AF20" s="255">
        <f t="shared" si="3"/>
        <v>0</v>
      </c>
      <c r="AG20" s="323">
        <f t="shared" si="4"/>
        <v>0</v>
      </c>
      <c r="AI20" s="335"/>
    </row>
    <row r="21" spans="1:35" s="332" customFormat="1" ht="18" customHeight="1">
      <c r="A21" s="600" t="s">
        <v>719</v>
      </c>
      <c r="B21" s="255"/>
      <c r="C21" s="255"/>
      <c r="D21" s="255"/>
      <c r="E21" s="323">
        <v>0</v>
      </c>
      <c r="F21" s="255"/>
      <c r="G21" s="255"/>
      <c r="H21" s="255"/>
      <c r="I21" s="323">
        <v>0</v>
      </c>
      <c r="J21" s="255"/>
      <c r="K21" s="255"/>
      <c r="L21" s="255"/>
      <c r="M21" s="323"/>
      <c r="N21" s="255"/>
      <c r="O21" s="255"/>
      <c r="P21" s="255"/>
      <c r="Q21" s="323"/>
      <c r="R21" s="255"/>
      <c r="S21" s="255"/>
      <c r="T21" s="255"/>
      <c r="U21" s="323"/>
      <c r="V21" s="255"/>
      <c r="W21" s="255"/>
      <c r="X21" s="255"/>
      <c r="Y21" s="323"/>
      <c r="Z21" s="255"/>
      <c r="AA21" s="255"/>
      <c r="AB21" s="255"/>
      <c r="AC21" s="323"/>
      <c r="AD21" s="255">
        <f t="shared" si="1"/>
        <v>0</v>
      </c>
      <c r="AE21" s="255">
        <f t="shared" si="2"/>
        <v>0</v>
      </c>
      <c r="AF21" s="255">
        <f t="shared" si="3"/>
        <v>0</v>
      </c>
      <c r="AG21" s="323">
        <f t="shared" si="4"/>
        <v>0</v>
      </c>
      <c r="AI21" s="335"/>
    </row>
    <row r="22" spans="1:35" s="332" customFormat="1" ht="18" customHeight="1">
      <c r="A22" s="339" t="s">
        <v>915</v>
      </c>
      <c r="B22" s="255">
        <v>1483</v>
      </c>
      <c r="C22" s="255">
        <v>1826</v>
      </c>
      <c r="D22" s="255">
        <v>1752</v>
      </c>
      <c r="E22" s="323">
        <v>1242</v>
      </c>
      <c r="F22" s="255">
        <v>155</v>
      </c>
      <c r="G22" s="255">
        <v>199</v>
      </c>
      <c r="H22" s="255">
        <v>279</v>
      </c>
      <c r="I22" s="323">
        <v>251</v>
      </c>
      <c r="J22" s="255"/>
      <c r="K22" s="255"/>
      <c r="L22" s="255"/>
      <c r="M22" s="323"/>
      <c r="N22" s="255"/>
      <c r="O22" s="255"/>
      <c r="P22" s="255"/>
      <c r="Q22" s="323"/>
      <c r="R22" s="255"/>
      <c r="S22" s="255"/>
      <c r="T22" s="255"/>
      <c r="U22" s="323"/>
      <c r="V22" s="255"/>
      <c r="W22" s="255"/>
      <c r="X22" s="255"/>
      <c r="Y22" s="323"/>
      <c r="Z22" s="255"/>
      <c r="AA22" s="255"/>
      <c r="AB22" s="255"/>
      <c r="AC22" s="323"/>
      <c r="AD22" s="255">
        <f t="shared" si="1"/>
        <v>1638</v>
      </c>
      <c r="AE22" s="255">
        <f t="shared" si="2"/>
        <v>2025</v>
      </c>
      <c r="AF22" s="255">
        <f t="shared" si="3"/>
        <v>2031</v>
      </c>
      <c r="AG22" s="323">
        <f t="shared" si="4"/>
        <v>1493</v>
      </c>
      <c r="AI22" s="335"/>
    </row>
    <row r="23" spans="1:35" s="332" customFormat="1" ht="18" customHeight="1">
      <c r="A23" s="339" t="s">
        <v>916</v>
      </c>
      <c r="B23" s="255"/>
      <c r="C23" s="255"/>
      <c r="D23" s="255"/>
      <c r="E23" s="323">
        <v>0</v>
      </c>
      <c r="F23" s="255"/>
      <c r="G23" s="255"/>
      <c r="H23" s="255"/>
      <c r="I23" s="323">
        <v>0</v>
      </c>
      <c r="J23" s="255">
        <v>27</v>
      </c>
      <c r="K23" s="255">
        <v>9</v>
      </c>
      <c r="L23" s="255">
        <v>14</v>
      </c>
      <c r="M23" s="323">
        <v>35</v>
      </c>
      <c r="N23" s="255"/>
      <c r="O23" s="255"/>
      <c r="P23" s="255"/>
      <c r="Q23" s="323"/>
      <c r="R23" s="255"/>
      <c r="S23" s="255"/>
      <c r="T23" s="255"/>
      <c r="U23" s="323"/>
      <c r="V23" s="255">
        <v>65</v>
      </c>
      <c r="W23" s="255">
        <v>139</v>
      </c>
      <c r="X23" s="255">
        <v>193</v>
      </c>
      <c r="Y23" s="323">
        <v>197</v>
      </c>
      <c r="Z23" s="255">
        <v>81</v>
      </c>
      <c r="AA23" s="255">
        <v>97</v>
      </c>
      <c r="AB23" s="255">
        <f>81</f>
        <v>81</v>
      </c>
      <c r="AC23" s="323">
        <v>146</v>
      </c>
      <c r="AD23" s="255">
        <f t="shared" si="1"/>
        <v>27</v>
      </c>
      <c r="AE23" s="255">
        <f t="shared" si="2"/>
        <v>9</v>
      </c>
      <c r="AF23" s="255">
        <f t="shared" si="3"/>
        <v>14</v>
      </c>
      <c r="AG23" s="340">
        <f t="shared" si="4"/>
        <v>35</v>
      </c>
      <c r="AI23" s="335"/>
    </row>
    <row r="24" spans="1:35" s="332" customFormat="1" ht="18" customHeight="1">
      <c r="A24" s="339" t="s">
        <v>917</v>
      </c>
      <c r="B24" s="255">
        <v>937</v>
      </c>
      <c r="C24" s="255">
        <v>1136</v>
      </c>
      <c r="D24" s="255">
        <v>1830</v>
      </c>
      <c r="E24" s="323">
        <v>1979</v>
      </c>
      <c r="F24" s="255"/>
      <c r="G24" s="255">
        <v>37</v>
      </c>
      <c r="H24" s="255">
        <v>1</v>
      </c>
      <c r="I24" s="323">
        <v>0</v>
      </c>
      <c r="J24" s="255"/>
      <c r="K24" s="255"/>
      <c r="L24" s="255"/>
      <c r="M24" s="323"/>
      <c r="N24" s="255"/>
      <c r="O24" s="255"/>
      <c r="P24" s="255"/>
      <c r="Q24" s="323"/>
      <c r="R24" s="255"/>
      <c r="S24" s="255"/>
      <c r="T24" s="255"/>
      <c r="U24" s="323"/>
      <c r="V24" s="255"/>
      <c r="W24" s="255"/>
      <c r="X24" s="255"/>
      <c r="Y24" s="323"/>
      <c r="Z24" s="255"/>
      <c r="AA24" s="255"/>
      <c r="AB24" s="255"/>
      <c r="AC24" s="323"/>
      <c r="AD24" s="255">
        <f t="shared" si="1"/>
        <v>937</v>
      </c>
      <c r="AE24" s="255">
        <f t="shared" si="2"/>
        <v>1173</v>
      </c>
      <c r="AF24" s="255">
        <f t="shared" si="3"/>
        <v>1831</v>
      </c>
      <c r="AG24" s="323">
        <f t="shared" si="4"/>
        <v>1979</v>
      </c>
      <c r="AI24" s="335"/>
    </row>
    <row r="25" spans="1:35" s="332" customFormat="1" ht="18" customHeight="1">
      <c r="A25" s="67" t="s">
        <v>918</v>
      </c>
      <c r="B25" s="255"/>
      <c r="C25" s="255"/>
      <c r="D25" s="255"/>
      <c r="E25" s="323"/>
      <c r="F25" s="255"/>
      <c r="G25" s="255"/>
      <c r="H25" s="255"/>
      <c r="I25" s="323"/>
      <c r="J25" s="255"/>
      <c r="K25" s="255"/>
      <c r="L25" s="255"/>
      <c r="M25" s="323"/>
      <c r="N25" s="255"/>
      <c r="O25" s="255"/>
      <c r="P25" s="255"/>
      <c r="Q25" s="323"/>
      <c r="R25" s="255"/>
      <c r="S25" s="255"/>
      <c r="T25" s="255"/>
      <c r="U25" s="323"/>
      <c r="V25" s="255"/>
      <c r="W25" s="255"/>
      <c r="X25" s="255"/>
      <c r="Y25" s="323"/>
      <c r="Z25" s="255"/>
      <c r="AA25" s="255"/>
      <c r="AB25" s="255"/>
      <c r="AC25" s="323"/>
      <c r="AD25" s="255">
        <f t="shared" si="1"/>
        <v>0</v>
      </c>
      <c r="AE25" s="255">
        <f t="shared" si="2"/>
        <v>0</v>
      </c>
      <c r="AF25" s="255">
        <f t="shared" si="3"/>
        <v>0</v>
      </c>
      <c r="AG25" s="323">
        <f t="shared" si="4"/>
        <v>0</v>
      </c>
      <c r="AI25" s="335"/>
    </row>
    <row r="26" spans="1:35" s="332" customFormat="1" ht="18" customHeight="1">
      <c r="A26" s="600" t="s">
        <v>1291</v>
      </c>
      <c r="B26" s="255">
        <v>10</v>
      </c>
      <c r="C26" s="255">
        <v>3</v>
      </c>
      <c r="D26" s="255">
        <v>48</v>
      </c>
      <c r="E26" s="323">
        <v>66</v>
      </c>
      <c r="F26" s="255"/>
      <c r="G26" s="255"/>
      <c r="H26" s="255"/>
      <c r="I26" s="323">
        <v>0</v>
      </c>
      <c r="J26" s="255"/>
      <c r="K26" s="255"/>
      <c r="L26" s="255"/>
      <c r="M26" s="323"/>
      <c r="N26" s="255"/>
      <c r="O26" s="255"/>
      <c r="P26" s="255"/>
      <c r="Q26" s="323"/>
      <c r="R26" s="255"/>
      <c r="S26" s="255"/>
      <c r="T26" s="255"/>
      <c r="U26" s="323"/>
      <c r="V26" s="255"/>
      <c r="W26" s="255"/>
      <c r="X26" s="255"/>
      <c r="Y26" s="323"/>
      <c r="Z26" s="255"/>
      <c r="AA26" s="255"/>
      <c r="AB26" s="255"/>
      <c r="AC26" s="323"/>
      <c r="AD26" s="255">
        <f t="shared" si="1"/>
        <v>10</v>
      </c>
      <c r="AE26" s="255">
        <f t="shared" si="2"/>
        <v>3</v>
      </c>
      <c r="AF26" s="255">
        <f t="shared" si="3"/>
        <v>48</v>
      </c>
      <c r="AG26" s="323">
        <f t="shared" si="4"/>
        <v>66</v>
      </c>
      <c r="AI26" s="335"/>
    </row>
    <row r="27" spans="1:35" s="332" customFormat="1" ht="18" customHeight="1">
      <c r="A27" s="67" t="s">
        <v>919</v>
      </c>
      <c r="B27" s="255"/>
      <c r="C27" s="255"/>
      <c r="D27" s="255"/>
      <c r="E27" s="323">
        <v>0</v>
      </c>
      <c r="F27" s="255">
        <v>13</v>
      </c>
      <c r="G27" s="255">
        <v>15</v>
      </c>
      <c r="H27" s="255">
        <v>7</v>
      </c>
      <c r="I27" s="323">
        <v>9</v>
      </c>
      <c r="J27" s="255"/>
      <c r="K27" s="255"/>
      <c r="L27" s="255"/>
      <c r="M27" s="323"/>
      <c r="N27" s="255"/>
      <c r="O27" s="255"/>
      <c r="P27" s="255"/>
      <c r="Q27" s="323"/>
      <c r="R27" s="255"/>
      <c r="S27" s="255"/>
      <c r="T27" s="255"/>
      <c r="U27" s="323"/>
      <c r="V27" s="255"/>
      <c r="W27" s="255"/>
      <c r="X27" s="255"/>
      <c r="Y27" s="323"/>
      <c r="Z27" s="255"/>
      <c r="AA27" s="255"/>
      <c r="AB27" s="255"/>
      <c r="AC27" s="323"/>
      <c r="AD27" s="255">
        <f t="shared" si="1"/>
        <v>13</v>
      </c>
      <c r="AE27" s="255">
        <f t="shared" si="2"/>
        <v>15</v>
      </c>
      <c r="AF27" s="255">
        <f t="shared" si="3"/>
        <v>7</v>
      </c>
      <c r="AG27" s="323">
        <f t="shared" si="4"/>
        <v>9</v>
      </c>
      <c r="AI27" s="335"/>
    </row>
    <row r="28" spans="1:35" s="332" customFormat="1" ht="18" customHeight="1">
      <c r="A28" s="67" t="s">
        <v>1290</v>
      </c>
      <c r="B28" s="255"/>
      <c r="C28" s="255"/>
      <c r="D28" s="255"/>
      <c r="E28" s="323">
        <v>0</v>
      </c>
      <c r="F28" s="255"/>
      <c r="G28" s="255"/>
      <c r="H28" s="255"/>
      <c r="I28" s="323">
        <v>0</v>
      </c>
      <c r="J28" s="255"/>
      <c r="K28" s="255"/>
      <c r="L28" s="255"/>
      <c r="M28" s="323"/>
      <c r="N28" s="255"/>
      <c r="O28" s="255"/>
      <c r="P28" s="255"/>
      <c r="Q28" s="323"/>
      <c r="R28" s="255"/>
      <c r="S28" s="255"/>
      <c r="T28" s="255"/>
      <c r="U28" s="323"/>
      <c r="V28" s="255"/>
      <c r="W28" s="255"/>
      <c r="X28" s="255"/>
      <c r="Y28" s="323"/>
      <c r="Z28" s="255"/>
      <c r="AA28" s="255"/>
      <c r="AB28" s="255"/>
      <c r="AC28" s="323"/>
      <c r="AD28" s="255">
        <f t="shared" si="1"/>
        <v>0</v>
      </c>
      <c r="AE28" s="255">
        <f t="shared" si="2"/>
        <v>0</v>
      </c>
      <c r="AF28" s="255">
        <f t="shared" si="3"/>
        <v>0</v>
      </c>
      <c r="AG28" s="323">
        <f t="shared" si="4"/>
        <v>0</v>
      </c>
      <c r="AI28" s="335"/>
    </row>
    <row r="29" spans="1:35" s="332" customFormat="1" ht="18" customHeight="1">
      <c r="A29" s="339" t="s">
        <v>920</v>
      </c>
      <c r="B29" s="255">
        <v>53</v>
      </c>
      <c r="C29" s="255">
        <v>69</v>
      </c>
      <c r="D29" s="255">
        <v>71</v>
      </c>
      <c r="E29" s="323">
        <v>45</v>
      </c>
      <c r="F29" s="255"/>
      <c r="G29" s="255"/>
      <c r="H29" s="255"/>
      <c r="I29" s="323">
        <v>0</v>
      </c>
      <c r="J29" s="255"/>
      <c r="K29" s="255"/>
      <c r="L29" s="255"/>
      <c r="M29" s="323"/>
      <c r="N29" s="255"/>
      <c r="O29" s="255"/>
      <c r="P29" s="255"/>
      <c r="Q29" s="323"/>
      <c r="R29" s="255"/>
      <c r="S29" s="255"/>
      <c r="T29" s="255"/>
      <c r="U29" s="323"/>
      <c r="V29" s="255"/>
      <c r="W29" s="255"/>
      <c r="X29" s="255"/>
      <c r="Y29" s="323"/>
      <c r="Z29" s="255"/>
      <c r="AA29" s="255"/>
      <c r="AB29" s="255"/>
      <c r="AC29" s="323"/>
      <c r="AD29" s="255">
        <f t="shared" si="1"/>
        <v>53</v>
      </c>
      <c r="AE29" s="255">
        <f t="shared" si="2"/>
        <v>69</v>
      </c>
      <c r="AF29" s="255">
        <f t="shared" si="3"/>
        <v>71</v>
      </c>
      <c r="AG29" s="323">
        <f t="shared" si="4"/>
        <v>45</v>
      </c>
      <c r="AI29" s="335"/>
    </row>
    <row r="30" spans="1:35" s="332" customFormat="1" ht="18" customHeight="1">
      <c r="A30" s="339" t="s">
        <v>921</v>
      </c>
      <c r="B30" s="255"/>
      <c r="C30" s="255">
        <v>5</v>
      </c>
      <c r="D30" s="255">
        <v>2</v>
      </c>
      <c r="E30" s="323">
        <v>0</v>
      </c>
      <c r="F30" s="255">
        <v>2</v>
      </c>
      <c r="G30" s="255">
        <v>7</v>
      </c>
      <c r="H30" s="255"/>
      <c r="I30" s="323">
        <v>0</v>
      </c>
      <c r="J30" s="255"/>
      <c r="K30" s="255"/>
      <c r="L30" s="255"/>
      <c r="M30" s="323"/>
      <c r="N30" s="255"/>
      <c r="O30" s="255"/>
      <c r="P30" s="255"/>
      <c r="Q30" s="323"/>
      <c r="R30" s="255"/>
      <c r="S30" s="255"/>
      <c r="T30" s="255"/>
      <c r="U30" s="323"/>
      <c r="V30" s="255"/>
      <c r="W30" s="255"/>
      <c r="X30" s="255"/>
      <c r="Y30" s="323"/>
      <c r="Z30" s="255"/>
      <c r="AA30" s="255"/>
      <c r="AB30" s="255"/>
      <c r="AC30" s="323"/>
      <c r="AD30" s="255">
        <f t="shared" si="1"/>
        <v>2</v>
      </c>
      <c r="AE30" s="255">
        <f t="shared" si="2"/>
        <v>12</v>
      </c>
      <c r="AF30" s="255">
        <f t="shared" si="3"/>
        <v>2</v>
      </c>
      <c r="AG30" s="340">
        <f t="shared" si="4"/>
        <v>0</v>
      </c>
      <c r="AI30" s="335"/>
    </row>
    <row r="31" spans="1:35" s="332" customFormat="1" ht="18" customHeight="1">
      <c r="A31" s="339" t="s">
        <v>922</v>
      </c>
      <c r="B31" s="255"/>
      <c r="C31" s="255">
        <v>2</v>
      </c>
      <c r="D31" s="255">
        <v>2</v>
      </c>
      <c r="E31" s="323">
        <v>2</v>
      </c>
      <c r="F31" s="255"/>
      <c r="G31" s="255">
        <v>20</v>
      </c>
      <c r="H31" s="255">
        <v>1</v>
      </c>
      <c r="I31" s="323">
        <v>0</v>
      </c>
      <c r="J31" s="255"/>
      <c r="K31" s="255"/>
      <c r="L31" s="255"/>
      <c r="M31" s="323"/>
      <c r="N31" s="255"/>
      <c r="O31" s="255"/>
      <c r="P31" s="255"/>
      <c r="Q31" s="323"/>
      <c r="R31" s="255"/>
      <c r="S31" s="255"/>
      <c r="T31" s="255"/>
      <c r="U31" s="323"/>
      <c r="V31" s="255"/>
      <c r="W31" s="255"/>
      <c r="X31" s="255"/>
      <c r="Y31" s="323"/>
      <c r="Z31" s="255"/>
      <c r="AA31" s="255"/>
      <c r="AB31" s="255"/>
      <c r="AC31" s="323"/>
      <c r="AD31" s="255">
        <f t="shared" si="1"/>
        <v>0</v>
      </c>
      <c r="AE31" s="255">
        <f t="shared" si="2"/>
        <v>22</v>
      </c>
      <c r="AF31" s="255">
        <f t="shared" si="3"/>
        <v>3</v>
      </c>
      <c r="AG31" s="340">
        <f t="shared" si="4"/>
        <v>2</v>
      </c>
      <c r="AI31" s="335"/>
    </row>
    <row r="32" spans="1:35" s="332" customFormat="1" ht="18" customHeight="1">
      <c r="A32" s="339" t="s">
        <v>923</v>
      </c>
      <c r="B32" s="255">
        <v>349</v>
      </c>
      <c r="C32" s="255">
        <v>477</v>
      </c>
      <c r="D32" s="255">
        <v>243</v>
      </c>
      <c r="E32" s="323">
        <v>204</v>
      </c>
      <c r="F32" s="255"/>
      <c r="G32" s="255"/>
      <c r="H32" s="255"/>
      <c r="I32" s="323">
        <v>0</v>
      </c>
      <c r="J32" s="255"/>
      <c r="K32" s="255"/>
      <c r="L32" s="255"/>
      <c r="M32" s="323"/>
      <c r="N32" s="255"/>
      <c r="O32" s="255"/>
      <c r="P32" s="255"/>
      <c r="Q32" s="323"/>
      <c r="R32" s="255"/>
      <c r="S32" s="255"/>
      <c r="T32" s="255"/>
      <c r="U32" s="323"/>
      <c r="V32" s="255"/>
      <c r="W32" s="255"/>
      <c r="X32" s="255"/>
      <c r="Y32" s="323"/>
      <c r="Z32" s="255"/>
      <c r="AA32" s="255"/>
      <c r="AB32" s="255"/>
      <c r="AC32" s="323"/>
      <c r="AD32" s="255">
        <f t="shared" si="1"/>
        <v>349</v>
      </c>
      <c r="AE32" s="255">
        <f t="shared" si="2"/>
        <v>477</v>
      </c>
      <c r="AF32" s="255">
        <f t="shared" si="3"/>
        <v>243</v>
      </c>
      <c r="AG32" s="340">
        <f t="shared" si="4"/>
        <v>204</v>
      </c>
      <c r="AI32" s="335"/>
    </row>
    <row r="33" spans="1:35" s="332" customFormat="1" ht="18" customHeight="1">
      <c r="A33" s="339" t="s">
        <v>924</v>
      </c>
      <c r="B33" s="255">
        <v>1016</v>
      </c>
      <c r="C33" s="255">
        <v>932</v>
      </c>
      <c r="D33" s="255">
        <v>737</v>
      </c>
      <c r="E33" s="323">
        <v>1107</v>
      </c>
      <c r="F33" s="255"/>
      <c r="G33" s="255"/>
      <c r="H33" s="255"/>
      <c r="I33" s="323">
        <v>0</v>
      </c>
      <c r="J33" s="255"/>
      <c r="K33" s="255"/>
      <c r="L33" s="255"/>
      <c r="M33" s="323"/>
      <c r="N33" s="255"/>
      <c r="O33" s="255"/>
      <c r="P33" s="255"/>
      <c r="Q33" s="323"/>
      <c r="R33" s="255"/>
      <c r="S33" s="255"/>
      <c r="T33" s="255"/>
      <c r="U33" s="323"/>
      <c r="V33" s="255"/>
      <c r="W33" s="255"/>
      <c r="X33" s="255"/>
      <c r="Y33" s="323"/>
      <c r="Z33" s="255"/>
      <c r="AA33" s="255"/>
      <c r="AB33" s="255"/>
      <c r="AC33" s="323"/>
      <c r="AD33" s="255">
        <f t="shared" si="1"/>
        <v>1016</v>
      </c>
      <c r="AE33" s="255">
        <f t="shared" si="2"/>
        <v>932</v>
      </c>
      <c r="AF33" s="255">
        <f t="shared" si="3"/>
        <v>737</v>
      </c>
      <c r="AG33" s="340">
        <f t="shared" si="4"/>
        <v>1107</v>
      </c>
      <c r="AI33" s="335"/>
    </row>
    <row r="34" spans="1:35" s="332" customFormat="1" ht="18" customHeight="1">
      <c r="A34" s="339" t="s">
        <v>925</v>
      </c>
      <c r="B34" s="255"/>
      <c r="C34" s="255"/>
      <c r="D34" s="255"/>
      <c r="E34" s="323">
        <v>0</v>
      </c>
      <c r="F34" s="255">
        <v>884</v>
      </c>
      <c r="G34" s="255">
        <v>1371</v>
      </c>
      <c r="H34" s="255">
        <v>1399</v>
      </c>
      <c r="I34" s="323">
        <v>2140</v>
      </c>
      <c r="J34" s="255"/>
      <c r="K34" s="255"/>
      <c r="L34" s="255"/>
      <c r="M34" s="323"/>
      <c r="N34" s="255"/>
      <c r="O34" s="255"/>
      <c r="P34" s="255"/>
      <c r="Q34" s="323"/>
      <c r="R34" s="255"/>
      <c r="S34" s="255"/>
      <c r="T34" s="255"/>
      <c r="U34" s="323"/>
      <c r="V34" s="255"/>
      <c r="W34" s="255"/>
      <c r="X34" s="255"/>
      <c r="Y34" s="323"/>
      <c r="Z34" s="255"/>
      <c r="AA34" s="255"/>
      <c r="AB34" s="255"/>
      <c r="AC34" s="323"/>
      <c r="AD34" s="255">
        <f t="shared" si="1"/>
        <v>884</v>
      </c>
      <c r="AE34" s="255">
        <f t="shared" si="2"/>
        <v>1371</v>
      </c>
      <c r="AF34" s="255">
        <f t="shared" si="3"/>
        <v>1399</v>
      </c>
      <c r="AG34" s="340">
        <f t="shared" si="4"/>
        <v>2140</v>
      </c>
      <c r="AI34" s="335"/>
    </row>
    <row r="35" spans="1:35" s="332" customFormat="1" ht="18" customHeight="1">
      <c r="A35" s="339" t="s">
        <v>926</v>
      </c>
      <c r="B35" s="255"/>
      <c r="C35" s="255"/>
      <c r="D35" s="255"/>
      <c r="E35" s="323">
        <v>0</v>
      </c>
      <c r="F35" s="255">
        <v>4</v>
      </c>
      <c r="G35" s="255">
        <v>24</v>
      </c>
      <c r="H35" s="255"/>
      <c r="I35" s="323">
        <v>0</v>
      </c>
      <c r="J35" s="255"/>
      <c r="K35" s="255"/>
      <c r="L35" s="255"/>
      <c r="M35" s="323"/>
      <c r="N35" s="255"/>
      <c r="O35" s="255"/>
      <c r="P35" s="255"/>
      <c r="Q35" s="323"/>
      <c r="R35" s="255"/>
      <c r="S35" s="255"/>
      <c r="T35" s="255"/>
      <c r="U35" s="323"/>
      <c r="V35" s="255"/>
      <c r="W35" s="255"/>
      <c r="X35" s="255"/>
      <c r="Y35" s="323"/>
      <c r="Z35" s="255"/>
      <c r="AA35" s="255"/>
      <c r="AB35" s="255"/>
      <c r="AC35" s="323"/>
      <c r="AD35" s="255">
        <f t="shared" si="1"/>
        <v>4</v>
      </c>
      <c r="AE35" s="255">
        <f t="shared" si="2"/>
        <v>24</v>
      </c>
      <c r="AF35" s="255">
        <f t="shared" si="3"/>
        <v>0</v>
      </c>
      <c r="AG35" s="323">
        <f t="shared" si="4"/>
        <v>0</v>
      </c>
      <c r="AI35" s="335"/>
    </row>
    <row r="36" spans="1:35" s="332" customFormat="1" ht="18" customHeight="1">
      <c r="A36" s="67" t="s">
        <v>1409</v>
      </c>
      <c r="B36" s="255"/>
      <c r="C36" s="255"/>
      <c r="D36" s="255"/>
      <c r="E36" s="323">
        <v>0</v>
      </c>
      <c r="F36" s="255"/>
      <c r="G36" s="255"/>
      <c r="H36" s="255"/>
      <c r="I36" s="323">
        <v>1</v>
      </c>
      <c r="J36" s="255"/>
      <c r="K36" s="255"/>
      <c r="L36" s="255"/>
      <c r="M36" s="323"/>
      <c r="N36" s="255"/>
      <c r="O36" s="255"/>
      <c r="P36" s="255"/>
      <c r="Q36" s="323"/>
      <c r="R36" s="255"/>
      <c r="S36" s="255"/>
      <c r="T36" s="255"/>
      <c r="U36" s="323"/>
      <c r="V36" s="255"/>
      <c r="W36" s="255"/>
      <c r="X36" s="255"/>
      <c r="Y36" s="323"/>
      <c r="Z36" s="255"/>
      <c r="AA36" s="255"/>
      <c r="AB36" s="255"/>
      <c r="AC36" s="323"/>
      <c r="AD36" s="255">
        <f t="shared" si="1"/>
        <v>0</v>
      </c>
      <c r="AE36" s="255">
        <f t="shared" si="2"/>
        <v>0</v>
      </c>
      <c r="AF36" s="255">
        <f t="shared" si="3"/>
        <v>0</v>
      </c>
      <c r="AG36" s="323">
        <f t="shared" si="4"/>
        <v>1</v>
      </c>
      <c r="AI36" s="335"/>
    </row>
    <row r="37" spans="1:35" s="332" customFormat="1" ht="18" customHeight="1">
      <c r="A37" s="339" t="s">
        <v>927</v>
      </c>
      <c r="B37" s="255">
        <v>261</v>
      </c>
      <c r="C37" s="255">
        <v>488</v>
      </c>
      <c r="D37" s="255">
        <v>243</v>
      </c>
      <c r="E37" s="323">
        <v>476</v>
      </c>
      <c r="F37" s="255"/>
      <c r="G37" s="255"/>
      <c r="H37" s="255"/>
      <c r="I37" s="323">
        <v>0</v>
      </c>
      <c r="J37" s="255"/>
      <c r="K37" s="255"/>
      <c r="L37" s="255"/>
      <c r="M37" s="323"/>
      <c r="N37" s="255"/>
      <c r="O37" s="255"/>
      <c r="P37" s="255"/>
      <c r="Q37" s="323"/>
      <c r="R37" s="255"/>
      <c r="S37" s="255"/>
      <c r="T37" s="255"/>
      <c r="U37" s="323"/>
      <c r="V37" s="255"/>
      <c r="W37" s="255"/>
      <c r="X37" s="255"/>
      <c r="Y37" s="323"/>
      <c r="Z37" s="255"/>
      <c r="AA37" s="255"/>
      <c r="AB37" s="255"/>
      <c r="AC37" s="323"/>
      <c r="AD37" s="255">
        <f t="shared" si="1"/>
        <v>261</v>
      </c>
      <c r="AE37" s="255">
        <f t="shared" si="2"/>
        <v>488</v>
      </c>
      <c r="AF37" s="255">
        <f t="shared" si="3"/>
        <v>243</v>
      </c>
      <c r="AG37" s="323">
        <f t="shared" si="4"/>
        <v>476</v>
      </c>
      <c r="AI37" s="335"/>
    </row>
    <row r="38" spans="1:35" s="332" customFormat="1" ht="18" customHeight="1">
      <c r="A38" s="341" t="s">
        <v>767</v>
      </c>
      <c r="B38" s="259">
        <v>7490</v>
      </c>
      <c r="C38" s="259">
        <v>8358</v>
      </c>
      <c r="D38" s="259">
        <f>SUM(D9:D37)</f>
        <v>9525</v>
      </c>
      <c r="E38" s="259">
        <f>SUM(E9:E37)</f>
        <v>10406</v>
      </c>
      <c r="F38" s="259">
        <v>1695</v>
      </c>
      <c r="G38" s="259">
        <v>2890</v>
      </c>
      <c r="H38" s="259">
        <f>SUM(H9:H37)</f>
        <v>3176</v>
      </c>
      <c r="I38" s="259">
        <f>SUM(I9:I37)</f>
        <v>4245</v>
      </c>
      <c r="J38" s="259">
        <v>27</v>
      </c>
      <c r="K38" s="259">
        <v>9</v>
      </c>
      <c r="L38" s="259">
        <f>SUM(L9:L37)</f>
        <v>14</v>
      </c>
      <c r="M38" s="259">
        <f>SUM(M9:M37)</f>
        <v>35</v>
      </c>
      <c r="N38" s="259">
        <f t="shared" ref="N38:AC38" si="5">SUM(N9:N37)</f>
        <v>0</v>
      </c>
      <c r="O38" s="259">
        <f t="shared" si="5"/>
        <v>0</v>
      </c>
      <c r="P38" s="259">
        <f t="shared" si="5"/>
        <v>0</v>
      </c>
      <c r="Q38" s="342">
        <f t="shared" si="5"/>
        <v>0</v>
      </c>
      <c r="R38" s="259">
        <f t="shared" si="5"/>
        <v>0</v>
      </c>
      <c r="S38" s="259">
        <f t="shared" si="5"/>
        <v>0</v>
      </c>
      <c r="T38" s="259">
        <f t="shared" si="5"/>
        <v>0</v>
      </c>
      <c r="U38" s="342">
        <f t="shared" si="5"/>
        <v>0</v>
      </c>
      <c r="V38" s="259">
        <f t="shared" si="5"/>
        <v>65</v>
      </c>
      <c r="W38" s="259">
        <f t="shared" si="5"/>
        <v>139</v>
      </c>
      <c r="X38" s="259">
        <f t="shared" si="5"/>
        <v>193</v>
      </c>
      <c r="Y38" s="342">
        <f t="shared" si="5"/>
        <v>197</v>
      </c>
      <c r="Z38" s="259">
        <f t="shared" si="5"/>
        <v>81</v>
      </c>
      <c r="AA38" s="259">
        <f t="shared" si="5"/>
        <v>97</v>
      </c>
      <c r="AB38" s="259">
        <f t="shared" si="5"/>
        <v>81</v>
      </c>
      <c r="AC38" s="342">
        <f t="shared" si="5"/>
        <v>146</v>
      </c>
      <c r="AD38" s="259">
        <f t="shared" si="1"/>
        <v>9212</v>
      </c>
      <c r="AE38" s="259">
        <f t="shared" si="2"/>
        <v>11257</v>
      </c>
      <c r="AF38" s="259">
        <f t="shared" si="3"/>
        <v>12715</v>
      </c>
      <c r="AG38" s="342">
        <f>+Q38+M38+I38+E38+U38+Y38+AC38</f>
        <v>15029</v>
      </c>
      <c r="AI38" s="335"/>
    </row>
    <row r="39" spans="1:35" s="332" customFormat="1" ht="18" customHeight="1">
      <c r="B39" s="255"/>
      <c r="C39" s="255"/>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I39" s="335"/>
    </row>
    <row r="40" spans="1:35" s="332" customFormat="1" ht="18" customHeight="1">
      <c r="A40" s="334" t="s">
        <v>928</v>
      </c>
      <c r="B40" s="259"/>
      <c r="C40" s="259"/>
      <c r="D40" s="259"/>
      <c r="E40" s="259"/>
      <c r="F40" s="259"/>
      <c r="G40" s="259"/>
      <c r="H40" s="259"/>
      <c r="I40" s="259"/>
      <c r="J40" s="255"/>
      <c r="K40" s="255"/>
      <c r="L40" s="259"/>
      <c r="M40" s="259"/>
      <c r="N40" s="255"/>
      <c r="O40" s="255"/>
      <c r="P40" s="259"/>
      <c r="Q40" s="259"/>
      <c r="R40" s="255"/>
      <c r="S40" s="255"/>
      <c r="T40" s="259"/>
      <c r="U40" s="259"/>
      <c r="V40" s="255"/>
      <c r="W40" s="255"/>
      <c r="X40" s="259"/>
      <c r="Y40" s="259"/>
      <c r="Z40" s="255"/>
      <c r="AA40" s="255"/>
      <c r="AB40" s="259"/>
      <c r="AC40" s="259"/>
      <c r="AD40" s="255"/>
      <c r="AE40" s="255"/>
      <c r="AF40" s="255"/>
      <c r="AG40" s="255"/>
      <c r="AI40" s="335"/>
    </row>
    <row r="41" spans="1:35" s="332" customFormat="1" ht="18" customHeight="1">
      <c r="A41" s="338" t="s">
        <v>929</v>
      </c>
      <c r="B41" s="255">
        <v>64</v>
      </c>
      <c r="C41" s="255">
        <v>105</v>
      </c>
      <c r="D41" s="255">
        <v>152</v>
      </c>
      <c r="E41" s="255">
        <v>366</v>
      </c>
      <c r="F41" s="325">
        <v>8</v>
      </c>
      <c r="G41" s="326">
        <v>39</v>
      </c>
      <c r="H41" s="326">
        <v>16</v>
      </c>
      <c r="I41" s="324">
        <v>10</v>
      </c>
      <c r="J41" s="325"/>
      <c r="K41" s="326"/>
      <c r="L41" s="326"/>
      <c r="M41" s="324"/>
      <c r="N41" s="325"/>
      <c r="O41" s="326"/>
      <c r="P41" s="326"/>
      <c r="Q41" s="324"/>
      <c r="R41" s="325"/>
      <c r="S41" s="326"/>
      <c r="T41" s="326"/>
      <c r="U41" s="324"/>
      <c r="V41" s="325"/>
      <c r="W41" s="326"/>
      <c r="X41" s="326"/>
      <c r="Y41" s="324"/>
      <c r="Z41" s="325"/>
      <c r="AA41" s="326"/>
      <c r="AB41" s="326"/>
      <c r="AC41" s="324"/>
      <c r="AD41" s="326">
        <f t="shared" ref="AD41:AD49" si="6">+N41+J41+F41+B41</f>
        <v>72</v>
      </c>
      <c r="AE41" s="326">
        <f t="shared" ref="AE41:AE49" si="7">+O41+K41+G41+C41</f>
        <v>144</v>
      </c>
      <c r="AF41" s="326">
        <f t="shared" ref="AF41:AF49" si="8">+P41+L41+H41+D41</f>
        <v>168</v>
      </c>
      <c r="AG41" s="324">
        <f>+Q41+M41+I41+E41</f>
        <v>376</v>
      </c>
      <c r="AI41" s="335"/>
    </row>
    <row r="42" spans="1:35" s="332" customFormat="1" ht="18" customHeight="1">
      <c r="A42" s="339" t="s">
        <v>930</v>
      </c>
      <c r="B42" s="255">
        <v>0</v>
      </c>
      <c r="C42" s="255">
        <v>1</v>
      </c>
      <c r="D42" s="255">
        <v>0</v>
      </c>
      <c r="E42" s="255">
        <v>1</v>
      </c>
      <c r="F42" s="254"/>
      <c r="G42" s="255">
        <v>12</v>
      </c>
      <c r="H42" s="255">
        <v>0</v>
      </c>
      <c r="I42" s="323">
        <v>0</v>
      </c>
      <c r="J42" s="254"/>
      <c r="K42" s="255"/>
      <c r="L42" s="255"/>
      <c r="M42" s="323"/>
      <c r="N42" s="254"/>
      <c r="O42" s="255"/>
      <c r="P42" s="255"/>
      <c r="Q42" s="323"/>
      <c r="R42" s="254"/>
      <c r="S42" s="255"/>
      <c r="T42" s="255"/>
      <c r="U42" s="323"/>
      <c r="V42" s="254"/>
      <c r="W42" s="255"/>
      <c r="X42" s="255"/>
      <c r="Y42" s="323"/>
      <c r="Z42" s="254"/>
      <c r="AA42" s="255"/>
      <c r="AB42" s="255"/>
      <c r="AC42" s="323"/>
      <c r="AD42" s="255">
        <f t="shared" si="6"/>
        <v>0</v>
      </c>
      <c r="AE42" s="255">
        <f t="shared" si="7"/>
        <v>13</v>
      </c>
      <c r="AF42" s="255">
        <f t="shared" si="8"/>
        <v>0</v>
      </c>
      <c r="AG42" s="323">
        <f t="shared" ref="AG42:AG49" si="9">+Q42+M42+I42+E42</f>
        <v>1</v>
      </c>
      <c r="AI42" s="335"/>
    </row>
    <row r="43" spans="1:35" s="332" customFormat="1" ht="18" customHeight="1">
      <c r="A43" s="339" t="s">
        <v>931</v>
      </c>
      <c r="B43" s="255">
        <v>46</v>
      </c>
      <c r="C43" s="255">
        <v>72</v>
      </c>
      <c r="D43" s="255">
        <v>39</v>
      </c>
      <c r="E43" s="255">
        <v>82</v>
      </c>
      <c r="F43" s="254">
        <v>5</v>
      </c>
      <c r="G43" s="255">
        <v>19</v>
      </c>
      <c r="H43" s="255">
        <v>3</v>
      </c>
      <c r="I43" s="323">
        <v>2</v>
      </c>
      <c r="J43" s="254"/>
      <c r="K43" s="255"/>
      <c r="L43" s="255"/>
      <c r="M43" s="323"/>
      <c r="N43" s="254"/>
      <c r="O43" s="255"/>
      <c r="P43" s="255"/>
      <c r="Q43" s="323"/>
      <c r="R43" s="254"/>
      <c r="S43" s="255"/>
      <c r="T43" s="255"/>
      <c r="U43" s="323"/>
      <c r="V43" s="254"/>
      <c r="W43" s="255"/>
      <c r="X43" s="255"/>
      <c r="Y43" s="323"/>
      <c r="Z43" s="254"/>
      <c r="AA43" s="255"/>
      <c r="AB43" s="255"/>
      <c r="AC43" s="323"/>
      <c r="AD43" s="255">
        <f t="shared" si="6"/>
        <v>51</v>
      </c>
      <c r="AE43" s="255">
        <f t="shared" si="7"/>
        <v>91</v>
      </c>
      <c r="AF43" s="255">
        <f t="shared" si="8"/>
        <v>42</v>
      </c>
      <c r="AG43" s="323">
        <f t="shared" si="9"/>
        <v>84</v>
      </c>
      <c r="AI43" s="335"/>
    </row>
    <row r="44" spans="1:35" s="332" customFormat="1" ht="18" customHeight="1">
      <c r="A44" s="339" t="s">
        <v>932</v>
      </c>
      <c r="B44" s="255">
        <v>34</v>
      </c>
      <c r="C44" s="255"/>
      <c r="D44" s="255"/>
      <c r="E44" s="255">
        <v>30</v>
      </c>
      <c r="F44" s="254">
        <v>2</v>
      </c>
      <c r="G44" s="255">
        <v>11</v>
      </c>
      <c r="H44" s="255">
        <v>5</v>
      </c>
      <c r="I44" s="323">
        <v>5</v>
      </c>
      <c r="J44" s="254"/>
      <c r="K44" s="255"/>
      <c r="L44" s="255"/>
      <c r="M44" s="323"/>
      <c r="N44" s="254"/>
      <c r="O44" s="255"/>
      <c r="P44" s="255"/>
      <c r="Q44" s="323"/>
      <c r="R44" s="254"/>
      <c r="S44" s="255"/>
      <c r="T44" s="255"/>
      <c r="U44" s="323"/>
      <c r="V44" s="254"/>
      <c r="W44" s="255"/>
      <c r="X44" s="255"/>
      <c r="Y44" s="323"/>
      <c r="Z44" s="254"/>
      <c r="AA44" s="255"/>
      <c r="AB44" s="255"/>
      <c r="AC44" s="323"/>
      <c r="AD44" s="255">
        <f t="shared" si="6"/>
        <v>36</v>
      </c>
      <c r="AE44" s="255">
        <f t="shared" si="7"/>
        <v>11</v>
      </c>
      <c r="AF44" s="255">
        <f t="shared" si="8"/>
        <v>5</v>
      </c>
      <c r="AG44" s="323">
        <f t="shared" si="9"/>
        <v>35</v>
      </c>
      <c r="AI44" s="335"/>
    </row>
    <row r="45" spans="1:35" s="332" customFormat="1" ht="18" customHeight="1">
      <c r="A45" s="339" t="s">
        <v>933</v>
      </c>
      <c r="B45" s="255">
        <v>325</v>
      </c>
      <c r="C45" s="255"/>
      <c r="D45" s="255"/>
      <c r="E45" s="255">
        <v>497</v>
      </c>
      <c r="F45" s="254">
        <v>271</v>
      </c>
      <c r="G45" s="255">
        <v>453</v>
      </c>
      <c r="H45" s="255">
        <v>254</v>
      </c>
      <c r="I45" s="323">
        <v>212</v>
      </c>
      <c r="J45" s="254"/>
      <c r="K45" s="255"/>
      <c r="L45" s="255"/>
      <c r="M45" s="323"/>
      <c r="N45" s="254"/>
      <c r="O45" s="255"/>
      <c r="P45" s="255"/>
      <c r="Q45" s="323"/>
      <c r="R45" s="254"/>
      <c r="S45" s="255"/>
      <c r="T45" s="255"/>
      <c r="U45" s="323"/>
      <c r="V45" s="254"/>
      <c r="W45" s="255"/>
      <c r="X45" s="255"/>
      <c r="Y45" s="323"/>
      <c r="Z45" s="254"/>
      <c r="AA45" s="255"/>
      <c r="AB45" s="255"/>
      <c r="AC45" s="323"/>
      <c r="AD45" s="255">
        <f t="shared" si="6"/>
        <v>596</v>
      </c>
      <c r="AE45" s="255">
        <f t="shared" si="7"/>
        <v>453</v>
      </c>
      <c r="AF45" s="255">
        <f t="shared" si="8"/>
        <v>254</v>
      </c>
      <c r="AG45" s="323">
        <f t="shared" si="9"/>
        <v>709</v>
      </c>
      <c r="AI45" s="335"/>
    </row>
    <row r="46" spans="1:35" s="332" customFormat="1" ht="18" customHeight="1">
      <c r="A46" s="339" t="s">
        <v>934</v>
      </c>
      <c r="B46" s="255"/>
      <c r="C46" s="255"/>
      <c r="D46" s="255"/>
      <c r="E46" s="255">
        <v>0</v>
      </c>
      <c r="F46" s="254"/>
      <c r="G46" s="255"/>
      <c r="H46" s="255"/>
      <c r="I46" s="323">
        <v>0</v>
      </c>
      <c r="J46" s="254"/>
      <c r="K46" s="255"/>
      <c r="L46" s="255"/>
      <c r="M46" s="323"/>
      <c r="N46" s="254"/>
      <c r="O46" s="255"/>
      <c r="P46" s="255"/>
      <c r="Q46" s="323"/>
      <c r="R46" s="254"/>
      <c r="S46" s="255"/>
      <c r="T46" s="255"/>
      <c r="U46" s="323"/>
      <c r="V46" s="254"/>
      <c r="W46" s="255"/>
      <c r="X46" s="255"/>
      <c r="Y46" s="323"/>
      <c r="Z46" s="254"/>
      <c r="AA46" s="255"/>
      <c r="AB46" s="255"/>
      <c r="AC46" s="323"/>
      <c r="AD46" s="255">
        <f t="shared" si="6"/>
        <v>0</v>
      </c>
      <c r="AE46" s="255">
        <f t="shared" si="7"/>
        <v>0</v>
      </c>
      <c r="AF46" s="255">
        <f t="shared" si="8"/>
        <v>0</v>
      </c>
      <c r="AG46" s="323">
        <f t="shared" si="9"/>
        <v>0</v>
      </c>
      <c r="AI46" s="335"/>
    </row>
    <row r="47" spans="1:35" s="332" customFormat="1" ht="18" customHeight="1">
      <c r="A47" s="339" t="s">
        <v>935</v>
      </c>
      <c r="B47" s="255"/>
      <c r="C47" s="255"/>
      <c r="D47" s="255"/>
      <c r="E47" s="255">
        <v>0</v>
      </c>
      <c r="F47" s="254"/>
      <c r="G47" s="255"/>
      <c r="H47" s="255"/>
      <c r="I47" s="323">
        <v>0</v>
      </c>
      <c r="J47" s="254"/>
      <c r="K47" s="255"/>
      <c r="L47" s="255"/>
      <c r="M47" s="323"/>
      <c r="N47" s="254"/>
      <c r="O47" s="255"/>
      <c r="P47" s="255"/>
      <c r="Q47" s="323"/>
      <c r="R47" s="254"/>
      <c r="S47" s="255"/>
      <c r="T47" s="255"/>
      <c r="U47" s="323"/>
      <c r="V47" s="254"/>
      <c r="W47" s="255"/>
      <c r="X47" s="255"/>
      <c r="Y47" s="323"/>
      <c r="Z47" s="254"/>
      <c r="AA47" s="255"/>
      <c r="AB47" s="255"/>
      <c r="AC47" s="323"/>
      <c r="AD47" s="255">
        <f t="shared" si="6"/>
        <v>0</v>
      </c>
      <c r="AE47" s="255">
        <f t="shared" si="7"/>
        <v>0</v>
      </c>
      <c r="AF47" s="255">
        <f t="shared" si="8"/>
        <v>0</v>
      </c>
      <c r="AG47" s="323">
        <f t="shared" si="9"/>
        <v>0</v>
      </c>
      <c r="AI47" s="335"/>
    </row>
    <row r="48" spans="1:35" s="332" customFormat="1" ht="18" customHeight="1">
      <c r="A48" s="339" t="s">
        <v>936</v>
      </c>
      <c r="B48" s="255">
        <v>175</v>
      </c>
      <c r="C48" s="255">
        <v>193</v>
      </c>
      <c r="D48" s="255">
        <v>270</v>
      </c>
      <c r="E48" s="255">
        <v>376</v>
      </c>
      <c r="F48" s="254"/>
      <c r="G48" s="255"/>
      <c r="H48" s="255"/>
      <c r="I48" s="323">
        <v>0</v>
      </c>
      <c r="J48" s="254"/>
      <c r="K48" s="255"/>
      <c r="L48" s="255"/>
      <c r="M48" s="323"/>
      <c r="N48" s="254"/>
      <c r="O48" s="255"/>
      <c r="P48" s="255"/>
      <c r="Q48" s="323"/>
      <c r="R48" s="254"/>
      <c r="S48" s="255"/>
      <c r="T48" s="255"/>
      <c r="U48" s="323"/>
      <c r="V48" s="254"/>
      <c r="W48" s="255"/>
      <c r="X48" s="255"/>
      <c r="Y48" s="323"/>
      <c r="Z48" s="254"/>
      <c r="AA48" s="255"/>
      <c r="AB48" s="255"/>
      <c r="AC48" s="323"/>
      <c r="AD48" s="255">
        <f t="shared" si="6"/>
        <v>175</v>
      </c>
      <c r="AE48" s="255">
        <f t="shared" si="7"/>
        <v>193</v>
      </c>
      <c r="AF48" s="255">
        <f t="shared" si="8"/>
        <v>270</v>
      </c>
      <c r="AG48" s="323">
        <f t="shared" si="9"/>
        <v>376</v>
      </c>
      <c r="AI48" s="335"/>
    </row>
    <row r="49" spans="1:35" s="332" customFormat="1" ht="18" customHeight="1">
      <c r="A49" s="341" t="s">
        <v>937</v>
      </c>
      <c r="B49" s="259">
        <v>288</v>
      </c>
      <c r="C49" s="259">
        <v>340</v>
      </c>
      <c r="D49" s="259">
        <v>339</v>
      </c>
      <c r="E49" s="259">
        <v>176</v>
      </c>
      <c r="F49" s="258">
        <v>27</v>
      </c>
      <c r="G49" s="259">
        <v>49</v>
      </c>
      <c r="H49" s="259">
        <v>51</v>
      </c>
      <c r="I49" s="342">
        <v>78</v>
      </c>
      <c r="J49" s="258"/>
      <c r="K49" s="259"/>
      <c r="L49" s="259"/>
      <c r="M49" s="342"/>
      <c r="N49" s="258"/>
      <c r="O49" s="259"/>
      <c r="P49" s="259"/>
      <c r="Q49" s="342"/>
      <c r="R49" s="258"/>
      <c r="S49" s="259"/>
      <c r="T49" s="259"/>
      <c r="U49" s="342"/>
      <c r="V49" s="258"/>
      <c r="W49" s="259"/>
      <c r="X49" s="259"/>
      <c r="Y49" s="342"/>
      <c r="Z49" s="258"/>
      <c r="AA49" s="259"/>
      <c r="AB49" s="259"/>
      <c r="AC49" s="342"/>
      <c r="AD49" s="259">
        <f t="shared" si="6"/>
        <v>315</v>
      </c>
      <c r="AE49" s="259">
        <f t="shared" si="7"/>
        <v>389</v>
      </c>
      <c r="AF49" s="259">
        <f t="shared" si="8"/>
        <v>390</v>
      </c>
      <c r="AG49" s="342">
        <f t="shared" si="9"/>
        <v>254</v>
      </c>
      <c r="AI49" s="335"/>
    </row>
    <row r="50" spans="1:35">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c r="AF50" s="271"/>
      <c r="AG50" s="271"/>
    </row>
    <row r="51" spans="1:35">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row>
    <row r="52" spans="1:35">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c r="AF52" s="271"/>
      <c r="AG52" s="271"/>
    </row>
    <row r="53" spans="1:35">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row>
    <row r="54" spans="1:35">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row>
    <row r="55" spans="1:35">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71"/>
      <c r="AE55" s="271"/>
      <c r="AF55" s="271"/>
      <c r="AG55" s="271"/>
    </row>
    <row r="56" spans="1:35">
      <c r="B56" s="300"/>
      <c r="C56" s="300"/>
      <c r="D56" s="300"/>
      <c r="E56" s="300"/>
      <c r="F56" s="300"/>
      <c r="G56" s="300"/>
      <c r="H56" s="300"/>
      <c r="I56" s="300"/>
      <c r="J56" s="300"/>
      <c r="K56" s="300"/>
      <c r="L56" s="300"/>
      <c r="M56" s="300"/>
      <c r="N56" s="300"/>
      <c r="O56" s="300"/>
      <c r="P56" s="300"/>
      <c r="Q56" s="300"/>
      <c r="R56" s="300"/>
      <c r="S56" s="300"/>
      <c r="T56" s="300"/>
      <c r="U56" s="300"/>
      <c r="V56" s="300"/>
      <c r="W56" s="300"/>
      <c r="X56" s="300"/>
      <c r="Y56" s="300"/>
      <c r="Z56" s="300"/>
      <c r="AA56" s="300"/>
      <c r="AB56" s="300"/>
      <c r="AC56" s="300"/>
      <c r="AD56" s="300"/>
      <c r="AE56" s="300"/>
      <c r="AF56" s="300"/>
      <c r="AG56" s="300"/>
    </row>
    <row r="57" spans="1:35">
      <c r="B57" s="300"/>
      <c r="C57" s="300"/>
      <c r="D57" s="300"/>
      <c r="E57" s="300"/>
      <c r="F57" s="300"/>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300"/>
      <c r="AE57" s="300"/>
      <c r="AF57" s="300"/>
      <c r="AG57" s="300"/>
    </row>
    <row r="58" spans="1:35">
      <c r="B58" s="300"/>
      <c r="C58" s="300"/>
      <c r="D58" s="300"/>
      <c r="E58" s="300"/>
      <c r="F58" s="300"/>
      <c r="G58" s="300"/>
      <c r="H58" s="300"/>
      <c r="I58" s="300"/>
      <c r="J58" s="300"/>
      <c r="K58" s="300"/>
      <c r="L58" s="300"/>
      <c r="M58" s="300"/>
      <c r="N58" s="300"/>
      <c r="O58" s="300"/>
      <c r="P58" s="300"/>
      <c r="Q58" s="300"/>
      <c r="R58" s="300"/>
      <c r="S58" s="300"/>
      <c r="T58" s="300"/>
      <c r="U58" s="300"/>
      <c r="V58" s="300"/>
      <c r="W58" s="300"/>
      <c r="X58" s="300"/>
      <c r="Y58" s="300"/>
      <c r="Z58" s="300"/>
      <c r="AA58" s="300"/>
      <c r="AB58" s="300"/>
      <c r="AC58" s="300"/>
      <c r="AD58" s="300"/>
      <c r="AE58" s="300"/>
      <c r="AF58" s="300"/>
      <c r="AG58" s="300"/>
    </row>
    <row r="59" spans="1:35">
      <c r="B59" s="300"/>
      <c r="C59" s="30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300"/>
      <c r="AE59" s="300"/>
      <c r="AF59" s="300"/>
      <c r="AG59" s="300"/>
    </row>
    <row r="60" spans="1:35">
      <c r="B60" s="300"/>
      <c r="C60" s="300"/>
      <c r="D60" s="300"/>
      <c r="E60" s="300"/>
      <c r="F60" s="300"/>
      <c r="G60" s="300"/>
      <c r="H60" s="300"/>
      <c r="I60" s="300"/>
      <c r="J60" s="300"/>
      <c r="K60" s="300"/>
      <c r="L60" s="300"/>
      <c r="M60" s="300"/>
      <c r="N60" s="300"/>
      <c r="O60" s="300"/>
      <c r="P60" s="300"/>
      <c r="Q60" s="300"/>
      <c r="R60" s="300"/>
      <c r="S60" s="300"/>
      <c r="T60" s="300"/>
      <c r="U60" s="300"/>
      <c r="V60" s="300"/>
      <c r="W60" s="300"/>
      <c r="X60" s="300"/>
      <c r="Y60" s="300"/>
      <c r="Z60" s="300"/>
      <c r="AA60" s="300"/>
      <c r="AB60" s="300"/>
      <c r="AC60" s="300"/>
      <c r="AD60" s="300"/>
      <c r="AE60" s="300"/>
      <c r="AF60" s="300"/>
      <c r="AG60" s="300"/>
    </row>
    <row r="61" spans="1:35">
      <c r="B61" s="300"/>
      <c r="C61" s="300"/>
      <c r="D61" s="300"/>
      <c r="E61" s="300"/>
      <c r="F61" s="300"/>
      <c r="G61" s="300"/>
      <c r="H61" s="300"/>
      <c r="I61" s="300"/>
      <c r="J61" s="300"/>
      <c r="K61" s="300"/>
      <c r="L61" s="300"/>
      <c r="M61" s="300"/>
      <c r="N61" s="300"/>
      <c r="O61" s="300"/>
      <c r="P61" s="300"/>
      <c r="Q61" s="300"/>
      <c r="R61" s="300"/>
      <c r="S61" s="300"/>
      <c r="T61" s="300"/>
      <c r="U61" s="300"/>
      <c r="V61" s="300"/>
      <c r="W61" s="300"/>
      <c r="X61" s="300"/>
      <c r="Y61" s="300"/>
      <c r="Z61" s="300"/>
      <c r="AA61" s="300"/>
      <c r="AB61" s="300"/>
      <c r="AC61" s="300"/>
      <c r="AD61" s="300"/>
      <c r="AE61" s="300"/>
      <c r="AF61" s="300"/>
      <c r="AG61" s="300"/>
    </row>
    <row r="62" spans="1:35">
      <c r="B62" s="300"/>
      <c r="C62" s="300"/>
      <c r="D62" s="300"/>
      <c r="E62" s="300"/>
      <c r="F62" s="300"/>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300"/>
      <c r="AE62" s="300"/>
      <c r="AF62" s="300"/>
      <c r="AG62" s="300"/>
    </row>
    <row r="63" spans="1:35">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300"/>
      <c r="AF63" s="300"/>
      <c r="AG63" s="300"/>
    </row>
    <row r="64" spans="1:35">
      <c r="B64" s="300"/>
      <c r="C64" s="300"/>
      <c r="D64" s="300"/>
      <c r="E64" s="300"/>
      <c r="F64" s="300"/>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300"/>
      <c r="AE64" s="300"/>
      <c r="AF64" s="300"/>
      <c r="AG64" s="300"/>
    </row>
    <row r="65" spans="2:33">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300"/>
      <c r="AF65" s="300"/>
      <c r="AG65" s="300"/>
    </row>
    <row r="66" spans="2:33">
      <c r="B66" s="300"/>
      <c r="C66" s="300"/>
      <c r="D66" s="300"/>
      <c r="E66" s="300"/>
      <c r="F66" s="300"/>
      <c r="G66" s="300"/>
      <c r="H66" s="300"/>
      <c r="I66" s="300"/>
      <c r="J66" s="300"/>
      <c r="K66" s="300"/>
      <c r="L66" s="300"/>
      <c r="M66" s="300"/>
      <c r="N66" s="300"/>
      <c r="O66" s="300"/>
      <c r="P66" s="300"/>
      <c r="Q66" s="300"/>
      <c r="R66" s="300"/>
      <c r="S66" s="300"/>
      <c r="T66" s="300"/>
      <c r="U66" s="300"/>
      <c r="V66" s="300"/>
      <c r="W66" s="300"/>
      <c r="X66" s="300"/>
      <c r="Y66" s="300"/>
      <c r="Z66" s="300"/>
      <c r="AA66" s="300"/>
      <c r="AB66" s="300"/>
      <c r="AC66" s="300"/>
      <c r="AD66" s="300"/>
      <c r="AE66" s="300"/>
      <c r="AF66" s="300"/>
      <c r="AG66" s="300"/>
    </row>
    <row r="67" spans="2:33">
      <c r="B67" s="300"/>
      <c r="C67" s="300"/>
      <c r="D67" s="300"/>
      <c r="E67" s="300"/>
      <c r="F67" s="300"/>
      <c r="G67" s="300"/>
      <c r="H67" s="300"/>
      <c r="I67" s="300"/>
      <c r="J67" s="300"/>
      <c r="K67" s="300"/>
      <c r="L67" s="300"/>
      <c r="M67" s="300"/>
      <c r="N67" s="300"/>
      <c r="O67" s="300"/>
      <c r="P67" s="300"/>
      <c r="Q67" s="300"/>
      <c r="R67" s="300"/>
      <c r="S67" s="300"/>
      <c r="T67" s="300"/>
      <c r="U67" s="300"/>
      <c r="V67" s="300"/>
      <c r="W67" s="300"/>
      <c r="X67" s="300"/>
      <c r="Y67" s="300"/>
      <c r="Z67" s="300"/>
      <c r="AA67" s="300"/>
      <c r="AB67" s="300"/>
      <c r="AC67" s="300"/>
      <c r="AD67" s="300"/>
      <c r="AE67" s="300"/>
      <c r="AF67" s="300"/>
      <c r="AG67" s="300"/>
    </row>
    <row r="68" spans="2:33">
      <c r="B68" s="300"/>
      <c r="C68" s="300"/>
      <c r="D68" s="300"/>
      <c r="E68" s="300"/>
      <c r="F68" s="300"/>
      <c r="G68" s="300"/>
      <c r="H68" s="300"/>
      <c r="I68" s="300"/>
      <c r="J68" s="300"/>
      <c r="K68" s="300"/>
      <c r="L68" s="300"/>
      <c r="M68" s="300"/>
      <c r="N68" s="300"/>
      <c r="O68" s="300"/>
      <c r="P68" s="300"/>
      <c r="Q68" s="300"/>
      <c r="R68" s="300"/>
      <c r="S68" s="300"/>
      <c r="T68" s="300"/>
      <c r="U68" s="300"/>
      <c r="V68" s="300"/>
      <c r="W68" s="300"/>
      <c r="X68" s="300"/>
      <c r="Y68" s="300"/>
      <c r="Z68" s="300"/>
      <c r="AA68" s="300"/>
      <c r="AB68" s="300"/>
      <c r="AC68" s="300"/>
      <c r="AD68" s="300"/>
      <c r="AE68" s="300"/>
      <c r="AF68" s="300"/>
      <c r="AG68" s="300"/>
    </row>
    <row r="69" spans="2:33">
      <c r="B69" s="300"/>
      <c r="C69" s="300"/>
      <c r="D69" s="300"/>
      <c r="E69" s="300"/>
      <c r="F69" s="300"/>
      <c r="G69" s="300"/>
      <c r="H69" s="300"/>
      <c r="I69" s="300"/>
      <c r="J69" s="300"/>
      <c r="K69" s="300"/>
      <c r="L69" s="300"/>
      <c r="M69" s="300"/>
      <c r="N69" s="300"/>
      <c r="O69" s="300"/>
      <c r="P69" s="300"/>
      <c r="Q69" s="300"/>
      <c r="R69" s="300"/>
      <c r="S69" s="300"/>
      <c r="T69" s="300"/>
      <c r="U69" s="300"/>
      <c r="V69" s="300"/>
      <c r="W69" s="300"/>
      <c r="X69" s="300"/>
      <c r="Y69" s="300"/>
      <c r="Z69" s="300"/>
      <c r="AA69" s="300"/>
      <c r="AB69" s="300"/>
      <c r="AC69" s="300"/>
      <c r="AD69" s="300"/>
      <c r="AE69" s="300"/>
      <c r="AF69" s="300"/>
      <c r="AG69" s="300"/>
    </row>
    <row r="70" spans="2:33">
      <c r="B70" s="300"/>
      <c r="C70" s="300"/>
      <c r="D70" s="300"/>
      <c r="E70" s="300"/>
      <c r="F70" s="300"/>
      <c r="G70" s="300"/>
      <c r="H70" s="300"/>
      <c r="I70" s="300"/>
      <c r="J70" s="300"/>
      <c r="K70" s="300"/>
      <c r="L70" s="300"/>
      <c r="M70" s="300"/>
      <c r="N70" s="300"/>
      <c r="O70" s="300"/>
      <c r="P70" s="300"/>
      <c r="Q70" s="300"/>
      <c r="R70" s="300"/>
      <c r="S70" s="300"/>
      <c r="T70" s="300"/>
      <c r="U70" s="300"/>
      <c r="V70" s="300"/>
      <c r="W70" s="300"/>
      <c r="X70" s="300"/>
      <c r="Y70" s="300"/>
      <c r="Z70" s="300"/>
      <c r="AA70" s="300"/>
      <c r="AB70" s="300"/>
      <c r="AC70" s="300"/>
      <c r="AD70" s="300"/>
      <c r="AE70" s="300"/>
      <c r="AF70" s="300"/>
      <c r="AG70" s="300"/>
    </row>
    <row r="71" spans="2:33">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300"/>
      <c r="AE71" s="300"/>
      <c r="AF71" s="300"/>
      <c r="AG71" s="300"/>
    </row>
    <row r="72" spans="2:33">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300"/>
      <c r="AF72" s="300"/>
      <c r="AG72" s="300"/>
    </row>
    <row r="73" spans="2:33">
      <c r="B73" s="300"/>
      <c r="C73" s="300"/>
      <c r="D73" s="300"/>
      <c r="E73" s="300"/>
      <c r="F73" s="300"/>
      <c r="G73" s="300"/>
      <c r="H73" s="300"/>
      <c r="I73" s="300"/>
      <c r="J73" s="300"/>
      <c r="K73" s="300"/>
      <c r="L73" s="300"/>
      <c r="M73" s="300"/>
      <c r="N73" s="300"/>
      <c r="O73" s="300"/>
      <c r="P73" s="300"/>
      <c r="Q73" s="300"/>
      <c r="R73" s="300"/>
      <c r="S73" s="300"/>
      <c r="T73" s="300"/>
      <c r="U73" s="300"/>
      <c r="V73" s="300"/>
      <c r="W73" s="300"/>
      <c r="X73" s="300"/>
      <c r="Y73" s="300"/>
      <c r="Z73" s="300"/>
      <c r="AA73" s="300"/>
      <c r="AB73" s="300"/>
      <c r="AC73" s="300"/>
      <c r="AD73" s="300"/>
      <c r="AE73" s="300"/>
      <c r="AF73" s="300"/>
      <c r="AG73" s="300"/>
    </row>
    <row r="74" spans="2:33">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300"/>
      <c r="AF74" s="300"/>
      <c r="AG74" s="300"/>
    </row>
    <row r="75" spans="2:33">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0"/>
      <c r="AB75" s="300"/>
      <c r="AC75" s="300"/>
      <c r="AD75" s="300"/>
      <c r="AE75" s="300"/>
      <c r="AF75" s="300"/>
      <c r="AG75" s="300"/>
    </row>
    <row r="76" spans="2:33">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c r="AF76" s="300"/>
      <c r="AG76" s="300"/>
    </row>
    <row r="77" spans="2:33">
      <c r="B77" s="300"/>
      <c r="C77" s="300"/>
      <c r="D77" s="300"/>
      <c r="E77" s="300"/>
      <c r="F77" s="300"/>
      <c r="G77" s="300"/>
      <c r="H77" s="300"/>
      <c r="I77" s="300"/>
      <c r="J77" s="300"/>
      <c r="K77" s="300"/>
      <c r="L77" s="300"/>
      <c r="M77" s="300"/>
      <c r="N77" s="300"/>
      <c r="O77" s="300"/>
      <c r="P77" s="300"/>
      <c r="Q77" s="300"/>
      <c r="R77" s="300"/>
      <c r="S77" s="300"/>
      <c r="T77" s="300"/>
      <c r="U77" s="300"/>
      <c r="V77" s="300"/>
      <c r="W77" s="300"/>
      <c r="X77" s="300"/>
      <c r="Y77" s="300"/>
      <c r="Z77" s="300"/>
      <c r="AA77" s="300"/>
      <c r="AB77" s="300"/>
      <c r="AC77" s="300"/>
      <c r="AD77" s="300"/>
      <c r="AE77" s="300"/>
      <c r="AF77" s="300"/>
      <c r="AG77" s="300"/>
    </row>
    <row r="78" spans="2:33">
      <c r="B78" s="300"/>
      <c r="C78" s="300"/>
      <c r="D78" s="300"/>
      <c r="E78" s="300"/>
      <c r="F78" s="300"/>
      <c r="G78" s="300"/>
      <c r="H78" s="300"/>
      <c r="I78" s="300"/>
      <c r="J78" s="300"/>
      <c r="K78" s="300"/>
      <c r="L78" s="300"/>
      <c r="M78" s="300"/>
      <c r="N78" s="300"/>
      <c r="O78" s="300"/>
      <c r="P78" s="300"/>
      <c r="Q78" s="300"/>
      <c r="R78" s="300"/>
      <c r="S78" s="300"/>
      <c r="T78" s="300"/>
      <c r="U78" s="300"/>
      <c r="V78" s="300"/>
      <c r="W78" s="300"/>
      <c r="X78" s="300"/>
      <c r="Y78" s="300"/>
      <c r="Z78" s="300"/>
      <c r="AA78" s="300"/>
      <c r="AB78" s="300"/>
      <c r="AC78" s="300"/>
      <c r="AD78" s="300"/>
      <c r="AE78" s="300"/>
      <c r="AF78" s="300"/>
      <c r="AG78" s="300"/>
    </row>
    <row r="79" spans="2:33">
      <c r="B79" s="300"/>
      <c r="C79" s="300"/>
      <c r="D79" s="300"/>
      <c r="E79" s="300"/>
      <c r="F79" s="300"/>
      <c r="G79" s="300"/>
      <c r="H79" s="300"/>
      <c r="I79" s="300"/>
      <c r="J79" s="300"/>
      <c r="K79" s="300"/>
      <c r="L79" s="300"/>
      <c r="M79" s="300"/>
      <c r="N79" s="300"/>
      <c r="O79" s="300"/>
      <c r="P79" s="300"/>
      <c r="Q79" s="300"/>
      <c r="R79" s="300"/>
      <c r="S79" s="300"/>
      <c r="T79" s="300"/>
      <c r="U79" s="300"/>
      <c r="V79" s="300"/>
      <c r="W79" s="300"/>
      <c r="X79" s="300"/>
      <c r="Y79" s="300"/>
      <c r="Z79" s="300"/>
      <c r="AA79" s="300"/>
      <c r="AB79" s="300"/>
      <c r="AC79" s="300"/>
      <c r="AD79" s="300"/>
      <c r="AE79" s="300"/>
      <c r="AF79" s="300"/>
      <c r="AG79" s="300"/>
    </row>
    <row r="80" spans="2:33">
      <c r="B80" s="300"/>
      <c r="C80" s="300"/>
      <c r="D80" s="300"/>
      <c r="E80" s="300"/>
      <c r="F80" s="300"/>
      <c r="G80" s="300"/>
      <c r="H80" s="300"/>
      <c r="I80" s="300"/>
      <c r="J80" s="300"/>
      <c r="K80" s="300"/>
      <c r="L80" s="300"/>
      <c r="M80" s="300"/>
      <c r="N80" s="300"/>
      <c r="O80" s="300"/>
      <c r="P80" s="300"/>
      <c r="Q80" s="300"/>
      <c r="R80" s="300"/>
      <c r="S80" s="300"/>
      <c r="T80" s="300"/>
      <c r="U80" s="300"/>
      <c r="V80" s="300"/>
      <c r="W80" s="300"/>
      <c r="X80" s="300"/>
      <c r="Y80" s="300"/>
      <c r="Z80" s="300"/>
      <c r="AA80" s="300"/>
      <c r="AB80" s="300"/>
      <c r="AC80" s="300"/>
      <c r="AD80" s="300"/>
      <c r="AE80" s="300"/>
      <c r="AF80" s="300"/>
      <c r="AG80" s="300"/>
    </row>
    <row r="81" spans="2:33">
      <c r="B81" s="300"/>
      <c r="C81" s="300"/>
      <c r="D81" s="300"/>
      <c r="E81" s="300"/>
      <c r="F81" s="300"/>
      <c r="G81" s="300"/>
      <c r="H81" s="300"/>
      <c r="I81" s="300"/>
      <c r="J81" s="300"/>
      <c r="K81" s="300"/>
      <c r="L81" s="300"/>
      <c r="M81" s="300"/>
      <c r="N81" s="300"/>
      <c r="O81" s="300"/>
      <c r="P81" s="300"/>
      <c r="Q81" s="300"/>
      <c r="R81" s="300"/>
      <c r="S81" s="300"/>
      <c r="T81" s="300"/>
      <c r="U81" s="300"/>
      <c r="V81" s="300"/>
      <c r="W81" s="300"/>
      <c r="X81" s="300"/>
      <c r="Y81" s="300"/>
      <c r="Z81" s="300"/>
      <c r="AA81" s="300"/>
      <c r="AB81" s="300"/>
      <c r="AC81" s="300"/>
      <c r="AD81" s="300"/>
      <c r="AE81" s="300"/>
      <c r="AF81" s="300"/>
      <c r="AG81" s="300"/>
    </row>
    <row r="82" spans="2:33">
      <c r="B82" s="300"/>
      <c r="C82" s="300"/>
      <c r="D82" s="300"/>
      <c r="E82" s="300"/>
      <c r="F82" s="300"/>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300"/>
      <c r="AE82" s="300"/>
      <c r="AF82" s="300"/>
      <c r="AG82" s="300"/>
    </row>
    <row r="83" spans="2:33">
      <c r="B83" s="300"/>
      <c r="C83" s="300"/>
      <c r="D83" s="300"/>
      <c r="E83" s="300"/>
      <c r="F83" s="300"/>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300"/>
      <c r="AE83" s="300"/>
      <c r="AF83" s="300"/>
      <c r="AG83" s="300"/>
    </row>
    <row r="84" spans="2:33">
      <c r="B84" s="300"/>
      <c r="C84" s="300"/>
      <c r="D84" s="300"/>
      <c r="E84" s="300"/>
      <c r="F84" s="300"/>
      <c r="G84" s="300"/>
      <c r="H84" s="300"/>
      <c r="I84" s="300"/>
      <c r="J84" s="300"/>
      <c r="K84" s="300"/>
      <c r="L84" s="300"/>
      <c r="M84" s="300"/>
      <c r="N84" s="300"/>
      <c r="O84" s="300"/>
      <c r="P84" s="300"/>
      <c r="Q84" s="300"/>
      <c r="R84" s="300"/>
      <c r="S84" s="300"/>
      <c r="T84" s="300"/>
      <c r="U84" s="300"/>
      <c r="V84" s="300"/>
      <c r="W84" s="300"/>
      <c r="X84" s="300"/>
      <c r="Y84" s="300"/>
      <c r="Z84" s="300"/>
      <c r="AA84" s="300"/>
      <c r="AB84" s="300"/>
      <c r="AC84" s="300"/>
      <c r="AD84" s="300"/>
      <c r="AE84" s="300"/>
      <c r="AF84" s="300"/>
      <c r="AG84" s="300"/>
    </row>
    <row r="85" spans="2:33">
      <c r="B85" s="300"/>
      <c r="C85" s="300"/>
      <c r="D85" s="300"/>
      <c r="E85" s="300"/>
      <c r="F85" s="300"/>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300"/>
      <c r="AF85" s="300"/>
      <c r="AG85" s="300"/>
    </row>
    <row r="86" spans="2:33">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300"/>
      <c r="AF86" s="300"/>
      <c r="AG86" s="300"/>
    </row>
    <row r="87" spans="2:33">
      <c r="B87" s="300"/>
      <c r="C87" s="300"/>
      <c r="D87" s="300"/>
      <c r="E87" s="300"/>
      <c r="F87" s="300"/>
      <c r="G87" s="300"/>
      <c r="H87" s="300"/>
      <c r="I87" s="300"/>
      <c r="J87" s="300"/>
      <c r="K87" s="300"/>
      <c r="L87" s="300"/>
      <c r="M87" s="300"/>
      <c r="N87" s="300"/>
      <c r="O87" s="300"/>
      <c r="P87" s="300"/>
      <c r="Q87" s="300"/>
      <c r="R87" s="300"/>
      <c r="S87" s="300"/>
      <c r="T87" s="300"/>
      <c r="U87" s="300"/>
      <c r="V87" s="300"/>
      <c r="W87" s="300"/>
      <c r="X87" s="300"/>
      <c r="Y87" s="300"/>
      <c r="Z87" s="300"/>
      <c r="AA87" s="300"/>
      <c r="AB87" s="300"/>
      <c r="AC87" s="300"/>
      <c r="AD87" s="300"/>
      <c r="AE87" s="300"/>
      <c r="AF87" s="300"/>
      <c r="AG87" s="300"/>
    </row>
    <row r="88" spans="2:33">
      <c r="B88" s="300"/>
      <c r="C88" s="300"/>
      <c r="D88" s="300"/>
      <c r="E88" s="300"/>
      <c r="F88" s="300"/>
      <c r="G88" s="300"/>
      <c r="H88" s="300"/>
      <c r="I88" s="300"/>
      <c r="J88" s="300"/>
      <c r="K88" s="300"/>
      <c r="L88" s="300"/>
      <c r="M88" s="300"/>
      <c r="N88" s="300"/>
      <c r="O88" s="300"/>
      <c r="P88" s="300"/>
      <c r="Q88" s="300"/>
      <c r="R88" s="300"/>
      <c r="S88" s="300"/>
      <c r="T88" s="300"/>
      <c r="U88" s="300"/>
      <c r="V88" s="300"/>
      <c r="W88" s="300"/>
      <c r="X88" s="300"/>
      <c r="Y88" s="300"/>
      <c r="Z88" s="300"/>
      <c r="AA88" s="300"/>
      <c r="AB88" s="300"/>
      <c r="AC88" s="300"/>
      <c r="AD88" s="300"/>
      <c r="AE88" s="300"/>
      <c r="AF88" s="300"/>
      <c r="AG88" s="300"/>
    </row>
    <row r="89" spans="2:33">
      <c r="B89" s="300"/>
      <c r="C89" s="300"/>
      <c r="D89" s="300"/>
      <c r="E89" s="300"/>
      <c r="F89" s="300"/>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300"/>
    </row>
    <row r="90" spans="2:33">
      <c r="B90" s="300"/>
      <c r="C90" s="300"/>
      <c r="D90" s="300"/>
      <c r="E90" s="300"/>
      <c r="F90" s="300"/>
      <c r="G90" s="300"/>
      <c r="H90" s="300"/>
      <c r="I90" s="300"/>
      <c r="J90" s="300"/>
      <c r="K90" s="300"/>
      <c r="L90" s="300"/>
      <c r="M90" s="300"/>
      <c r="N90" s="300"/>
      <c r="O90" s="300"/>
      <c r="P90" s="300"/>
      <c r="Q90" s="300"/>
      <c r="R90" s="300"/>
      <c r="S90" s="300"/>
      <c r="T90" s="300"/>
      <c r="U90" s="300"/>
      <c r="V90" s="300"/>
      <c r="W90" s="300"/>
      <c r="X90" s="300"/>
      <c r="Y90" s="300"/>
      <c r="Z90" s="300"/>
      <c r="AA90" s="300"/>
      <c r="AB90" s="300"/>
      <c r="AC90" s="300"/>
      <c r="AD90" s="300"/>
      <c r="AE90" s="300"/>
      <c r="AF90" s="300"/>
      <c r="AG90" s="300"/>
    </row>
    <row r="91" spans="2:33">
      <c r="B91" s="300"/>
      <c r="C91" s="300"/>
      <c r="D91" s="300"/>
      <c r="E91" s="300"/>
      <c r="F91" s="300"/>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c r="AE91" s="300"/>
      <c r="AF91" s="300"/>
      <c r="AG91" s="300"/>
    </row>
    <row r="92" spans="2:33">
      <c r="B92" s="300"/>
      <c r="C92" s="300"/>
      <c r="D92" s="300"/>
      <c r="E92" s="300"/>
      <c r="F92" s="300"/>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c r="AE92" s="300"/>
      <c r="AF92" s="300"/>
      <c r="AG92" s="300"/>
    </row>
    <row r="93" spans="2:33">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F93" s="300"/>
      <c r="AG93" s="300"/>
    </row>
    <row r="94" spans="2:33">
      <c r="B94" s="300"/>
      <c r="C94" s="300"/>
      <c r="D94" s="300"/>
      <c r="E94" s="300"/>
      <c r="F94" s="300"/>
      <c r="G94" s="300"/>
      <c r="H94" s="300"/>
      <c r="I94" s="300"/>
      <c r="J94" s="300"/>
      <c r="K94" s="300"/>
      <c r="L94" s="300"/>
      <c r="M94" s="300"/>
      <c r="N94" s="300"/>
      <c r="O94" s="300"/>
      <c r="P94" s="300"/>
      <c r="Q94" s="300"/>
      <c r="R94" s="300"/>
      <c r="S94" s="300"/>
      <c r="T94" s="300"/>
      <c r="U94" s="300"/>
      <c r="V94" s="300"/>
      <c r="W94" s="300"/>
      <c r="X94" s="300"/>
      <c r="Y94" s="300"/>
      <c r="Z94" s="300"/>
      <c r="AA94" s="300"/>
      <c r="AB94" s="300"/>
      <c r="AC94" s="300"/>
      <c r="AD94" s="300"/>
      <c r="AE94" s="300"/>
      <c r="AF94" s="300"/>
      <c r="AG94" s="300"/>
    </row>
    <row r="95" spans="2:33">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300"/>
      <c r="AF95" s="300"/>
      <c r="AG95" s="300"/>
    </row>
    <row r="96" spans="2:33">
      <c r="B96" s="300"/>
      <c r="C96" s="300"/>
      <c r="D96" s="300"/>
      <c r="E96" s="300"/>
      <c r="F96" s="300"/>
      <c r="G96" s="300"/>
      <c r="H96" s="300"/>
      <c r="I96" s="300"/>
      <c r="J96" s="300"/>
      <c r="K96" s="300"/>
      <c r="L96" s="300"/>
      <c r="M96" s="300"/>
      <c r="N96" s="300"/>
      <c r="O96" s="300"/>
      <c r="P96" s="300"/>
      <c r="Q96" s="300"/>
      <c r="R96" s="300"/>
      <c r="S96" s="300"/>
      <c r="T96" s="300"/>
      <c r="U96" s="300"/>
      <c r="V96" s="300"/>
      <c r="W96" s="300"/>
      <c r="X96" s="300"/>
      <c r="Y96" s="300"/>
      <c r="Z96" s="300"/>
      <c r="AA96" s="300"/>
      <c r="AB96" s="300"/>
      <c r="AC96" s="300"/>
      <c r="AD96" s="300"/>
      <c r="AE96" s="300"/>
      <c r="AF96" s="300"/>
      <c r="AG96" s="300"/>
    </row>
    <row r="97" spans="2:33">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300"/>
      <c r="AF97" s="300"/>
      <c r="AG97" s="300"/>
    </row>
    <row r="98" spans="2:33">
      <c r="B98" s="300"/>
      <c r="C98" s="300"/>
      <c r="D98" s="300"/>
      <c r="E98" s="300"/>
      <c r="F98" s="300"/>
      <c r="G98" s="300"/>
      <c r="H98" s="300"/>
      <c r="I98" s="300"/>
      <c r="J98" s="300"/>
      <c r="K98" s="300"/>
      <c r="L98" s="300"/>
      <c r="M98" s="300"/>
      <c r="N98" s="300"/>
      <c r="O98" s="300"/>
      <c r="P98" s="300"/>
      <c r="Q98" s="300"/>
      <c r="R98" s="300"/>
      <c r="S98" s="300"/>
      <c r="T98" s="300"/>
      <c r="U98" s="300"/>
      <c r="V98" s="300"/>
      <c r="W98" s="300"/>
      <c r="X98" s="300"/>
      <c r="Y98" s="300"/>
      <c r="Z98" s="300"/>
      <c r="AA98" s="300"/>
      <c r="AB98" s="300"/>
      <c r="AC98" s="300"/>
      <c r="AD98" s="300"/>
      <c r="AE98" s="300"/>
      <c r="AF98" s="300"/>
      <c r="AG98" s="300"/>
    </row>
    <row r="99" spans="2:33">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c r="AF99" s="300"/>
      <c r="AG99" s="300"/>
    </row>
    <row r="100" spans="2:33">
      <c r="B100" s="300"/>
      <c r="C100" s="300"/>
      <c r="D100" s="300"/>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0"/>
      <c r="AA100" s="300"/>
      <c r="AB100" s="300"/>
      <c r="AC100" s="300"/>
      <c r="AD100" s="300"/>
      <c r="AE100" s="300"/>
      <c r="AF100" s="300"/>
      <c r="AG100" s="300"/>
    </row>
    <row r="101" spans="2:33">
      <c r="B101" s="300"/>
      <c r="C101" s="300"/>
      <c r="D101" s="300"/>
      <c r="E101" s="300"/>
      <c r="F101" s="300"/>
      <c r="G101" s="300"/>
      <c r="H101" s="300"/>
      <c r="I101" s="300"/>
      <c r="J101" s="300"/>
      <c r="K101" s="300"/>
      <c r="L101" s="300"/>
      <c r="M101" s="300"/>
      <c r="N101" s="300"/>
      <c r="O101" s="300"/>
      <c r="P101" s="300"/>
      <c r="Q101" s="300"/>
      <c r="R101" s="300"/>
      <c r="S101" s="300"/>
      <c r="T101" s="300"/>
      <c r="U101" s="300"/>
      <c r="V101" s="300"/>
      <c r="W101" s="300"/>
      <c r="X101" s="300"/>
      <c r="Y101" s="300"/>
      <c r="Z101" s="300"/>
      <c r="AA101" s="300"/>
      <c r="AB101" s="300"/>
      <c r="AC101" s="300"/>
      <c r="AD101" s="300"/>
      <c r="AE101" s="300"/>
      <c r="AF101" s="300"/>
      <c r="AG101" s="300"/>
    </row>
    <row r="102" spans="2:33">
      <c r="B102" s="300"/>
      <c r="C102" s="300"/>
      <c r="D102" s="300"/>
      <c r="E102" s="300"/>
      <c r="F102" s="300"/>
      <c r="G102" s="300"/>
      <c r="H102" s="300"/>
      <c r="I102" s="300"/>
      <c r="J102" s="300"/>
      <c r="K102" s="300"/>
      <c r="L102" s="300"/>
      <c r="M102" s="300"/>
      <c r="N102" s="300"/>
      <c r="O102" s="300"/>
      <c r="P102" s="300"/>
      <c r="Q102" s="300"/>
      <c r="R102" s="300"/>
      <c r="S102" s="300"/>
      <c r="T102" s="300"/>
      <c r="U102" s="300"/>
      <c r="V102" s="300"/>
      <c r="W102" s="300"/>
      <c r="X102" s="300"/>
      <c r="Y102" s="300"/>
      <c r="Z102" s="300"/>
      <c r="AA102" s="300"/>
      <c r="AB102" s="300"/>
      <c r="AC102" s="300"/>
      <c r="AD102" s="300"/>
      <c r="AE102" s="300"/>
      <c r="AF102" s="300"/>
      <c r="AG102" s="300"/>
    </row>
    <row r="103" spans="2:33">
      <c r="B103" s="300"/>
      <c r="C103" s="300"/>
      <c r="D103" s="300"/>
      <c r="E103" s="300"/>
      <c r="F103" s="300"/>
      <c r="G103" s="300"/>
      <c r="H103" s="300"/>
      <c r="I103" s="300"/>
      <c r="J103" s="300"/>
      <c r="K103" s="300"/>
      <c r="L103" s="300"/>
      <c r="M103" s="300"/>
      <c r="N103" s="300"/>
      <c r="O103" s="300"/>
      <c r="P103" s="300"/>
      <c r="Q103" s="300"/>
      <c r="R103" s="300"/>
      <c r="S103" s="300"/>
      <c r="T103" s="300"/>
      <c r="U103" s="300"/>
      <c r="V103" s="300"/>
      <c r="W103" s="300"/>
      <c r="X103" s="300"/>
      <c r="Y103" s="300"/>
      <c r="Z103" s="300"/>
      <c r="AA103" s="300"/>
      <c r="AB103" s="300"/>
      <c r="AC103" s="300"/>
      <c r="AD103" s="300"/>
      <c r="AE103" s="300"/>
      <c r="AF103" s="300"/>
      <c r="AG103" s="300"/>
    </row>
    <row r="104" spans="2:33">
      <c r="B104" s="300"/>
      <c r="C104" s="300"/>
      <c r="D104" s="300"/>
      <c r="E104" s="300"/>
      <c r="F104" s="300"/>
      <c r="G104" s="300"/>
      <c r="H104" s="300"/>
      <c r="I104" s="300"/>
      <c r="J104" s="300"/>
      <c r="K104" s="300"/>
      <c r="L104" s="300"/>
      <c r="M104" s="300"/>
      <c r="N104" s="300"/>
      <c r="O104" s="300"/>
      <c r="P104" s="300"/>
      <c r="Q104" s="300"/>
      <c r="R104" s="300"/>
      <c r="S104" s="300"/>
      <c r="T104" s="300"/>
      <c r="U104" s="300"/>
      <c r="V104" s="300"/>
      <c r="W104" s="300"/>
      <c r="X104" s="300"/>
      <c r="Y104" s="300"/>
      <c r="Z104" s="300"/>
      <c r="AA104" s="300"/>
      <c r="AB104" s="300"/>
      <c r="AC104" s="300"/>
      <c r="AD104" s="300"/>
      <c r="AE104" s="300"/>
      <c r="AF104" s="300"/>
      <c r="AG104" s="300"/>
    </row>
    <row r="105" spans="2:33">
      <c r="B105" s="300"/>
      <c r="C105" s="300"/>
      <c r="D105" s="300"/>
      <c r="E105" s="300"/>
      <c r="F105" s="300"/>
      <c r="G105" s="300"/>
      <c r="H105" s="300"/>
      <c r="I105" s="300"/>
      <c r="J105" s="300"/>
      <c r="K105" s="300"/>
      <c r="L105" s="300"/>
      <c r="M105" s="300"/>
      <c r="N105" s="300"/>
      <c r="O105" s="300"/>
      <c r="P105" s="300"/>
      <c r="Q105" s="300"/>
      <c r="R105" s="300"/>
      <c r="S105" s="300"/>
      <c r="T105" s="300"/>
      <c r="U105" s="300"/>
      <c r="V105" s="300"/>
      <c r="W105" s="300"/>
      <c r="X105" s="300"/>
      <c r="Y105" s="300"/>
      <c r="Z105" s="300"/>
      <c r="AA105" s="300"/>
      <c r="AB105" s="300"/>
      <c r="AC105" s="300"/>
      <c r="AD105" s="300"/>
      <c r="AE105" s="300"/>
      <c r="AF105" s="300"/>
      <c r="AG105" s="300"/>
    </row>
    <row r="106" spans="2:33">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300"/>
      <c r="AF106" s="300"/>
      <c r="AG106" s="300"/>
    </row>
    <row r="107" spans="2:33">
      <c r="B107" s="300"/>
      <c r="C107" s="300"/>
      <c r="D107" s="300"/>
      <c r="E107" s="300"/>
      <c r="F107" s="300"/>
      <c r="G107" s="300"/>
      <c r="H107" s="300"/>
      <c r="I107" s="300"/>
      <c r="J107" s="300"/>
      <c r="K107" s="300"/>
      <c r="L107" s="300"/>
      <c r="M107" s="300"/>
      <c r="N107" s="300"/>
      <c r="O107" s="300"/>
      <c r="P107" s="300"/>
      <c r="Q107" s="300"/>
      <c r="R107" s="300"/>
      <c r="S107" s="300"/>
      <c r="T107" s="300"/>
      <c r="U107" s="300"/>
      <c r="V107" s="300"/>
      <c r="W107" s="300"/>
      <c r="X107" s="300"/>
      <c r="Y107" s="300"/>
      <c r="Z107" s="300"/>
      <c r="AA107" s="300"/>
      <c r="AB107" s="300"/>
      <c r="AC107" s="300"/>
      <c r="AD107" s="300"/>
      <c r="AE107" s="300"/>
      <c r="AF107" s="300"/>
      <c r="AG107" s="300"/>
    </row>
    <row r="108" spans="2:33">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c r="AE108" s="300"/>
      <c r="AF108" s="300"/>
      <c r="AG108" s="300"/>
    </row>
    <row r="109" spans="2:33">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0"/>
      <c r="Z109" s="300"/>
      <c r="AA109" s="300"/>
      <c r="AB109" s="300"/>
      <c r="AC109" s="300"/>
      <c r="AD109" s="300"/>
      <c r="AE109" s="300"/>
      <c r="AF109" s="300"/>
      <c r="AG109" s="300"/>
    </row>
    <row r="110" spans="2:33">
      <c r="B110" s="300"/>
      <c r="C110" s="300"/>
      <c r="D110" s="300"/>
      <c r="E110" s="300"/>
      <c r="F110" s="300"/>
      <c r="G110" s="300"/>
      <c r="H110" s="300"/>
      <c r="I110" s="300"/>
      <c r="J110" s="300"/>
      <c r="K110" s="300"/>
      <c r="L110" s="300"/>
      <c r="M110" s="300"/>
      <c r="N110" s="300"/>
      <c r="O110" s="300"/>
      <c r="P110" s="300"/>
      <c r="Q110" s="300"/>
      <c r="R110" s="300"/>
      <c r="S110" s="300"/>
      <c r="T110" s="300"/>
      <c r="U110" s="300"/>
      <c r="V110" s="300"/>
      <c r="W110" s="300"/>
      <c r="X110" s="300"/>
      <c r="Y110" s="300"/>
      <c r="Z110" s="300"/>
      <c r="AA110" s="300"/>
      <c r="AB110" s="300"/>
      <c r="AC110" s="300"/>
      <c r="AD110" s="300"/>
      <c r="AE110" s="300"/>
      <c r="AF110" s="300"/>
      <c r="AG110" s="300"/>
    </row>
    <row r="111" spans="2:33">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300"/>
      <c r="AF111" s="300"/>
      <c r="AG111" s="300"/>
    </row>
    <row r="112" spans="2:33">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0"/>
      <c r="Z112" s="300"/>
      <c r="AA112" s="300"/>
      <c r="AB112" s="300"/>
      <c r="AC112" s="300"/>
      <c r="AD112" s="300"/>
      <c r="AE112" s="300"/>
      <c r="AF112" s="300"/>
      <c r="AG112" s="300"/>
    </row>
    <row r="113" spans="2:33">
      <c r="B113" s="300"/>
      <c r="C113" s="300"/>
      <c r="D113" s="300"/>
      <c r="E113" s="300"/>
      <c r="F113" s="300"/>
      <c r="G113" s="300"/>
      <c r="H113" s="300"/>
      <c r="I113" s="300"/>
      <c r="J113" s="300"/>
      <c r="K113" s="300"/>
      <c r="L113" s="300"/>
      <c r="M113" s="300"/>
      <c r="N113" s="300"/>
      <c r="O113" s="300"/>
      <c r="P113" s="300"/>
      <c r="Q113" s="300"/>
      <c r="R113" s="300"/>
      <c r="S113" s="300"/>
      <c r="T113" s="300"/>
      <c r="U113" s="300"/>
      <c r="V113" s="300"/>
      <c r="W113" s="300"/>
      <c r="X113" s="300"/>
      <c r="Y113" s="300"/>
      <c r="Z113" s="300"/>
      <c r="AA113" s="300"/>
      <c r="AB113" s="300"/>
      <c r="AC113" s="300"/>
      <c r="AD113" s="300"/>
      <c r="AE113" s="300"/>
      <c r="AF113" s="300"/>
      <c r="AG113" s="300"/>
    </row>
    <row r="114" spans="2:33">
      <c r="B114" s="300"/>
      <c r="C114" s="300"/>
      <c r="D114" s="300"/>
      <c r="E114" s="300"/>
      <c r="F114" s="300"/>
      <c r="G114" s="300"/>
      <c r="H114" s="300"/>
      <c r="I114" s="300"/>
      <c r="J114" s="300"/>
      <c r="K114" s="300"/>
      <c r="L114" s="300"/>
      <c r="M114" s="300"/>
      <c r="N114" s="300"/>
      <c r="O114" s="300"/>
      <c r="P114" s="300"/>
      <c r="Q114" s="300"/>
      <c r="R114" s="300"/>
      <c r="S114" s="300"/>
      <c r="T114" s="300"/>
      <c r="U114" s="300"/>
      <c r="V114" s="300"/>
      <c r="W114" s="300"/>
      <c r="X114" s="300"/>
      <c r="Y114" s="300"/>
      <c r="Z114" s="300"/>
      <c r="AA114" s="300"/>
      <c r="AB114" s="300"/>
      <c r="AC114" s="300"/>
      <c r="AD114" s="300"/>
      <c r="AE114" s="300"/>
      <c r="AF114" s="300"/>
      <c r="AG114" s="300"/>
    </row>
    <row r="115" spans="2:33">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300"/>
      <c r="AF115" s="300"/>
      <c r="AG115" s="300"/>
    </row>
    <row r="116" spans="2:33">
      <c r="B116" s="300"/>
      <c r="C116" s="300"/>
      <c r="D116" s="300"/>
      <c r="E116" s="300"/>
      <c r="F116" s="300"/>
      <c r="G116" s="300"/>
      <c r="H116" s="300"/>
      <c r="I116" s="300"/>
      <c r="J116" s="300"/>
      <c r="K116" s="300"/>
      <c r="L116" s="300"/>
      <c r="M116" s="300"/>
      <c r="N116" s="300"/>
      <c r="O116" s="300"/>
      <c r="P116" s="300"/>
      <c r="Q116" s="300"/>
      <c r="R116" s="300"/>
      <c r="S116" s="300"/>
      <c r="T116" s="300"/>
      <c r="U116" s="300"/>
      <c r="V116" s="300"/>
      <c r="W116" s="300"/>
      <c r="X116" s="300"/>
      <c r="Y116" s="300"/>
      <c r="Z116" s="300"/>
      <c r="AA116" s="300"/>
      <c r="AB116" s="300"/>
      <c r="AC116" s="300"/>
      <c r="AD116" s="300"/>
      <c r="AE116" s="300"/>
      <c r="AF116" s="300"/>
      <c r="AG116" s="300"/>
    </row>
    <row r="117" spans="2:33">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300"/>
      <c r="AE117" s="300"/>
      <c r="AF117" s="300"/>
      <c r="AG117" s="300"/>
    </row>
    <row r="118" spans="2:33">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300"/>
      <c r="AE118" s="300"/>
      <c r="AF118" s="300"/>
      <c r="AG118" s="300"/>
    </row>
    <row r="119" spans="2:33">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300"/>
      <c r="AE119" s="300"/>
      <c r="AF119" s="300"/>
      <c r="AG119" s="300"/>
    </row>
    <row r="120" spans="2:33">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300"/>
      <c r="AF120" s="300"/>
      <c r="AG120" s="300"/>
    </row>
    <row r="121" spans="2:33">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300"/>
      <c r="AF121" s="300"/>
      <c r="AG121" s="300"/>
    </row>
    <row r="122" spans="2:33">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300"/>
      <c r="AE122" s="300"/>
      <c r="AF122" s="300"/>
      <c r="AG122" s="300"/>
    </row>
    <row r="123" spans="2:33">
      <c r="B123" s="300"/>
      <c r="C123" s="300"/>
      <c r="D123" s="300"/>
      <c r="E123" s="300"/>
      <c r="F123" s="300"/>
      <c r="G123" s="300"/>
      <c r="H123" s="300"/>
      <c r="I123" s="300"/>
      <c r="J123" s="300"/>
      <c r="K123" s="300"/>
      <c r="L123" s="300"/>
      <c r="M123" s="300"/>
      <c r="N123" s="300"/>
      <c r="O123" s="300"/>
      <c r="P123" s="300"/>
      <c r="Q123" s="300"/>
      <c r="R123" s="300"/>
      <c r="S123" s="300"/>
      <c r="T123" s="300"/>
      <c r="U123" s="300"/>
      <c r="V123" s="300"/>
      <c r="W123" s="300"/>
      <c r="X123" s="300"/>
      <c r="Y123" s="300"/>
      <c r="Z123" s="300"/>
      <c r="AA123" s="300"/>
      <c r="AB123" s="300"/>
      <c r="AC123" s="300"/>
      <c r="AD123" s="300"/>
      <c r="AE123" s="300"/>
      <c r="AF123" s="300"/>
      <c r="AG123" s="300"/>
    </row>
    <row r="124" spans="2:33">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F124" s="300"/>
      <c r="AG124" s="300"/>
    </row>
    <row r="125" spans="2:33">
      <c r="B125" s="300"/>
      <c r="C125" s="300"/>
      <c r="D125" s="300"/>
      <c r="E125" s="300"/>
      <c r="F125" s="300"/>
      <c r="G125" s="300"/>
      <c r="H125" s="300"/>
      <c r="I125" s="300"/>
      <c r="J125" s="300"/>
      <c r="K125" s="300"/>
      <c r="L125" s="300"/>
      <c r="M125" s="300"/>
      <c r="N125" s="300"/>
      <c r="O125" s="300"/>
      <c r="P125" s="300"/>
      <c r="Q125" s="300"/>
      <c r="R125" s="300"/>
      <c r="S125" s="300"/>
      <c r="T125" s="300"/>
      <c r="U125" s="300"/>
      <c r="V125" s="300"/>
      <c r="W125" s="300"/>
      <c r="X125" s="300"/>
      <c r="Y125" s="300"/>
      <c r="Z125" s="300"/>
      <c r="AA125" s="300"/>
      <c r="AB125" s="300"/>
      <c r="AC125" s="300"/>
      <c r="AD125" s="300"/>
      <c r="AE125" s="300"/>
      <c r="AF125" s="300"/>
      <c r="AG125" s="300"/>
    </row>
    <row r="126" spans="2:33">
      <c r="B126" s="300"/>
      <c r="C126" s="300"/>
      <c r="D126" s="300"/>
      <c r="E126" s="300"/>
      <c r="F126" s="300"/>
      <c r="G126" s="300"/>
      <c r="H126" s="300"/>
      <c r="I126" s="300"/>
      <c r="J126" s="300"/>
      <c r="K126" s="300"/>
      <c r="L126" s="300"/>
      <c r="M126" s="300"/>
      <c r="N126" s="300"/>
      <c r="O126" s="300"/>
      <c r="P126" s="300"/>
      <c r="Q126" s="300"/>
      <c r="R126" s="300"/>
      <c r="S126" s="300"/>
      <c r="T126" s="300"/>
      <c r="U126" s="300"/>
      <c r="V126" s="300"/>
      <c r="W126" s="300"/>
      <c r="X126" s="300"/>
      <c r="Y126" s="300"/>
      <c r="Z126" s="300"/>
      <c r="AA126" s="300"/>
      <c r="AB126" s="300"/>
      <c r="AC126" s="300"/>
      <c r="AD126" s="300"/>
      <c r="AE126" s="300"/>
      <c r="AF126" s="300"/>
      <c r="AG126" s="300"/>
    </row>
    <row r="127" spans="2:33">
      <c r="B127" s="300"/>
      <c r="C127" s="300"/>
      <c r="D127" s="300"/>
      <c r="E127" s="300"/>
      <c r="F127" s="300"/>
      <c r="G127" s="300"/>
      <c r="H127" s="300"/>
      <c r="I127" s="300"/>
      <c r="J127" s="300"/>
      <c r="K127" s="300"/>
      <c r="L127" s="300"/>
      <c r="M127" s="300"/>
      <c r="N127" s="300"/>
      <c r="O127" s="300"/>
      <c r="P127" s="300"/>
      <c r="Q127" s="300"/>
      <c r="R127" s="300"/>
      <c r="S127" s="300"/>
      <c r="T127" s="300"/>
      <c r="U127" s="300"/>
      <c r="V127" s="300"/>
      <c r="W127" s="300"/>
      <c r="X127" s="300"/>
      <c r="Y127" s="300"/>
      <c r="Z127" s="300"/>
      <c r="AA127" s="300"/>
      <c r="AB127" s="300"/>
      <c r="AC127" s="300"/>
      <c r="AD127" s="300"/>
      <c r="AE127" s="300"/>
      <c r="AF127" s="300"/>
      <c r="AG127" s="300"/>
    </row>
    <row r="128" spans="2:33">
      <c r="B128" s="300"/>
      <c r="C128" s="300"/>
      <c r="D128" s="300"/>
      <c r="E128" s="300"/>
      <c r="F128" s="300"/>
      <c r="G128" s="300"/>
      <c r="H128" s="300"/>
      <c r="I128" s="300"/>
      <c r="J128" s="300"/>
      <c r="K128" s="300"/>
      <c r="L128" s="300"/>
      <c r="M128" s="300"/>
      <c r="N128" s="300"/>
      <c r="O128" s="300"/>
      <c r="P128" s="300"/>
      <c r="Q128" s="300"/>
      <c r="R128" s="300"/>
      <c r="S128" s="300"/>
      <c r="T128" s="300"/>
      <c r="U128" s="300"/>
      <c r="V128" s="300"/>
      <c r="W128" s="300"/>
      <c r="X128" s="300"/>
      <c r="Y128" s="300"/>
      <c r="Z128" s="300"/>
      <c r="AA128" s="300"/>
      <c r="AB128" s="300"/>
      <c r="AC128" s="300"/>
      <c r="AD128" s="300"/>
      <c r="AE128" s="300"/>
      <c r="AF128" s="300"/>
      <c r="AG128" s="300"/>
    </row>
    <row r="129" spans="2:33">
      <c r="B129" s="300"/>
      <c r="C129" s="300"/>
      <c r="D129" s="300"/>
      <c r="E129" s="300"/>
      <c r="F129" s="300"/>
      <c r="G129" s="300"/>
      <c r="H129" s="300"/>
      <c r="I129" s="300"/>
      <c r="J129" s="300"/>
      <c r="K129" s="300"/>
      <c r="L129" s="300"/>
      <c r="M129" s="300"/>
      <c r="N129" s="300"/>
      <c r="O129" s="300"/>
      <c r="P129" s="300"/>
      <c r="Q129" s="300"/>
      <c r="R129" s="300"/>
      <c r="S129" s="300"/>
      <c r="T129" s="300"/>
      <c r="U129" s="300"/>
      <c r="V129" s="300"/>
      <c r="W129" s="300"/>
      <c r="X129" s="300"/>
      <c r="Y129" s="300"/>
      <c r="Z129" s="300"/>
      <c r="AA129" s="300"/>
      <c r="AB129" s="300"/>
      <c r="AC129" s="300"/>
      <c r="AD129" s="300"/>
      <c r="AE129" s="300"/>
      <c r="AF129" s="300"/>
      <c r="AG129" s="300"/>
    </row>
    <row r="130" spans="2:33">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300"/>
      <c r="AF130" s="300"/>
      <c r="AG130" s="300"/>
    </row>
    <row r="131" spans="2:33">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300"/>
      <c r="AE131" s="300"/>
      <c r="AF131" s="300"/>
      <c r="AG131" s="300"/>
    </row>
    <row r="132" spans="2:33">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c r="AE132" s="300"/>
      <c r="AF132" s="300"/>
      <c r="AG132" s="300"/>
    </row>
    <row r="133" spans="2:33">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300"/>
      <c r="AE133" s="300"/>
      <c r="AF133" s="300"/>
      <c r="AG133" s="300"/>
    </row>
    <row r="134" spans="2:33">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300"/>
      <c r="AE134" s="300"/>
      <c r="AF134" s="300"/>
      <c r="AG134" s="300"/>
    </row>
    <row r="135" spans="2:33">
      <c r="B135" s="300"/>
      <c r="C135" s="300"/>
      <c r="D135" s="300"/>
      <c r="E135" s="300"/>
      <c r="F135" s="300"/>
      <c r="G135" s="300"/>
      <c r="H135" s="300"/>
      <c r="I135" s="300"/>
      <c r="J135" s="300"/>
      <c r="K135" s="300"/>
      <c r="L135" s="300"/>
      <c r="M135" s="300"/>
      <c r="N135" s="300"/>
      <c r="O135" s="300"/>
      <c r="P135" s="300"/>
      <c r="Q135" s="300"/>
      <c r="R135" s="300"/>
      <c r="S135" s="300"/>
      <c r="T135" s="300"/>
      <c r="U135" s="300"/>
      <c r="V135" s="300"/>
      <c r="W135" s="300"/>
      <c r="X135" s="300"/>
      <c r="Y135" s="300"/>
      <c r="Z135" s="300"/>
      <c r="AA135" s="300"/>
      <c r="AB135" s="300"/>
      <c r="AC135" s="300"/>
      <c r="AD135" s="300"/>
      <c r="AE135" s="300"/>
      <c r="AF135" s="300"/>
      <c r="AG135" s="300"/>
    </row>
    <row r="136" spans="2:33">
      <c r="B136" s="300"/>
      <c r="C136" s="300"/>
      <c r="D136" s="300"/>
      <c r="E136" s="300"/>
      <c r="F136" s="300"/>
      <c r="G136" s="300"/>
      <c r="H136" s="300"/>
      <c r="I136" s="300"/>
      <c r="J136" s="300"/>
      <c r="K136" s="300"/>
      <c r="L136" s="300"/>
      <c r="M136" s="300"/>
      <c r="N136" s="300"/>
      <c r="O136" s="300"/>
      <c r="P136" s="300"/>
      <c r="Q136" s="300"/>
      <c r="R136" s="300"/>
      <c r="S136" s="300"/>
      <c r="T136" s="300"/>
      <c r="U136" s="300"/>
      <c r="V136" s="300"/>
      <c r="W136" s="300"/>
      <c r="X136" s="300"/>
      <c r="Y136" s="300"/>
      <c r="Z136" s="300"/>
      <c r="AA136" s="300"/>
      <c r="AB136" s="300"/>
      <c r="AC136" s="300"/>
      <c r="AD136" s="300"/>
      <c r="AE136" s="300"/>
      <c r="AF136" s="300"/>
      <c r="AG136" s="300"/>
    </row>
    <row r="137" spans="2:33">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300"/>
      <c r="AE137" s="300"/>
      <c r="AF137" s="300"/>
      <c r="AG137" s="300"/>
    </row>
    <row r="138" spans="2:33">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300"/>
      <c r="AE138" s="300"/>
      <c r="AF138" s="300"/>
      <c r="AG138" s="300"/>
    </row>
    <row r="139" spans="2:33">
      <c r="B139" s="300"/>
      <c r="C139" s="300"/>
      <c r="D139" s="300"/>
      <c r="E139" s="300"/>
      <c r="F139" s="300"/>
      <c r="G139" s="300"/>
      <c r="H139" s="300"/>
      <c r="I139" s="300"/>
      <c r="J139" s="300"/>
      <c r="K139" s="300"/>
      <c r="L139" s="300"/>
      <c r="M139" s="300"/>
      <c r="N139" s="300"/>
      <c r="O139" s="300"/>
      <c r="P139" s="300"/>
      <c r="Q139" s="300"/>
      <c r="R139" s="300"/>
      <c r="S139" s="300"/>
      <c r="T139" s="300"/>
      <c r="U139" s="300"/>
      <c r="V139" s="300"/>
      <c r="W139" s="300"/>
      <c r="X139" s="300"/>
      <c r="Y139" s="300"/>
      <c r="Z139" s="300"/>
      <c r="AA139" s="300"/>
      <c r="AB139" s="300"/>
      <c r="AC139" s="300"/>
      <c r="AD139" s="300"/>
      <c r="AE139" s="300"/>
      <c r="AF139" s="300"/>
      <c r="AG139" s="300"/>
    </row>
    <row r="140" spans="2:33">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300"/>
      <c r="AF140" s="300"/>
      <c r="AG140" s="300"/>
    </row>
    <row r="141" spans="2:33">
      <c r="B141" s="300"/>
      <c r="C141" s="300"/>
      <c r="D141" s="300"/>
      <c r="E141" s="300"/>
      <c r="F141" s="300"/>
      <c r="G141" s="300"/>
      <c r="H141" s="300"/>
      <c r="I141" s="300"/>
      <c r="J141" s="300"/>
      <c r="K141" s="300"/>
      <c r="L141" s="300"/>
      <c r="M141" s="300"/>
      <c r="N141" s="300"/>
      <c r="O141" s="300"/>
      <c r="P141" s="300"/>
      <c r="Q141" s="300"/>
      <c r="R141" s="300"/>
      <c r="S141" s="300"/>
      <c r="T141" s="300"/>
      <c r="U141" s="300"/>
      <c r="V141" s="300"/>
      <c r="W141" s="300"/>
      <c r="X141" s="300"/>
      <c r="Y141" s="300"/>
      <c r="Z141" s="300"/>
      <c r="AA141" s="300"/>
      <c r="AB141" s="300"/>
      <c r="AC141" s="300"/>
      <c r="AD141" s="300"/>
      <c r="AE141" s="300"/>
      <c r="AF141" s="300"/>
      <c r="AG141" s="300"/>
    </row>
    <row r="142" spans="2:33">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300"/>
      <c r="AE142" s="300"/>
      <c r="AF142" s="300"/>
      <c r="AG142" s="300"/>
    </row>
    <row r="143" spans="2:33">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300"/>
      <c r="AF143" s="300"/>
      <c r="AG143" s="300"/>
    </row>
    <row r="144" spans="2:33">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300"/>
      <c r="AE144" s="300"/>
      <c r="AF144" s="300"/>
      <c r="AG144" s="300"/>
    </row>
    <row r="145" spans="2:33">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300"/>
      <c r="AE145" s="300"/>
      <c r="AF145" s="300"/>
      <c r="AG145" s="300"/>
    </row>
    <row r="146" spans="2:33">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300"/>
      <c r="AE146" s="300"/>
      <c r="AF146" s="300"/>
      <c r="AG146" s="300"/>
    </row>
    <row r="147" spans="2:33">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300"/>
      <c r="AE147" s="300"/>
      <c r="AF147" s="300"/>
      <c r="AG147" s="300"/>
    </row>
    <row r="148" spans="2:33">
      <c r="B148" s="300"/>
      <c r="C148" s="300"/>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row>
    <row r="149" spans="2:33">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300"/>
      <c r="AF149" s="300"/>
      <c r="AG149" s="300"/>
    </row>
    <row r="150" spans="2:33">
      <c r="B150" s="300"/>
      <c r="C150" s="300"/>
      <c r="D150" s="300"/>
      <c r="E150" s="300"/>
      <c r="F150" s="300"/>
      <c r="G150" s="300"/>
      <c r="H150" s="300"/>
      <c r="I150" s="300"/>
      <c r="J150" s="300"/>
      <c r="K150" s="300"/>
      <c r="L150" s="300"/>
      <c r="M150" s="300"/>
      <c r="N150" s="300"/>
      <c r="O150" s="300"/>
      <c r="P150" s="300"/>
      <c r="Q150" s="300"/>
      <c r="R150" s="300"/>
      <c r="S150" s="300"/>
      <c r="T150" s="300"/>
      <c r="U150" s="300"/>
      <c r="V150" s="300"/>
      <c r="W150" s="300"/>
      <c r="X150" s="300"/>
      <c r="Y150" s="300"/>
      <c r="Z150" s="300"/>
      <c r="AA150" s="300"/>
      <c r="AB150" s="300"/>
      <c r="AC150" s="300"/>
      <c r="AD150" s="300"/>
      <c r="AE150" s="300"/>
      <c r="AF150" s="300"/>
      <c r="AG150" s="300"/>
    </row>
    <row r="151" spans="2:33">
      <c r="B151" s="300"/>
      <c r="C151" s="300"/>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row>
    <row r="152" spans="2:33">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300"/>
      <c r="AF152" s="300"/>
      <c r="AG152" s="300"/>
    </row>
    <row r="153" spans="2:33">
      <c r="B153" s="300"/>
      <c r="C153" s="300"/>
      <c r="D153" s="300"/>
      <c r="E153" s="300"/>
      <c r="F153" s="300"/>
      <c r="G153" s="300"/>
      <c r="H153" s="300"/>
      <c r="I153" s="300"/>
      <c r="J153" s="300"/>
      <c r="K153" s="300"/>
      <c r="L153" s="300"/>
      <c r="M153" s="300"/>
      <c r="N153" s="300"/>
      <c r="O153" s="300"/>
      <c r="P153" s="300"/>
      <c r="Q153" s="300"/>
      <c r="R153" s="300"/>
      <c r="S153" s="300"/>
      <c r="T153" s="300"/>
      <c r="U153" s="300"/>
      <c r="V153" s="300"/>
      <c r="W153" s="300"/>
      <c r="X153" s="300"/>
      <c r="Y153" s="300"/>
      <c r="Z153" s="300"/>
      <c r="AA153" s="300"/>
      <c r="AB153" s="300"/>
      <c r="AC153" s="300"/>
      <c r="AD153" s="300"/>
      <c r="AE153" s="300"/>
      <c r="AF153" s="300"/>
      <c r="AG153" s="300"/>
    </row>
    <row r="154" spans="2:33">
      <c r="B154" s="300"/>
      <c r="C154" s="300"/>
      <c r="D154" s="300"/>
      <c r="E154" s="300"/>
      <c r="F154" s="300"/>
      <c r="G154" s="300"/>
      <c r="H154" s="300"/>
      <c r="I154" s="300"/>
      <c r="J154" s="300"/>
      <c r="K154" s="300"/>
      <c r="L154" s="300"/>
      <c r="M154" s="300"/>
      <c r="N154" s="300"/>
      <c r="O154" s="300"/>
      <c r="P154" s="300"/>
      <c r="Q154" s="300"/>
      <c r="R154" s="300"/>
      <c r="S154" s="300"/>
      <c r="T154" s="300"/>
      <c r="U154" s="300"/>
      <c r="V154" s="300"/>
      <c r="W154" s="300"/>
      <c r="X154" s="300"/>
      <c r="Y154" s="300"/>
      <c r="Z154" s="300"/>
      <c r="AA154" s="300"/>
      <c r="AB154" s="300"/>
      <c r="AC154" s="300"/>
      <c r="AD154" s="300"/>
      <c r="AE154" s="300"/>
      <c r="AF154" s="300"/>
      <c r="AG154" s="300"/>
    </row>
    <row r="155" spans="2:33">
      <c r="B155" s="300"/>
      <c r="C155" s="300"/>
      <c r="D155" s="300"/>
      <c r="E155" s="300"/>
      <c r="F155" s="300"/>
      <c r="G155" s="300"/>
      <c r="H155" s="300"/>
      <c r="I155" s="300"/>
      <c r="J155" s="300"/>
      <c r="K155" s="300"/>
      <c r="L155" s="300"/>
      <c r="M155" s="300"/>
      <c r="N155" s="300"/>
      <c r="O155" s="300"/>
      <c r="P155" s="300"/>
      <c r="Q155" s="300"/>
      <c r="R155" s="300"/>
      <c r="S155" s="300"/>
      <c r="T155" s="300"/>
      <c r="U155" s="300"/>
      <c r="V155" s="300"/>
      <c r="W155" s="300"/>
      <c r="X155" s="300"/>
      <c r="Y155" s="300"/>
      <c r="Z155" s="300"/>
      <c r="AA155" s="300"/>
      <c r="AB155" s="300"/>
      <c r="AC155" s="300"/>
      <c r="AD155" s="300"/>
      <c r="AE155" s="300"/>
      <c r="AF155" s="300"/>
      <c r="AG155" s="300"/>
    </row>
    <row r="156" spans="2:33">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c r="AF156" s="300"/>
      <c r="AG156" s="300"/>
    </row>
    <row r="157" spans="2:33">
      <c r="B157" s="300"/>
      <c r="C157" s="300"/>
      <c r="D157" s="300"/>
      <c r="E157" s="300"/>
      <c r="F157" s="300"/>
      <c r="G157" s="300"/>
      <c r="H157" s="300"/>
      <c r="I157" s="300"/>
      <c r="J157" s="300"/>
      <c r="K157" s="300"/>
      <c r="L157" s="300"/>
      <c r="M157" s="300"/>
      <c r="N157" s="300"/>
      <c r="O157" s="300"/>
      <c r="P157" s="300"/>
      <c r="Q157" s="300"/>
      <c r="R157" s="300"/>
      <c r="S157" s="300"/>
      <c r="T157" s="300"/>
      <c r="U157" s="300"/>
      <c r="V157" s="300"/>
      <c r="W157" s="300"/>
      <c r="X157" s="300"/>
      <c r="Y157" s="300"/>
      <c r="Z157" s="300"/>
      <c r="AA157" s="300"/>
      <c r="AB157" s="300"/>
      <c r="AC157" s="300"/>
      <c r="AD157" s="300"/>
      <c r="AE157" s="300"/>
      <c r="AF157" s="300"/>
      <c r="AG157" s="300"/>
    </row>
    <row r="158" spans="2:33">
      <c r="B158" s="300"/>
      <c r="C158" s="300"/>
      <c r="D158" s="300"/>
      <c r="E158" s="300"/>
      <c r="F158" s="300"/>
      <c r="G158" s="300"/>
      <c r="H158" s="300"/>
      <c r="I158" s="300"/>
      <c r="J158" s="300"/>
      <c r="K158" s="300"/>
      <c r="L158" s="300"/>
      <c r="M158" s="300"/>
      <c r="N158" s="300"/>
      <c r="O158" s="300"/>
      <c r="P158" s="300"/>
      <c r="Q158" s="300"/>
      <c r="R158" s="300"/>
      <c r="S158" s="300"/>
      <c r="T158" s="300"/>
      <c r="U158" s="300"/>
      <c r="V158" s="300"/>
      <c r="W158" s="300"/>
      <c r="X158" s="300"/>
      <c r="Y158" s="300"/>
      <c r="Z158" s="300"/>
      <c r="AA158" s="300"/>
      <c r="AB158" s="300"/>
      <c r="AC158" s="300"/>
      <c r="AD158" s="300"/>
      <c r="AE158" s="300"/>
      <c r="AF158" s="300"/>
      <c r="AG158" s="300"/>
    </row>
    <row r="159" spans="2:33">
      <c r="B159" s="300"/>
      <c r="C159" s="300"/>
      <c r="D159" s="300"/>
      <c r="E159" s="300"/>
      <c r="F159" s="300"/>
      <c r="G159" s="300"/>
      <c r="H159" s="300"/>
      <c r="I159" s="300"/>
      <c r="J159" s="300"/>
      <c r="K159" s="300"/>
      <c r="L159" s="300"/>
      <c r="M159" s="300"/>
      <c r="N159" s="300"/>
      <c r="O159" s="300"/>
      <c r="P159" s="300"/>
      <c r="Q159" s="300"/>
      <c r="R159" s="300"/>
      <c r="S159" s="300"/>
      <c r="T159" s="300"/>
      <c r="U159" s="300"/>
      <c r="V159" s="300"/>
      <c r="W159" s="300"/>
      <c r="X159" s="300"/>
      <c r="Y159" s="300"/>
      <c r="Z159" s="300"/>
      <c r="AA159" s="300"/>
      <c r="AB159" s="300"/>
      <c r="AC159" s="300"/>
      <c r="AD159" s="300"/>
      <c r="AE159" s="300"/>
      <c r="AF159" s="300"/>
      <c r="AG159" s="300"/>
    </row>
    <row r="160" spans="2:33">
      <c r="B160" s="300"/>
      <c r="C160" s="300"/>
      <c r="D160" s="300"/>
      <c r="E160" s="300"/>
      <c r="F160" s="300"/>
      <c r="G160" s="300"/>
      <c r="H160" s="300"/>
      <c r="I160" s="300"/>
      <c r="J160" s="300"/>
      <c r="K160" s="300"/>
      <c r="L160" s="300"/>
      <c r="M160" s="300"/>
      <c r="N160" s="300"/>
      <c r="O160" s="300"/>
      <c r="P160" s="300"/>
      <c r="Q160" s="300"/>
      <c r="R160" s="300"/>
      <c r="S160" s="300"/>
      <c r="T160" s="300"/>
      <c r="U160" s="300"/>
      <c r="V160" s="300"/>
      <c r="W160" s="300"/>
      <c r="X160" s="300"/>
      <c r="Y160" s="300"/>
      <c r="Z160" s="300"/>
      <c r="AA160" s="300"/>
      <c r="AB160" s="300"/>
      <c r="AC160" s="300"/>
      <c r="AD160" s="300"/>
      <c r="AE160" s="300"/>
      <c r="AF160" s="300"/>
      <c r="AG160" s="300"/>
    </row>
    <row r="161" spans="2:33">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300"/>
      <c r="AF161" s="300"/>
      <c r="AG161" s="300"/>
    </row>
    <row r="162" spans="2:33">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F162" s="300"/>
      <c r="AG162" s="300"/>
    </row>
    <row r="163" spans="2:33">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300"/>
      <c r="AE163" s="300"/>
      <c r="AF163" s="300"/>
      <c r="AG163" s="300"/>
    </row>
    <row r="164" spans="2:33">
      <c r="B164" s="300"/>
      <c r="C164" s="300"/>
      <c r="D164" s="300"/>
      <c r="E164" s="300"/>
      <c r="F164" s="300"/>
      <c r="G164" s="300"/>
      <c r="H164" s="300"/>
      <c r="I164" s="300"/>
      <c r="J164" s="300"/>
      <c r="K164" s="300"/>
      <c r="L164" s="300"/>
      <c r="M164" s="300"/>
      <c r="N164" s="300"/>
      <c r="O164" s="300"/>
      <c r="P164" s="300"/>
      <c r="Q164" s="300"/>
      <c r="R164" s="300"/>
      <c r="S164" s="300"/>
      <c r="T164" s="300"/>
      <c r="U164" s="300"/>
      <c r="V164" s="300"/>
      <c r="W164" s="300"/>
      <c r="X164" s="300"/>
      <c r="Y164" s="300"/>
      <c r="Z164" s="300"/>
      <c r="AA164" s="300"/>
      <c r="AB164" s="300"/>
      <c r="AC164" s="300"/>
      <c r="AD164" s="300"/>
      <c r="AE164" s="300"/>
      <c r="AF164" s="300"/>
      <c r="AG164" s="300"/>
    </row>
    <row r="165" spans="2:33">
      <c r="B165" s="300"/>
      <c r="C165" s="300"/>
      <c r="D165" s="300"/>
      <c r="E165" s="300"/>
      <c r="F165" s="300"/>
      <c r="G165" s="300"/>
      <c r="H165" s="300"/>
      <c r="I165" s="300"/>
      <c r="J165" s="300"/>
      <c r="K165" s="300"/>
      <c r="L165" s="300"/>
      <c r="M165" s="300"/>
      <c r="N165" s="300"/>
      <c r="O165" s="300"/>
      <c r="P165" s="300"/>
      <c r="Q165" s="300"/>
      <c r="R165" s="300"/>
      <c r="S165" s="300"/>
      <c r="T165" s="300"/>
      <c r="U165" s="300"/>
      <c r="V165" s="300"/>
      <c r="W165" s="300"/>
      <c r="X165" s="300"/>
      <c r="Y165" s="300"/>
      <c r="Z165" s="300"/>
      <c r="AA165" s="300"/>
      <c r="AB165" s="300"/>
      <c r="AC165" s="300"/>
      <c r="AD165" s="300"/>
      <c r="AE165" s="300"/>
      <c r="AF165" s="300"/>
      <c r="AG165" s="300"/>
    </row>
    <row r="166" spans="2:33">
      <c r="B166" s="300"/>
      <c r="C166" s="300"/>
      <c r="D166" s="300"/>
      <c r="E166" s="300"/>
      <c r="F166" s="300"/>
      <c r="G166" s="300"/>
      <c r="H166" s="300"/>
      <c r="I166" s="300"/>
      <c r="J166" s="300"/>
      <c r="K166" s="300"/>
      <c r="L166" s="300"/>
      <c r="M166" s="300"/>
      <c r="N166" s="300"/>
      <c r="O166" s="300"/>
      <c r="P166" s="300"/>
      <c r="Q166" s="300"/>
      <c r="R166" s="300"/>
      <c r="S166" s="300"/>
      <c r="T166" s="300"/>
      <c r="U166" s="300"/>
      <c r="V166" s="300"/>
      <c r="W166" s="300"/>
      <c r="X166" s="300"/>
      <c r="Y166" s="300"/>
      <c r="Z166" s="300"/>
      <c r="AA166" s="300"/>
      <c r="AB166" s="300"/>
      <c r="AC166" s="300"/>
      <c r="AD166" s="300"/>
      <c r="AE166" s="300"/>
      <c r="AF166" s="300"/>
      <c r="AG166" s="300"/>
    </row>
    <row r="167" spans="2:33">
      <c r="B167" s="300"/>
      <c r="C167" s="300"/>
      <c r="D167" s="300"/>
      <c r="E167" s="300"/>
      <c r="F167" s="300"/>
      <c r="G167" s="300"/>
      <c r="H167" s="300"/>
      <c r="I167" s="300"/>
      <c r="J167" s="300"/>
      <c r="K167" s="300"/>
      <c r="L167" s="300"/>
      <c r="M167" s="300"/>
      <c r="N167" s="300"/>
      <c r="O167" s="300"/>
      <c r="P167" s="300"/>
      <c r="Q167" s="300"/>
      <c r="R167" s="300"/>
      <c r="S167" s="300"/>
      <c r="T167" s="300"/>
      <c r="U167" s="300"/>
      <c r="V167" s="300"/>
      <c r="W167" s="300"/>
      <c r="X167" s="300"/>
      <c r="Y167" s="300"/>
      <c r="Z167" s="300"/>
      <c r="AA167" s="300"/>
      <c r="AB167" s="300"/>
      <c r="AC167" s="300"/>
      <c r="AD167" s="300"/>
      <c r="AE167" s="300"/>
      <c r="AF167" s="300"/>
      <c r="AG167" s="300"/>
    </row>
    <row r="168" spans="2:33">
      <c r="B168" s="300"/>
      <c r="C168" s="300"/>
      <c r="D168" s="300"/>
      <c r="E168" s="300"/>
      <c r="F168" s="300"/>
      <c r="G168" s="300"/>
      <c r="H168" s="300"/>
      <c r="I168" s="300"/>
      <c r="J168" s="300"/>
      <c r="K168" s="300"/>
      <c r="L168" s="300"/>
      <c r="M168" s="300"/>
      <c r="N168" s="300"/>
      <c r="O168" s="300"/>
      <c r="P168" s="300"/>
      <c r="Q168" s="300"/>
      <c r="R168" s="300"/>
      <c r="S168" s="300"/>
      <c r="T168" s="300"/>
      <c r="U168" s="300"/>
      <c r="V168" s="300"/>
      <c r="W168" s="300"/>
      <c r="X168" s="300"/>
      <c r="Y168" s="300"/>
      <c r="Z168" s="300"/>
      <c r="AA168" s="300"/>
      <c r="AB168" s="300"/>
      <c r="AC168" s="300"/>
      <c r="AD168" s="300"/>
      <c r="AE168" s="300"/>
      <c r="AF168" s="300"/>
      <c r="AG168" s="300"/>
    </row>
    <row r="169" spans="2:33">
      <c r="B169" s="300"/>
      <c r="C169" s="300"/>
      <c r="D169" s="300"/>
      <c r="E169" s="300"/>
      <c r="F169" s="300"/>
      <c r="G169" s="300"/>
      <c r="H169" s="300"/>
      <c r="I169" s="300"/>
      <c r="J169" s="300"/>
      <c r="K169" s="300"/>
      <c r="L169" s="300"/>
      <c r="M169" s="300"/>
      <c r="N169" s="300"/>
      <c r="O169" s="300"/>
      <c r="P169" s="300"/>
      <c r="Q169" s="300"/>
      <c r="R169" s="300"/>
      <c r="S169" s="300"/>
      <c r="T169" s="300"/>
      <c r="U169" s="300"/>
      <c r="V169" s="300"/>
      <c r="W169" s="300"/>
      <c r="X169" s="300"/>
      <c r="Y169" s="300"/>
      <c r="Z169" s="300"/>
      <c r="AA169" s="300"/>
      <c r="AB169" s="300"/>
      <c r="AC169" s="300"/>
      <c r="AD169" s="300"/>
      <c r="AE169" s="300"/>
      <c r="AF169" s="300"/>
      <c r="AG169" s="300"/>
    </row>
    <row r="170" spans="2:33">
      <c r="B170" s="300"/>
      <c r="C170" s="300"/>
      <c r="D170" s="300"/>
      <c r="E170" s="300"/>
      <c r="F170" s="300"/>
      <c r="G170" s="300"/>
      <c r="H170" s="300"/>
      <c r="I170" s="300"/>
      <c r="J170" s="300"/>
      <c r="K170" s="300"/>
      <c r="L170" s="300"/>
      <c r="M170" s="300"/>
      <c r="N170" s="300"/>
      <c r="O170" s="300"/>
      <c r="P170" s="300"/>
      <c r="Q170" s="300"/>
      <c r="R170" s="300"/>
      <c r="S170" s="300"/>
      <c r="T170" s="300"/>
      <c r="U170" s="300"/>
      <c r="V170" s="300"/>
      <c r="W170" s="300"/>
      <c r="X170" s="300"/>
      <c r="Y170" s="300"/>
      <c r="Z170" s="300"/>
      <c r="AA170" s="300"/>
      <c r="AB170" s="300"/>
      <c r="AC170" s="300"/>
      <c r="AD170" s="300"/>
      <c r="AE170" s="300"/>
      <c r="AF170" s="300"/>
      <c r="AG170" s="300"/>
    </row>
    <row r="171" spans="2:33">
      <c r="B171" s="300"/>
      <c r="C171" s="300"/>
      <c r="D171" s="300"/>
      <c r="E171" s="300"/>
      <c r="F171" s="300"/>
      <c r="G171" s="300"/>
      <c r="H171" s="300"/>
      <c r="I171" s="300"/>
      <c r="J171" s="300"/>
      <c r="K171" s="300"/>
      <c r="L171" s="300"/>
      <c r="M171" s="300"/>
      <c r="N171" s="300"/>
      <c r="O171" s="300"/>
      <c r="P171" s="300"/>
      <c r="Q171" s="300"/>
      <c r="R171" s="300"/>
      <c r="S171" s="300"/>
      <c r="T171" s="300"/>
      <c r="U171" s="300"/>
      <c r="V171" s="300"/>
      <c r="W171" s="300"/>
      <c r="X171" s="300"/>
      <c r="Y171" s="300"/>
      <c r="Z171" s="300"/>
      <c r="AA171" s="300"/>
      <c r="AB171" s="300"/>
      <c r="AC171" s="300"/>
      <c r="AD171" s="300"/>
      <c r="AE171" s="300"/>
      <c r="AF171" s="300"/>
      <c r="AG171" s="300"/>
    </row>
    <row r="172" spans="2:33">
      <c r="B172" s="300"/>
      <c r="C172" s="300"/>
      <c r="D172" s="300"/>
      <c r="E172" s="300"/>
      <c r="F172" s="300"/>
      <c r="G172" s="300"/>
      <c r="H172" s="300"/>
      <c r="I172" s="300"/>
      <c r="J172" s="300"/>
      <c r="K172" s="300"/>
      <c r="L172" s="300"/>
      <c r="M172" s="300"/>
      <c r="N172" s="300"/>
      <c r="O172" s="300"/>
      <c r="P172" s="300"/>
      <c r="Q172" s="300"/>
      <c r="R172" s="300"/>
      <c r="S172" s="300"/>
      <c r="T172" s="300"/>
      <c r="U172" s="300"/>
      <c r="V172" s="300"/>
      <c r="W172" s="300"/>
      <c r="X172" s="300"/>
      <c r="Y172" s="300"/>
      <c r="Z172" s="300"/>
      <c r="AA172" s="300"/>
      <c r="AB172" s="300"/>
      <c r="AC172" s="300"/>
      <c r="AD172" s="300"/>
      <c r="AE172" s="300"/>
      <c r="AF172" s="300"/>
      <c r="AG172" s="300"/>
    </row>
    <row r="173" spans="2:33">
      <c r="B173" s="300"/>
      <c r="C173" s="300"/>
      <c r="D173" s="300"/>
      <c r="E173" s="300"/>
      <c r="F173" s="300"/>
      <c r="G173" s="300"/>
      <c r="H173" s="300"/>
      <c r="I173" s="300"/>
      <c r="J173" s="300"/>
      <c r="K173" s="300"/>
      <c r="L173" s="300"/>
      <c r="M173" s="300"/>
      <c r="N173" s="300"/>
      <c r="O173" s="300"/>
      <c r="P173" s="300"/>
      <c r="Q173" s="300"/>
      <c r="R173" s="300"/>
      <c r="S173" s="300"/>
      <c r="T173" s="300"/>
      <c r="U173" s="300"/>
      <c r="V173" s="300"/>
      <c r="W173" s="300"/>
      <c r="X173" s="300"/>
      <c r="Y173" s="300"/>
      <c r="Z173" s="300"/>
      <c r="AA173" s="300"/>
      <c r="AB173" s="300"/>
      <c r="AC173" s="300"/>
      <c r="AD173" s="300"/>
      <c r="AE173" s="300"/>
      <c r="AF173" s="300"/>
      <c r="AG173" s="300"/>
    </row>
    <row r="174" spans="2:33">
      <c r="B174" s="300"/>
      <c r="C174" s="300"/>
      <c r="D174" s="300"/>
      <c r="E174" s="300"/>
      <c r="F174" s="300"/>
      <c r="G174" s="300"/>
      <c r="H174" s="300"/>
      <c r="I174" s="300"/>
      <c r="J174" s="300"/>
      <c r="K174" s="300"/>
      <c r="L174" s="300"/>
      <c r="M174" s="300"/>
      <c r="N174" s="300"/>
      <c r="O174" s="300"/>
      <c r="P174" s="300"/>
      <c r="Q174" s="300"/>
      <c r="R174" s="300"/>
      <c r="S174" s="300"/>
      <c r="T174" s="300"/>
      <c r="U174" s="300"/>
      <c r="V174" s="300"/>
      <c r="W174" s="300"/>
      <c r="X174" s="300"/>
      <c r="Y174" s="300"/>
      <c r="Z174" s="300"/>
      <c r="AA174" s="300"/>
      <c r="AB174" s="300"/>
      <c r="AC174" s="300"/>
      <c r="AD174" s="300"/>
      <c r="AE174" s="300"/>
      <c r="AF174" s="300"/>
      <c r="AG174" s="300"/>
    </row>
    <row r="175" spans="2:33">
      <c r="B175" s="300"/>
      <c r="C175" s="300"/>
      <c r="D175" s="300"/>
      <c r="E175" s="300"/>
      <c r="F175" s="300"/>
      <c r="G175" s="300"/>
      <c r="H175" s="300"/>
      <c r="I175" s="300"/>
      <c r="J175" s="300"/>
      <c r="K175" s="300"/>
      <c r="L175" s="300"/>
      <c r="M175" s="300"/>
      <c r="N175" s="300"/>
      <c r="O175" s="300"/>
      <c r="P175" s="300"/>
      <c r="Q175" s="300"/>
      <c r="R175" s="300"/>
      <c r="S175" s="300"/>
      <c r="T175" s="300"/>
      <c r="U175" s="300"/>
      <c r="V175" s="300"/>
      <c r="W175" s="300"/>
      <c r="X175" s="300"/>
      <c r="Y175" s="300"/>
      <c r="Z175" s="300"/>
      <c r="AA175" s="300"/>
      <c r="AB175" s="300"/>
      <c r="AC175" s="300"/>
      <c r="AD175" s="300"/>
      <c r="AE175" s="300"/>
      <c r="AF175" s="300"/>
      <c r="AG175" s="300"/>
    </row>
    <row r="176" spans="2:33">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300"/>
      <c r="AF176" s="300"/>
      <c r="AG176" s="300"/>
    </row>
    <row r="177" spans="2:33">
      <c r="B177" s="300"/>
      <c r="C177" s="300"/>
      <c r="D177" s="300"/>
      <c r="E177" s="300"/>
      <c r="F177" s="300"/>
      <c r="G177" s="300"/>
      <c r="H177" s="300"/>
      <c r="I177" s="300"/>
      <c r="J177" s="300"/>
      <c r="K177" s="300"/>
      <c r="L177" s="300"/>
      <c r="M177" s="300"/>
      <c r="N177" s="300"/>
      <c r="O177" s="300"/>
      <c r="P177" s="300"/>
      <c r="Q177" s="300"/>
      <c r="R177" s="300"/>
      <c r="S177" s="300"/>
      <c r="T177" s="300"/>
      <c r="U177" s="300"/>
      <c r="V177" s="300"/>
      <c r="W177" s="300"/>
      <c r="X177" s="300"/>
      <c r="Y177" s="300"/>
      <c r="Z177" s="300"/>
      <c r="AA177" s="300"/>
      <c r="AB177" s="300"/>
      <c r="AC177" s="300"/>
      <c r="AD177" s="300"/>
      <c r="AE177" s="300"/>
      <c r="AF177" s="300"/>
      <c r="AG177" s="300"/>
    </row>
    <row r="178" spans="2:33">
      <c r="B178" s="300"/>
      <c r="C178" s="300"/>
      <c r="D178" s="300"/>
      <c r="E178" s="300"/>
      <c r="F178" s="300"/>
      <c r="G178" s="300"/>
      <c r="H178" s="300"/>
      <c r="I178" s="300"/>
      <c r="J178" s="300"/>
      <c r="K178" s="300"/>
      <c r="L178" s="300"/>
      <c r="M178" s="300"/>
      <c r="N178" s="300"/>
      <c r="O178" s="300"/>
      <c r="P178" s="300"/>
      <c r="Q178" s="300"/>
      <c r="R178" s="300"/>
      <c r="S178" s="300"/>
      <c r="T178" s="300"/>
      <c r="U178" s="300"/>
      <c r="V178" s="300"/>
      <c r="W178" s="300"/>
      <c r="X178" s="300"/>
      <c r="Y178" s="300"/>
      <c r="Z178" s="300"/>
      <c r="AA178" s="300"/>
      <c r="AB178" s="300"/>
      <c r="AC178" s="300"/>
      <c r="AD178" s="300"/>
      <c r="AE178" s="300"/>
      <c r="AF178" s="300"/>
      <c r="AG178" s="300"/>
    </row>
    <row r="179" spans="2:33">
      <c r="B179" s="300"/>
      <c r="C179" s="300"/>
      <c r="D179" s="300"/>
      <c r="E179" s="300"/>
      <c r="F179" s="300"/>
      <c r="G179" s="300"/>
      <c r="H179" s="300"/>
      <c r="I179" s="300"/>
      <c r="J179" s="300"/>
      <c r="K179" s="300"/>
      <c r="L179" s="300"/>
      <c r="M179" s="300"/>
      <c r="N179" s="300"/>
      <c r="O179" s="300"/>
      <c r="P179" s="300"/>
      <c r="Q179" s="300"/>
      <c r="R179" s="300"/>
      <c r="S179" s="300"/>
      <c r="T179" s="300"/>
      <c r="U179" s="300"/>
      <c r="V179" s="300"/>
      <c r="W179" s="300"/>
      <c r="X179" s="300"/>
      <c r="Y179" s="300"/>
      <c r="Z179" s="300"/>
      <c r="AA179" s="300"/>
      <c r="AB179" s="300"/>
      <c r="AC179" s="300"/>
      <c r="AD179" s="300"/>
      <c r="AE179" s="300"/>
      <c r="AF179" s="300"/>
      <c r="AG179" s="300"/>
    </row>
    <row r="180" spans="2:33">
      <c r="B180" s="300"/>
      <c r="C180" s="300"/>
      <c r="D180" s="300"/>
      <c r="E180" s="300"/>
      <c r="F180" s="300"/>
      <c r="G180" s="300"/>
      <c r="H180" s="300"/>
      <c r="I180" s="300"/>
      <c r="J180" s="300"/>
      <c r="K180" s="300"/>
      <c r="L180" s="300"/>
      <c r="M180" s="300"/>
      <c r="N180" s="300"/>
      <c r="O180" s="300"/>
      <c r="P180" s="300"/>
      <c r="Q180" s="300"/>
      <c r="R180" s="300"/>
      <c r="S180" s="300"/>
      <c r="T180" s="300"/>
      <c r="U180" s="300"/>
      <c r="V180" s="300"/>
      <c r="W180" s="300"/>
      <c r="X180" s="300"/>
      <c r="Y180" s="300"/>
      <c r="Z180" s="300"/>
      <c r="AA180" s="300"/>
      <c r="AB180" s="300"/>
      <c r="AC180" s="300"/>
      <c r="AD180" s="300"/>
      <c r="AE180" s="300"/>
      <c r="AF180" s="300"/>
      <c r="AG180" s="300"/>
    </row>
    <row r="181" spans="2:33">
      <c r="B181" s="300"/>
      <c r="C181" s="300"/>
      <c r="D181" s="300"/>
      <c r="E181" s="300"/>
      <c r="F181" s="300"/>
      <c r="G181" s="300"/>
      <c r="H181" s="300"/>
      <c r="I181" s="300"/>
      <c r="J181" s="300"/>
      <c r="K181" s="300"/>
      <c r="L181" s="300"/>
      <c r="M181" s="300"/>
      <c r="N181" s="300"/>
      <c r="O181" s="300"/>
      <c r="P181" s="300"/>
      <c r="Q181" s="300"/>
      <c r="R181" s="300"/>
      <c r="S181" s="300"/>
      <c r="T181" s="300"/>
      <c r="U181" s="300"/>
      <c r="V181" s="300"/>
      <c r="W181" s="300"/>
      <c r="X181" s="300"/>
      <c r="Y181" s="300"/>
      <c r="Z181" s="300"/>
      <c r="AA181" s="300"/>
      <c r="AB181" s="300"/>
      <c r="AC181" s="300"/>
      <c r="AD181" s="300"/>
      <c r="AE181" s="300"/>
      <c r="AF181" s="300"/>
      <c r="AG181" s="300"/>
    </row>
    <row r="182" spans="2:33">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300"/>
      <c r="AF182" s="300"/>
      <c r="AG182" s="300"/>
    </row>
    <row r="183" spans="2:33">
      <c r="B183" s="300"/>
      <c r="C183" s="300"/>
      <c r="D183" s="300"/>
      <c r="E183" s="300"/>
      <c r="F183" s="300"/>
      <c r="G183" s="300"/>
      <c r="H183" s="300"/>
      <c r="I183" s="300"/>
      <c r="J183" s="300"/>
      <c r="K183" s="300"/>
      <c r="L183" s="300"/>
      <c r="M183" s="300"/>
      <c r="N183" s="300"/>
      <c r="O183" s="300"/>
      <c r="P183" s="300"/>
      <c r="Q183" s="300"/>
      <c r="R183" s="300"/>
      <c r="S183" s="300"/>
      <c r="T183" s="300"/>
      <c r="U183" s="300"/>
      <c r="V183" s="300"/>
      <c r="W183" s="300"/>
      <c r="X183" s="300"/>
      <c r="Y183" s="300"/>
      <c r="Z183" s="300"/>
      <c r="AA183" s="300"/>
      <c r="AB183" s="300"/>
      <c r="AC183" s="300"/>
      <c r="AD183" s="300"/>
      <c r="AE183" s="300"/>
      <c r="AF183" s="300"/>
      <c r="AG183" s="300"/>
    </row>
    <row r="184" spans="2:33">
      <c r="B184" s="300"/>
      <c r="C184" s="300"/>
      <c r="D184" s="300"/>
      <c r="E184" s="300"/>
      <c r="F184" s="300"/>
      <c r="G184" s="300"/>
      <c r="H184" s="300"/>
      <c r="I184" s="300"/>
      <c r="J184" s="300"/>
      <c r="K184" s="300"/>
      <c r="L184" s="300"/>
      <c r="M184" s="300"/>
      <c r="N184" s="300"/>
      <c r="O184" s="300"/>
      <c r="P184" s="300"/>
      <c r="Q184" s="300"/>
      <c r="R184" s="300"/>
      <c r="S184" s="300"/>
      <c r="T184" s="300"/>
      <c r="U184" s="300"/>
      <c r="V184" s="300"/>
      <c r="W184" s="300"/>
      <c r="X184" s="300"/>
      <c r="Y184" s="300"/>
      <c r="Z184" s="300"/>
      <c r="AA184" s="300"/>
      <c r="AB184" s="300"/>
      <c r="AC184" s="300"/>
      <c r="AD184" s="300"/>
      <c r="AE184" s="300"/>
      <c r="AF184" s="300"/>
      <c r="AG184" s="300"/>
    </row>
    <row r="185" spans="2:33">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300"/>
      <c r="AF185" s="300"/>
      <c r="AG185" s="300"/>
    </row>
    <row r="186" spans="2:33">
      <c r="B186" s="300"/>
      <c r="C186" s="300"/>
      <c r="D186" s="300"/>
      <c r="E186" s="300"/>
      <c r="F186" s="300"/>
      <c r="G186" s="300"/>
      <c r="H186" s="300"/>
      <c r="I186" s="300"/>
      <c r="J186" s="300"/>
      <c r="K186" s="300"/>
      <c r="L186" s="300"/>
      <c r="M186" s="300"/>
      <c r="N186" s="300"/>
      <c r="O186" s="300"/>
      <c r="P186" s="300"/>
      <c r="Q186" s="300"/>
      <c r="R186" s="300"/>
      <c r="S186" s="300"/>
      <c r="T186" s="300"/>
      <c r="U186" s="300"/>
      <c r="V186" s="300"/>
      <c r="W186" s="300"/>
      <c r="X186" s="300"/>
      <c r="Y186" s="300"/>
      <c r="Z186" s="300"/>
      <c r="AA186" s="300"/>
      <c r="AB186" s="300"/>
      <c r="AC186" s="300"/>
      <c r="AD186" s="300"/>
      <c r="AE186" s="300"/>
      <c r="AF186" s="300"/>
      <c r="AG186" s="300"/>
    </row>
    <row r="187" spans="2:33">
      <c r="B187" s="300"/>
      <c r="C187" s="300"/>
      <c r="D187" s="300"/>
      <c r="E187" s="300"/>
      <c r="F187" s="300"/>
      <c r="G187" s="300"/>
      <c r="H187" s="300"/>
      <c r="I187" s="300"/>
      <c r="J187" s="300"/>
      <c r="K187" s="300"/>
      <c r="L187" s="300"/>
      <c r="M187" s="300"/>
      <c r="N187" s="300"/>
      <c r="O187" s="300"/>
      <c r="P187" s="300"/>
      <c r="Q187" s="300"/>
      <c r="R187" s="300"/>
      <c r="S187" s="300"/>
      <c r="T187" s="300"/>
      <c r="U187" s="300"/>
      <c r="V187" s="300"/>
      <c r="W187" s="300"/>
      <c r="X187" s="300"/>
      <c r="Y187" s="300"/>
      <c r="Z187" s="300"/>
      <c r="AA187" s="300"/>
      <c r="AB187" s="300"/>
      <c r="AC187" s="300"/>
      <c r="AD187" s="300"/>
      <c r="AE187" s="300"/>
      <c r="AF187" s="300"/>
      <c r="AG187" s="300"/>
    </row>
    <row r="188" spans="2:33">
      <c r="B188" s="300"/>
      <c r="C188" s="300"/>
      <c r="D188" s="300"/>
      <c r="E188" s="300"/>
      <c r="F188" s="300"/>
      <c r="G188" s="300"/>
      <c r="H188" s="300"/>
      <c r="I188" s="300"/>
      <c r="J188" s="300"/>
      <c r="K188" s="300"/>
      <c r="L188" s="300"/>
      <c r="M188" s="300"/>
      <c r="N188" s="300"/>
      <c r="O188" s="300"/>
      <c r="P188" s="300"/>
      <c r="Q188" s="300"/>
      <c r="R188" s="300"/>
      <c r="S188" s="300"/>
      <c r="T188" s="300"/>
      <c r="U188" s="300"/>
      <c r="V188" s="300"/>
      <c r="W188" s="300"/>
      <c r="X188" s="300"/>
      <c r="Y188" s="300"/>
      <c r="Z188" s="300"/>
      <c r="AA188" s="300"/>
      <c r="AB188" s="300"/>
      <c r="AC188" s="300"/>
      <c r="AD188" s="300"/>
      <c r="AE188" s="300"/>
      <c r="AF188" s="300"/>
      <c r="AG188" s="300"/>
    </row>
    <row r="189" spans="2:33">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c r="AF189" s="300"/>
      <c r="AG189" s="300"/>
    </row>
    <row r="190" spans="2:33">
      <c r="B190" s="300"/>
      <c r="C190" s="300"/>
      <c r="D190" s="300"/>
      <c r="E190" s="300"/>
      <c r="F190" s="300"/>
      <c r="G190" s="300"/>
      <c r="H190" s="300"/>
      <c r="I190" s="300"/>
      <c r="J190" s="300"/>
      <c r="K190" s="300"/>
      <c r="L190" s="300"/>
      <c r="M190" s="300"/>
      <c r="N190" s="300"/>
      <c r="O190" s="300"/>
      <c r="P190" s="300"/>
      <c r="Q190" s="300"/>
      <c r="R190" s="300"/>
      <c r="S190" s="300"/>
      <c r="T190" s="300"/>
      <c r="U190" s="300"/>
      <c r="V190" s="300"/>
      <c r="W190" s="300"/>
      <c r="X190" s="300"/>
      <c r="Y190" s="300"/>
      <c r="Z190" s="300"/>
      <c r="AA190" s="300"/>
      <c r="AB190" s="300"/>
      <c r="AC190" s="300"/>
      <c r="AD190" s="300"/>
      <c r="AE190" s="300"/>
      <c r="AF190" s="300"/>
      <c r="AG190" s="300"/>
    </row>
    <row r="191" spans="2:33">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300"/>
      <c r="AF191" s="300"/>
      <c r="AG191" s="300"/>
    </row>
    <row r="192" spans="2:33">
      <c r="B192" s="300"/>
      <c r="C192" s="300"/>
      <c r="D192" s="300"/>
      <c r="E192" s="300"/>
      <c r="F192" s="300"/>
      <c r="G192" s="300"/>
      <c r="H192" s="300"/>
      <c r="I192" s="300"/>
      <c r="J192" s="300"/>
      <c r="K192" s="300"/>
      <c r="L192" s="300"/>
      <c r="M192" s="300"/>
      <c r="N192" s="300"/>
      <c r="O192" s="300"/>
      <c r="P192" s="300"/>
      <c r="Q192" s="300"/>
      <c r="R192" s="300"/>
      <c r="S192" s="300"/>
      <c r="T192" s="300"/>
      <c r="U192" s="300"/>
      <c r="V192" s="300"/>
      <c r="W192" s="300"/>
      <c r="X192" s="300"/>
      <c r="Y192" s="300"/>
      <c r="Z192" s="300"/>
      <c r="AA192" s="300"/>
      <c r="AB192" s="300"/>
      <c r="AC192" s="300"/>
      <c r="AD192" s="300"/>
      <c r="AE192" s="300"/>
      <c r="AF192" s="300"/>
      <c r="AG192" s="300"/>
    </row>
    <row r="193" spans="2:33">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300"/>
      <c r="AE193" s="300"/>
      <c r="AF193" s="300"/>
      <c r="AG193" s="300"/>
    </row>
    <row r="194" spans="2:33">
      <c r="B194" s="300"/>
      <c r="C194" s="300"/>
      <c r="D194" s="300"/>
      <c r="E194" s="300"/>
      <c r="F194" s="300"/>
      <c r="G194" s="300"/>
      <c r="H194" s="300"/>
      <c r="I194" s="300"/>
      <c r="J194" s="300"/>
      <c r="K194" s="300"/>
      <c r="L194" s="300"/>
      <c r="M194" s="300"/>
      <c r="N194" s="300"/>
      <c r="O194" s="300"/>
      <c r="P194" s="300"/>
      <c r="Q194" s="300"/>
      <c r="R194" s="300"/>
      <c r="S194" s="300"/>
      <c r="T194" s="300"/>
      <c r="U194" s="300"/>
      <c r="V194" s="300"/>
      <c r="W194" s="300"/>
      <c r="X194" s="300"/>
      <c r="Y194" s="300"/>
      <c r="Z194" s="300"/>
      <c r="AA194" s="300"/>
      <c r="AB194" s="300"/>
      <c r="AC194" s="300"/>
      <c r="AD194" s="300"/>
      <c r="AE194" s="300"/>
      <c r="AF194" s="300"/>
      <c r="AG194" s="300"/>
    </row>
    <row r="195" spans="2:33">
      <c r="B195" s="300"/>
      <c r="C195" s="300"/>
      <c r="D195" s="300"/>
      <c r="E195" s="300"/>
      <c r="F195" s="300"/>
      <c r="G195" s="300"/>
      <c r="H195" s="300"/>
      <c r="I195" s="300"/>
      <c r="J195" s="300"/>
      <c r="K195" s="300"/>
      <c r="L195" s="300"/>
      <c r="M195" s="300"/>
      <c r="N195" s="300"/>
      <c r="O195" s="300"/>
      <c r="P195" s="300"/>
      <c r="Q195" s="300"/>
      <c r="R195" s="300"/>
      <c r="S195" s="300"/>
      <c r="T195" s="300"/>
      <c r="U195" s="300"/>
      <c r="V195" s="300"/>
      <c r="W195" s="300"/>
      <c r="X195" s="300"/>
      <c r="Y195" s="300"/>
      <c r="Z195" s="300"/>
      <c r="AA195" s="300"/>
      <c r="AB195" s="300"/>
      <c r="AC195" s="300"/>
      <c r="AD195" s="300"/>
      <c r="AE195" s="300"/>
      <c r="AF195" s="300"/>
      <c r="AG195" s="300"/>
    </row>
    <row r="196" spans="2:33">
      <c r="B196" s="300"/>
      <c r="C196" s="300"/>
      <c r="D196" s="300"/>
      <c r="E196" s="300"/>
      <c r="F196" s="300"/>
      <c r="G196" s="300"/>
      <c r="H196" s="300"/>
      <c r="I196" s="300"/>
      <c r="J196" s="300"/>
      <c r="K196" s="300"/>
      <c r="L196" s="300"/>
      <c r="M196" s="300"/>
      <c r="N196" s="300"/>
      <c r="O196" s="300"/>
      <c r="P196" s="300"/>
      <c r="Q196" s="300"/>
      <c r="R196" s="300"/>
      <c r="S196" s="300"/>
      <c r="T196" s="300"/>
      <c r="U196" s="300"/>
      <c r="V196" s="300"/>
      <c r="W196" s="300"/>
      <c r="X196" s="300"/>
      <c r="Y196" s="300"/>
      <c r="Z196" s="300"/>
      <c r="AA196" s="300"/>
      <c r="AB196" s="300"/>
      <c r="AC196" s="300"/>
      <c r="AD196" s="300"/>
      <c r="AE196" s="300"/>
      <c r="AF196" s="300"/>
      <c r="AG196" s="300"/>
    </row>
    <row r="197" spans="2:33">
      <c r="B197" s="300"/>
      <c r="C197" s="300"/>
      <c r="D197" s="300"/>
      <c r="E197" s="300"/>
      <c r="F197" s="300"/>
      <c r="G197" s="300"/>
      <c r="H197" s="300"/>
      <c r="I197" s="300"/>
      <c r="J197" s="300"/>
      <c r="K197" s="300"/>
      <c r="L197" s="300"/>
      <c r="M197" s="300"/>
      <c r="N197" s="300"/>
      <c r="O197" s="300"/>
      <c r="P197" s="300"/>
      <c r="Q197" s="300"/>
      <c r="R197" s="300"/>
      <c r="S197" s="300"/>
      <c r="T197" s="300"/>
      <c r="U197" s="300"/>
      <c r="V197" s="300"/>
      <c r="W197" s="300"/>
      <c r="X197" s="300"/>
      <c r="Y197" s="300"/>
      <c r="Z197" s="300"/>
      <c r="AA197" s="300"/>
      <c r="AB197" s="300"/>
      <c r="AC197" s="300"/>
      <c r="AD197" s="300"/>
      <c r="AE197" s="300"/>
      <c r="AF197" s="300"/>
      <c r="AG197" s="300"/>
    </row>
    <row r="198" spans="2:33">
      <c r="B198" s="300"/>
      <c r="C198" s="300"/>
      <c r="D198" s="300"/>
      <c r="E198" s="300"/>
      <c r="F198" s="300"/>
      <c r="G198" s="300"/>
      <c r="H198" s="300"/>
      <c r="I198" s="300"/>
      <c r="J198" s="300"/>
      <c r="K198" s="300"/>
      <c r="L198" s="300"/>
      <c r="M198" s="300"/>
      <c r="N198" s="300"/>
      <c r="O198" s="300"/>
      <c r="P198" s="300"/>
      <c r="Q198" s="300"/>
      <c r="R198" s="300"/>
      <c r="S198" s="300"/>
      <c r="T198" s="300"/>
      <c r="U198" s="300"/>
      <c r="V198" s="300"/>
      <c r="W198" s="300"/>
      <c r="X198" s="300"/>
      <c r="Y198" s="300"/>
      <c r="Z198" s="300"/>
      <c r="AA198" s="300"/>
      <c r="AB198" s="300"/>
      <c r="AC198" s="300"/>
      <c r="AD198" s="300"/>
      <c r="AE198" s="300"/>
      <c r="AF198" s="300"/>
      <c r="AG198" s="300"/>
    </row>
    <row r="199" spans="2:33">
      <c r="B199" s="300"/>
      <c r="C199" s="300"/>
      <c r="D199" s="300"/>
      <c r="E199" s="300"/>
      <c r="F199" s="300"/>
      <c r="G199" s="300"/>
      <c r="H199" s="300"/>
      <c r="I199" s="300"/>
      <c r="J199" s="300"/>
      <c r="K199" s="300"/>
      <c r="L199" s="300"/>
      <c r="M199" s="300"/>
      <c r="N199" s="300"/>
      <c r="O199" s="300"/>
      <c r="P199" s="300"/>
      <c r="Q199" s="300"/>
      <c r="R199" s="300"/>
      <c r="S199" s="300"/>
      <c r="T199" s="300"/>
      <c r="U199" s="300"/>
      <c r="V199" s="300"/>
      <c r="W199" s="300"/>
      <c r="X199" s="300"/>
      <c r="Y199" s="300"/>
      <c r="Z199" s="300"/>
      <c r="AA199" s="300"/>
      <c r="AB199" s="300"/>
      <c r="AC199" s="300"/>
      <c r="AD199" s="300"/>
      <c r="AE199" s="300"/>
      <c r="AF199" s="300"/>
      <c r="AG199" s="300"/>
    </row>
    <row r="200" spans="2:33">
      <c r="B200" s="300"/>
      <c r="C200" s="300"/>
      <c r="D200" s="300"/>
      <c r="E200" s="300"/>
      <c r="F200" s="300"/>
      <c r="G200" s="300"/>
      <c r="H200" s="300"/>
      <c r="I200" s="300"/>
      <c r="J200" s="300"/>
      <c r="K200" s="300"/>
      <c r="L200" s="300"/>
      <c r="M200" s="300"/>
      <c r="N200" s="300"/>
      <c r="O200" s="300"/>
      <c r="P200" s="300"/>
      <c r="Q200" s="300"/>
      <c r="R200" s="300"/>
      <c r="S200" s="300"/>
      <c r="T200" s="300"/>
      <c r="U200" s="300"/>
      <c r="V200" s="300"/>
      <c r="W200" s="300"/>
      <c r="X200" s="300"/>
      <c r="Y200" s="300"/>
      <c r="Z200" s="300"/>
      <c r="AA200" s="300"/>
      <c r="AB200" s="300"/>
      <c r="AC200" s="300"/>
      <c r="AD200" s="300"/>
      <c r="AE200" s="300"/>
      <c r="AF200" s="300"/>
      <c r="AG200" s="300"/>
    </row>
    <row r="201" spans="2:33">
      <c r="B201" s="300"/>
      <c r="C201" s="300"/>
      <c r="D201" s="300"/>
      <c r="E201" s="300"/>
      <c r="F201" s="300"/>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300"/>
      <c r="AE201" s="300"/>
      <c r="AF201" s="300"/>
      <c r="AG201" s="300"/>
    </row>
    <row r="202" spans="2:33">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300"/>
      <c r="AE202" s="300"/>
      <c r="AF202" s="300"/>
      <c r="AG202" s="300"/>
    </row>
    <row r="203" spans="2:33">
      <c r="B203" s="300"/>
      <c r="C203" s="300"/>
      <c r="D203" s="300"/>
      <c r="E203" s="300"/>
      <c r="F203" s="300"/>
      <c r="G203" s="300"/>
      <c r="H203" s="300"/>
      <c r="I203" s="300"/>
      <c r="J203" s="300"/>
      <c r="K203" s="300"/>
      <c r="L203" s="300"/>
      <c r="M203" s="300"/>
      <c r="N203" s="300"/>
      <c r="O203" s="300"/>
      <c r="P203" s="300"/>
      <c r="Q203" s="300"/>
      <c r="R203" s="300"/>
      <c r="S203" s="300"/>
      <c r="T203" s="300"/>
      <c r="U203" s="300"/>
      <c r="V203" s="300"/>
      <c r="W203" s="300"/>
      <c r="X203" s="300"/>
      <c r="Y203" s="300"/>
      <c r="Z203" s="300"/>
      <c r="AA203" s="300"/>
      <c r="AB203" s="300"/>
      <c r="AC203" s="300"/>
      <c r="AD203" s="300"/>
      <c r="AE203" s="300"/>
      <c r="AF203" s="300"/>
      <c r="AG203" s="300"/>
    </row>
    <row r="204" spans="2:33">
      <c r="B204" s="300"/>
      <c r="C204" s="300"/>
      <c r="D204" s="300"/>
      <c r="E204" s="300"/>
      <c r="F204" s="300"/>
      <c r="G204" s="300"/>
      <c r="H204" s="300"/>
      <c r="I204" s="300"/>
      <c r="J204" s="300"/>
      <c r="K204" s="300"/>
      <c r="L204" s="300"/>
      <c r="M204" s="300"/>
      <c r="N204" s="300"/>
      <c r="O204" s="300"/>
      <c r="P204" s="300"/>
      <c r="Q204" s="300"/>
      <c r="R204" s="300"/>
      <c r="S204" s="300"/>
      <c r="T204" s="300"/>
      <c r="U204" s="300"/>
      <c r="V204" s="300"/>
      <c r="W204" s="300"/>
      <c r="X204" s="300"/>
      <c r="Y204" s="300"/>
      <c r="Z204" s="300"/>
      <c r="AA204" s="300"/>
      <c r="AB204" s="300"/>
      <c r="AC204" s="300"/>
      <c r="AD204" s="300"/>
      <c r="AE204" s="300"/>
      <c r="AF204" s="300"/>
      <c r="AG204" s="300"/>
    </row>
    <row r="205" spans="2:33">
      <c r="B205" s="300"/>
      <c r="C205" s="300"/>
      <c r="D205" s="300"/>
      <c r="E205" s="300"/>
      <c r="F205" s="300"/>
      <c r="G205" s="300"/>
      <c r="H205" s="300"/>
      <c r="I205" s="300"/>
      <c r="J205" s="300"/>
      <c r="K205" s="300"/>
      <c r="L205" s="300"/>
      <c r="M205" s="300"/>
      <c r="N205" s="300"/>
      <c r="O205" s="300"/>
      <c r="P205" s="300"/>
      <c r="Q205" s="300"/>
      <c r="R205" s="300"/>
      <c r="S205" s="300"/>
      <c r="T205" s="300"/>
      <c r="U205" s="300"/>
      <c r="V205" s="300"/>
      <c r="W205" s="300"/>
      <c r="X205" s="300"/>
      <c r="Y205" s="300"/>
      <c r="Z205" s="300"/>
      <c r="AA205" s="300"/>
      <c r="AB205" s="300"/>
      <c r="AC205" s="300"/>
      <c r="AD205" s="300"/>
      <c r="AE205" s="300"/>
      <c r="AF205" s="300"/>
      <c r="AG205" s="300"/>
    </row>
    <row r="206" spans="2:33">
      <c r="B206" s="300"/>
      <c r="C206" s="300"/>
      <c r="D206" s="300"/>
      <c r="E206" s="300"/>
      <c r="F206" s="300"/>
      <c r="G206" s="300"/>
      <c r="H206" s="300"/>
      <c r="I206" s="300"/>
      <c r="J206" s="300"/>
      <c r="K206" s="300"/>
      <c r="L206" s="300"/>
      <c r="M206" s="300"/>
      <c r="N206" s="300"/>
      <c r="O206" s="300"/>
      <c r="P206" s="300"/>
      <c r="Q206" s="300"/>
      <c r="R206" s="300"/>
      <c r="S206" s="300"/>
      <c r="T206" s="300"/>
      <c r="U206" s="300"/>
      <c r="V206" s="300"/>
      <c r="W206" s="300"/>
      <c r="X206" s="300"/>
      <c r="Y206" s="300"/>
      <c r="Z206" s="300"/>
      <c r="AA206" s="300"/>
      <c r="AB206" s="300"/>
      <c r="AC206" s="300"/>
      <c r="AD206" s="300"/>
      <c r="AE206" s="300"/>
      <c r="AF206" s="300"/>
      <c r="AG206" s="300"/>
    </row>
    <row r="207" spans="2:33">
      <c r="B207" s="300"/>
      <c r="C207" s="300"/>
      <c r="D207" s="300"/>
      <c r="E207" s="300"/>
      <c r="F207" s="300"/>
      <c r="G207" s="300"/>
      <c r="H207" s="300"/>
      <c r="I207" s="300"/>
      <c r="J207" s="300"/>
      <c r="K207" s="300"/>
      <c r="L207" s="300"/>
      <c r="M207" s="300"/>
      <c r="N207" s="300"/>
      <c r="O207" s="300"/>
      <c r="P207" s="300"/>
      <c r="Q207" s="300"/>
      <c r="R207" s="300"/>
      <c r="S207" s="300"/>
      <c r="T207" s="300"/>
      <c r="U207" s="300"/>
      <c r="V207" s="300"/>
      <c r="W207" s="300"/>
      <c r="X207" s="300"/>
      <c r="Y207" s="300"/>
      <c r="Z207" s="300"/>
      <c r="AA207" s="300"/>
      <c r="AB207" s="300"/>
      <c r="AC207" s="300"/>
      <c r="AD207" s="300"/>
      <c r="AE207" s="300"/>
      <c r="AF207" s="300"/>
      <c r="AG207" s="300"/>
    </row>
    <row r="208" spans="2:33">
      <c r="B208" s="300"/>
      <c r="C208" s="300"/>
      <c r="D208" s="300"/>
      <c r="E208" s="300"/>
      <c r="F208" s="300"/>
      <c r="G208" s="300"/>
      <c r="H208" s="300"/>
      <c r="I208" s="300"/>
      <c r="J208" s="300"/>
      <c r="K208" s="300"/>
      <c r="L208" s="300"/>
      <c r="M208" s="300"/>
      <c r="N208" s="300"/>
      <c r="O208" s="300"/>
      <c r="P208" s="300"/>
      <c r="Q208" s="300"/>
      <c r="R208" s="300"/>
      <c r="S208" s="300"/>
      <c r="T208" s="300"/>
      <c r="U208" s="300"/>
      <c r="V208" s="300"/>
      <c r="W208" s="300"/>
      <c r="X208" s="300"/>
      <c r="Y208" s="300"/>
      <c r="Z208" s="300"/>
      <c r="AA208" s="300"/>
      <c r="AB208" s="300"/>
      <c r="AC208" s="300"/>
      <c r="AD208" s="300"/>
      <c r="AE208" s="300"/>
      <c r="AF208" s="300"/>
      <c r="AG208" s="300"/>
    </row>
    <row r="209" spans="2:33">
      <c r="B209" s="300"/>
      <c r="C209" s="300"/>
      <c r="D209" s="300"/>
      <c r="E209" s="300"/>
      <c r="F209" s="300"/>
      <c r="G209" s="300"/>
      <c r="H209" s="300"/>
      <c r="I209" s="300"/>
      <c r="J209" s="300"/>
      <c r="K209" s="300"/>
      <c r="L209" s="300"/>
      <c r="M209" s="300"/>
      <c r="N209" s="300"/>
      <c r="O209" s="300"/>
      <c r="P209" s="300"/>
      <c r="Q209" s="300"/>
      <c r="R209" s="300"/>
      <c r="S209" s="300"/>
      <c r="T209" s="300"/>
      <c r="U209" s="300"/>
      <c r="V209" s="300"/>
      <c r="W209" s="300"/>
      <c r="X209" s="300"/>
      <c r="Y209" s="300"/>
      <c r="Z209" s="300"/>
      <c r="AA209" s="300"/>
      <c r="AB209" s="300"/>
      <c r="AC209" s="300"/>
      <c r="AD209" s="300"/>
      <c r="AE209" s="300"/>
      <c r="AF209" s="300"/>
      <c r="AG209" s="300"/>
    </row>
    <row r="210" spans="2:33">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c r="AF210" s="300"/>
      <c r="AG210" s="300"/>
    </row>
    <row r="211" spans="2:33">
      <c r="B211" s="300"/>
      <c r="C211" s="300"/>
      <c r="D211" s="300"/>
      <c r="E211" s="300"/>
      <c r="F211" s="300"/>
      <c r="G211" s="300"/>
      <c r="H211" s="300"/>
      <c r="I211" s="300"/>
      <c r="J211" s="300"/>
      <c r="K211" s="300"/>
      <c r="L211" s="300"/>
      <c r="M211" s="300"/>
      <c r="N211" s="300"/>
      <c r="O211" s="300"/>
      <c r="P211" s="300"/>
      <c r="Q211" s="300"/>
      <c r="R211" s="300"/>
      <c r="S211" s="300"/>
      <c r="T211" s="300"/>
      <c r="U211" s="300"/>
      <c r="V211" s="300"/>
      <c r="W211" s="300"/>
      <c r="X211" s="300"/>
      <c r="Y211" s="300"/>
      <c r="Z211" s="300"/>
      <c r="AA211" s="300"/>
      <c r="AB211" s="300"/>
      <c r="AC211" s="300"/>
      <c r="AD211" s="300"/>
      <c r="AE211" s="300"/>
      <c r="AF211" s="300"/>
      <c r="AG211" s="300"/>
    </row>
    <row r="212" spans="2:33">
      <c r="B212" s="300"/>
      <c r="C212" s="300"/>
      <c r="D212" s="300"/>
      <c r="E212" s="300"/>
      <c r="F212" s="300"/>
      <c r="G212" s="300"/>
      <c r="H212" s="300"/>
      <c r="I212" s="300"/>
      <c r="J212" s="300"/>
      <c r="K212" s="300"/>
      <c r="L212" s="300"/>
      <c r="M212" s="300"/>
      <c r="N212" s="300"/>
      <c r="O212" s="300"/>
      <c r="P212" s="300"/>
      <c r="Q212" s="300"/>
      <c r="R212" s="300"/>
      <c r="S212" s="300"/>
      <c r="T212" s="300"/>
      <c r="U212" s="300"/>
      <c r="V212" s="300"/>
      <c r="W212" s="300"/>
      <c r="X212" s="300"/>
      <c r="Y212" s="300"/>
      <c r="Z212" s="300"/>
      <c r="AA212" s="300"/>
      <c r="AB212" s="300"/>
      <c r="AC212" s="300"/>
      <c r="AD212" s="300"/>
      <c r="AE212" s="300"/>
      <c r="AF212" s="300"/>
      <c r="AG212" s="300"/>
    </row>
    <row r="213" spans="2:33">
      <c r="B213" s="300"/>
      <c r="C213" s="300"/>
      <c r="D213" s="300"/>
      <c r="E213" s="300"/>
      <c r="F213" s="300"/>
      <c r="G213" s="300"/>
      <c r="H213" s="300"/>
      <c r="I213" s="300"/>
      <c r="J213" s="300"/>
      <c r="K213" s="300"/>
      <c r="L213" s="300"/>
      <c r="M213" s="300"/>
      <c r="N213" s="300"/>
      <c r="O213" s="300"/>
      <c r="P213" s="300"/>
      <c r="Q213" s="300"/>
      <c r="R213" s="300"/>
      <c r="S213" s="300"/>
      <c r="T213" s="300"/>
      <c r="U213" s="300"/>
      <c r="V213" s="300"/>
      <c r="W213" s="300"/>
      <c r="X213" s="300"/>
      <c r="Y213" s="300"/>
      <c r="Z213" s="300"/>
      <c r="AA213" s="300"/>
      <c r="AB213" s="300"/>
      <c r="AC213" s="300"/>
      <c r="AD213" s="300"/>
      <c r="AE213" s="300"/>
      <c r="AF213" s="300"/>
      <c r="AG213" s="300"/>
    </row>
    <row r="214" spans="2:33">
      <c r="B214" s="300"/>
      <c r="C214" s="300"/>
      <c r="D214" s="300"/>
      <c r="E214" s="300"/>
      <c r="F214" s="300"/>
      <c r="G214" s="300"/>
      <c r="H214" s="300"/>
      <c r="I214" s="300"/>
      <c r="J214" s="300"/>
      <c r="K214" s="300"/>
      <c r="L214" s="300"/>
      <c r="M214" s="300"/>
      <c r="N214" s="300"/>
      <c r="O214" s="300"/>
      <c r="P214" s="300"/>
      <c r="Q214" s="300"/>
      <c r="R214" s="300"/>
      <c r="S214" s="300"/>
      <c r="T214" s="300"/>
      <c r="U214" s="300"/>
      <c r="V214" s="300"/>
      <c r="W214" s="300"/>
      <c r="X214" s="300"/>
      <c r="Y214" s="300"/>
      <c r="Z214" s="300"/>
      <c r="AA214" s="300"/>
      <c r="AB214" s="300"/>
      <c r="AC214" s="300"/>
      <c r="AD214" s="300"/>
      <c r="AE214" s="300"/>
      <c r="AF214" s="300"/>
      <c r="AG214" s="300"/>
    </row>
    <row r="215" spans="2:33">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300"/>
      <c r="AF215" s="300"/>
      <c r="AG215" s="300"/>
    </row>
    <row r="216" spans="2:33">
      <c r="B216" s="300"/>
      <c r="C216" s="300"/>
      <c r="D216" s="300"/>
      <c r="E216" s="300"/>
      <c r="F216" s="300"/>
      <c r="G216" s="300"/>
      <c r="H216" s="300"/>
      <c r="I216" s="300"/>
      <c r="J216" s="300"/>
      <c r="K216" s="300"/>
      <c r="L216" s="300"/>
      <c r="M216" s="300"/>
      <c r="N216" s="300"/>
      <c r="O216" s="300"/>
      <c r="P216" s="300"/>
      <c r="Q216" s="300"/>
      <c r="R216" s="300"/>
      <c r="S216" s="300"/>
      <c r="T216" s="300"/>
      <c r="U216" s="300"/>
      <c r="V216" s="300"/>
      <c r="W216" s="300"/>
      <c r="X216" s="300"/>
      <c r="Y216" s="300"/>
      <c r="Z216" s="300"/>
      <c r="AA216" s="300"/>
      <c r="AB216" s="300"/>
      <c r="AC216" s="300"/>
      <c r="AD216" s="300"/>
      <c r="AE216" s="300"/>
      <c r="AF216" s="300"/>
      <c r="AG216" s="300"/>
    </row>
    <row r="217" spans="2:33">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300"/>
      <c r="AF217" s="300"/>
      <c r="AG217" s="300"/>
    </row>
    <row r="218" spans="2:33">
      <c r="B218" s="300"/>
      <c r="C218" s="300"/>
      <c r="D218" s="300"/>
      <c r="E218" s="300"/>
      <c r="F218" s="300"/>
      <c r="G218" s="300"/>
      <c r="H218" s="300"/>
      <c r="I218" s="300"/>
      <c r="J218" s="300"/>
      <c r="K218" s="300"/>
      <c r="L218" s="300"/>
      <c r="M218" s="300"/>
      <c r="N218" s="300"/>
      <c r="O218" s="300"/>
      <c r="P218" s="300"/>
      <c r="Q218" s="300"/>
      <c r="R218" s="300"/>
      <c r="S218" s="300"/>
      <c r="T218" s="300"/>
      <c r="U218" s="300"/>
      <c r="V218" s="300"/>
      <c r="W218" s="300"/>
      <c r="X218" s="300"/>
      <c r="Y218" s="300"/>
      <c r="Z218" s="300"/>
      <c r="AA218" s="300"/>
      <c r="AB218" s="300"/>
      <c r="AC218" s="300"/>
      <c r="AD218" s="300"/>
      <c r="AE218" s="300"/>
      <c r="AF218" s="300"/>
      <c r="AG218" s="300"/>
    </row>
    <row r="219" spans="2:33">
      <c r="B219" s="300"/>
      <c r="C219" s="300"/>
      <c r="D219" s="300"/>
      <c r="E219" s="300"/>
      <c r="F219" s="300"/>
      <c r="G219" s="300"/>
      <c r="H219" s="300"/>
      <c r="I219" s="300"/>
      <c r="J219" s="300"/>
      <c r="K219" s="300"/>
      <c r="L219" s="300"/>
      <c r="M219" s="300"/>
      <c r="N219" s="300"/>
      <c r="O219" s="300"/>
      <c r="P219" s="300"/>
      <c r="Q219" s="300"/>
      <c r="R219" s="300"/>
      <c r="S219" s="300"/>
      <c r="T219" s="300"/>
      <c r="U219" s="300"/>
      <c r="V219" s="300"/>
      <c r="W219" s="300"/>
      <c r="X219" s="300"/>
      <c r="Y219" s="300"/>
      <c r="Z219" s="300"/>
      <c r="AA219" s="300"/>
      <c r="AB219" s="300"/>
      <c r="AC219" s="300"/>
      <c r="AD219" s="300"/>
      <c r="AE219" s="300"/>
      <c r="AF219" s="300"/>
      <c r="AG219" s="300"/>
    </row>
    <row r="220" spans="2:33">
      <c r="B220" s="300"/>
      <c r="C220" s="300"/>
      <c r="D220" s="300"/>
      <c r="E220" s="300"/>
      <c r="F220" s="300"/>
      <c r="G220" s="300"/>
      <c r="H220" s="300"/>
      <c r="I220" s="300"/>
      <c r="J220" s="300"/>
      <c r="K220" s="300"/>
      <c r="L220" s="300"/>
      <c r="M220" s="300"/>
      <c r="N220" s="300"/>
      <c r="O220" s="300"/>
      <c r="P220" s="300"/>
      <c r="Q220" s="300"/>
      <c r="R220" s="300"/>
      <c r="S220" s="300"/>
      <c r="T220" s="300"/>
      <c r="U220" s="300"/>
      <c r="V220" s="300"/>
      <c r="W220" s="300"/>
      <c r="X220" s="300"/>
      <c r="Y220" s="300"/>
      <c r="Z220" s="300"/>
      <c r="AA220" s="300"/>
      <c r="AB220" s="300"/>
      <c r="AC220" s="300"/>
      <c r="AD220" s="300"/>
      <c r="AE220" s="300"/>
      <c r="AF220" s="300"/>
      <c r="AG220" s="300"/>
    </row>
    <row r="221" spans="2:33">
      <c r="B221" s="300"/>
      <c r="C221" s="300"/>
      <c r="D221" s="300"/>
      <c r="E221" s="300"/>
      <c r="F221" s="300"/>
      <c r="G221" s="300"/>
      <c r="H221" s="300"/>
      <c r="I221" s="300"/>
      <c r="J221" s="300"/>
      <c r="K221" s="300"/>
      <c r="L221" s="300"/>
      <c r="M221" s="300"/>
      <c r="N221" s="300"/>
      <c r="O221" s="300"/>
      <c r="P221" s="300"/>
      <c r="Q221" s="300"/>
      <c r="R221" s="300"/>
      <c r="S221" s="300"/>
      <c r="T221" s="300"/>
      <c r="U221" s="300"/>
      <c r="V221" s="300"/>
      <c r="W221" s="300"/>
      <c r="X221" s="300"/>
      <c r="Y221" s="300"/>
      <c r="Z221" s="300"/>
      <c r="AA221" s="300"/>
      <c r="AB221" s="300"/>
      <c r="AC221" s="300"/>
      <c r="AD221" s="300"/>
      <c r="AE221" s="300"/>
      <c r="AF221" s="300"/>
      <c r="AG221" s="300"/>
    </row>
    <row r="222" spans="2:33">
      <c r="B222" s="300"/>
      <c r="C222" s="300"/>
      <c r="D222" s="300"/>
      <c r="E222" s="300"/>
      <c r="F222" s="300"/>
      <c r="G222" s="300"/>
      <c r="H222" s="300"/>
      <c r="I222" s="300"/>
      <c r="J222" s="300"/>
      <c r="K222" s="300"/>
      <c r="L222" s="300"/>
      <c r="M222" s="300"/>
      <c r="N222" s="300"/>
      <c r="O222" s="300"/>
      <c r="P222" s="300"/>
      <c r="Q222" s="300"/>
      <c r="R222" s="300"/>
      <c r="S222" s="300"/>
      <c r="T222" s="300"/>
      <c r="U222" s="300"/>
      <c r="V222" s="300"/>
      <c r="W222" s="300"/>
      <c r="X222" s="300"/>
      <c r="Y222" s="300"/>
      <c r="Z222" s="300"/>
      <c r="AA222" s="300"/>
      <c r="AB222" s="300"/>
      <c r="AC222" s="300"/>
      <c r="AD222" s="300"/>
      <c r="AE222" s="300"/>
      <c r="AF222" s="300"/>
      <c r="AG222" s="300"/>
    </row>
    <row r="223" spans="2:33">
      <c r="B223" s="300"/>
      <c r="C223" s="300"/>
      <c r="D223" s="300"/>
      <c r="E223" s="300"/>
      <c r="F223" s="300"/>
      <c r="G223" s="300"/>
      <c r="H223" s="300"/>
      <c r="I223" s="300"/>
      <c r="J223" s="300"/>
      <c r="K223" s="300"/>
      <c r="L223" s="300"/>
      <c r="M223" s="300"/>
      <c r="N223" s="300"/>
      <c r="O223" s="300"/>
      <c r="P223" s="300"/>
      <c r="Q223" s="300"/>
      <c r="R223" s="300"/>
      <c r="S223" s="300"/>
      <c r="T223" s="300"/>
      <c r="U223" s="300"/>
      <c r="V223" s="300"/>
      <c r="W223" s="300"/>
      <c r="X223" s="300"/>
      <c r="Y223" s="300"/>
      <c r="Z223" s="300"/>
      <c r="AA223" s="300"/>
      <c r="AB223" s="300"/>
      <c r="AC223" s="300"/>
      <c r="AD223" s="300"/>
      <c r="AE223" s="300"/>
      <c r="AF223" s="300"/>
      <c r="AG223" s="300"/>
    </row>
    <row r="224" spans="2:33">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300"/>
      <c r="AF224" s="300"/>
      <c r="AG224" s="300"/>
    </row>
    <row r="225" spans="2:33">
      <c r="B225" s="300"/>
      <c r="C225" s="300"/>
      <c r="D225" s="300"/>
      <c r="E225" s="300"/>
      <c r="F225" s="300"/>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c r="AE225" s="300"/>
      <c r="AF225" s="300"/>
      <c r="AG225" s="300"/>
    </row>
    <row r="226" spans="2:33">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300"/>
      <c r="AF226" s="300"/>
      <c r="AG226" s="300"/>
    </row>
    <row r="227" spans="2:33">
      <c r="B227" s="300"/>
      <c r="C227" s="300"/>
      <c r="D227" s="300"/>
      <c r="E227" s="300"/>
      <c r="F227" s="300"/>
      <c r="G227" s="300"/>
      <c r="H227" s="300"/>
      <c r="I227" s="300"/>
      <c r="J227" s="300"/>
      <c r="K227" s="300"/>
      <c r="L227" s="300"/>
      <c r="M227" s="300"/>
      <c r="N227" s="300"/>
      <c r="O227" s="300"/>
      <c r="P227" s="300"/>
      <c r="Q227" s="300"/>
      <c r="R227" s="300"/>
      <c r="S227" s="300"/>
      <c r="T227" s="300"/>
      <c r="U227" s="300"/>
      <c r="V227" s="300"/>
      <c r="W227" s="300"/>
      <c r="X227" s="300"/>
      <c r="Y227" s="300"/>
      <c r="Z227" s="300"/>
      <c r="AA227" s="300"/>
      <c r="AB227" s="300"/>
      <c r="AC227" s="300"/>
      <c r="AD227" s="300"/>
      <c r="AE227" s="300"/>
      <c r="AF227" s="300"/>
      <c r="AG227" s="300"/>
    </row>
    <row r="228" spans="2:33">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c r="AF228" s="300"/>
      <c r="AG228" s="300"/>
    </row>
    <row r="229" spans="2:33">
      <c r="B229" s="300"/>
      <c r="C229" s="300"/>
      <c r="D229" s="300"/>
      <c r="E229" s="300"/>
      <c r="F229" s="300"/>
      <c r="G229" s="300"/>
      <c r="H229" s="300"/>
      <c r="I229" s="300"/>
      <c r="J229" s="300"/>
      <c r="K229" s="300"/>
      <c r="L229" s="300"/>
      <c r="M229" s="300"/>
      <c r="N229" s="300"/>
      <c r="O229" s="300"/>
      <c r="P229" s="300"/>
      <c r="Q229" s="300"/>
      <c r="R229" s="300"/>
      <c r="S229" s="300"/>
      <c r="T229" s="300"/>
      <c r="U229" s="300"/>
      <c r="V229" s="300"/>
      <c r="W229" s="300"/>
      <c r="X229" s="300"/>
      <c r="Y229" s="300"/>
      <c r="Z229" s="300"/>
      <c r="AA229" s="300"/>
      <c r="AB229" s="300"/>
      <c r="AC229" s="300"/>
      <c r="AD229" s="300"/>
      <c r="AE229" s="300"/>
      <c r="AF229" s="300"/>
      <c r="AG229" s="300"/>
    </row>
    <row r="230" spans="2:33">
      <c r="B230" s="300"/>
      <c r="C230" s="300"/>
      <c r="D230" s="300"/>
      <c r="E230" s="300"/>
      <c r="F230" s="300"/>
      <c r="G230" s="300"/>
      <c r="H230" s="300"/>
      <c r="I230" s="300"/>
      <c r="J230" s="300"/>
      <c r="K230" s="300"/>
      <c r="L230" s="300"/>
      <c r="M230" s="300"/>
      <c r="N230" s="300"/>
      <c r="O230" s="300"/>
      <c r="P230" s="300"/>
      <c r="Q230" s="300"/>
      <c r="R230" s="300"/>
      <c r="S230" s="300"/>
      <c r="T230" s="300"/>
      <c r="U230" s="300"/>
      <c r="V230" s="300"/>
      <c r="W230" s="300"/>
      <c r="X230" s="300"/>
      <c r="Y230" s="300"/>
      <c r="Z230" s="300"/>
      <c r="AA230" s="300"/>
      <c r="AB230" s="300"/>
      <c r="AC230" s="300"/>
      <c r="AD230" s="300"/>
      <c r="AE230" s="300"/>
      <c r="AF230" s="300"/>
      <c r="AG230" s="300"/>
    </row>
    <row r="231" spans="2:33">
      <c r="B231" s="300"/>
      <c r="C231" s="300"/>
      <c r="D231" s="300"/>
      <c r="E231" s="300"/>
      <c r="F231" s="300"/>
      <c r="G231" s="300"/>
      <c r="H231" s="300"/>
      <c r="I231" s="300"/>
      <c r="J231" s="300"/>
      <c r="K231" s="300"/>
      <c r="L231" s="300"/>
      <c r="M231" s="300"/>
      <c r="N231" s="300"/>
      <c r="O231" s="300"/>
      <c r="P231" s="300"/>
      <c r="Q231" s="300"/>
      <c r="R231" s="300"/>
      <c r="S231" s="300"/>
      <c r="T231" s="300"/>
      <c r="U231" s="300"/>
      <c r="V231" s="300"/>
      <c r="W231" s="300"/>
      <c r="X231" s="300"/>
      <c r="Y231" s="300"/>
      <c r="Z231" s="300"/>
      <c r="AA231" s="300"/>
      <c r="AB231" s="300"/>
      <c r="AC231" s="300"/>
      <c r="AD231" s="300"/>
      <c r="AE231" s="300"/>
      <c r="AF231" s="300"/>
      <c r="AG231" s="300"/>
    </row>
    <row r="232" spans="2:33">
      <c r="B232" s="300"/>
      <c r="C232" s="300"/>
      <c r="D232" s="300"/>
      <c r="E232" s="300"/>
      <c r="F232" s="300"/>
      <c r="G232" s="300"/>
      <c r="H232" s="300"/>
      <c r="I232" s="300"/>
      <c r="J232" s="300"/>
      <c r="K232" s="300"/>
      <c r="L232" s="300"/>
      <c r="M232" s="300"/>
      <c r="N232" s="300"/>
      <c r="O232" s="300"/>
      <c r="P232" s="300"/>
      <c r="Q232" s="300"/>
      <c r="R232" s="300"/>
      <c r="S232" s="300"/>
      <c r="T232" s="300"/>
      <c r="U232" s="300"/>
      <c r="V232" s="300"/>
      <c r="W232" s="300"/>
      <c r="X232" s="300"/>
      <c r="Y232" s="300"/>
      <c r="Z232" s="300"/>
      <c r="AA232" s="300"/>
      <c r="AB232" s="300"/>
      <c r="AC232" s="300"/>
      <c r="AD232" s="300"/>
      <c r="AE232" s="300"/>
      <c r="AF232" s="300"/>
      <c r="AG232" s="300"/>
    </row>
    <row r="233" spans="2:33">
      <c r="B233" s="300"/>
      <c r="C233" s="300"/>
      <c r="D233" s="300"/>
      <c r="E233" s="300"/>
      <c r="F233" s="300"/>
      <c r="G233" s="300"/>
      <c r="H233" s="300"/>
      <c r="I233" s="300"/>
      <c r="J233" s="300"/>
      <c r="K233" s="300"/>
      <c r="L233" s="300"/>
      <c r="M233" s="300"/>
      <c r="N233" s="300"/>
      <c r="O233" s="300"/>
      <c r="P233" s="300"/>
      <c r="Q233" s="300"/>
      <c r="R233" s="300"/>
      <c r="S233" s="300"/>
      <c r="T233" s="300"/>
      <c r="U233" s="300"/>
      <c r="V233" s="300"/>
      <c r="W233" s="300"/>
      <c r="X233" s="300"/>
      <c r="Y233" s="300"/>
      <c r="Z233" s="300"/>
      <c r="AA233" s="300"/>
      <c r="AB233" s="300"/>
      <c r="AC233" s="300"/>
      <c r="AD233" s="300"/>
      <c r="AE233" s="300"/>
      <c r="AF233" s="300"/>
      <c r="AG233" s="300"/>
    </row>
    <row r="234" spans="2:33">
      <c r="B234" s="300"/>
      <c r="C234" s="300"/>
      <c r="D234" s="300"/>
      <c r="E234" s="300"/>
      <c r="F234" s="300"/>
      <c r="G234" s="300"/>
      <c r="H234" s="300"/>
      <c r="I234" s="300"/>
      <c r="J234" s="300"/>
      <c r="K234" s="300"/>
      <c r="L234" s="300"/>
      <c r="M234" s="300"/>
      <c r="N234" s="300"/>
      <c r="O234" s="300"/>
      <c r="P234" s="300"/>
      <c r="Q234" s="300"/>
      <c r="R234" s="300"/>
      <c r="S234" s="300"/>
      <c r="T234" s="300"/>
      <c r="U234" s="300"/>
      <c r="V234" s="300"/>
      <c r="W234" s="300"/>
      <c r="X234" s="300"/>
      <c r="Y234" s="300"/>
      <c r="Z234" s="300"/>
      <c r="AA234" s="300"/>
      <c r="AB234" s="300"/>
      <c r="AC234" s="300"/>
      <c r="AD234" s="300"/>
      <c r="AE234" s="300"/>
      <c r="AF234" s="300"/>
      <c r="AG234" s="300"/>
    </row>
    <row r="235" spans="2:33">
      <c r="B235" s="300"/>
      <c r="C235" s="300"/>
      <c r="D235" s="300"/>
      <c r="E235" s="300"/>
      <c r="F235" s="300"/>
      <c r="G235" s="300"/>
      <c r="H235" s="300"/>
      <c r="I235" s="300"/>
      <c r="J235" s="300"/>
      <c r="K235" s="300"/>
      <c r="L235" s="300"/>
      <c r="M235" s="300"/>
      <c r="N235" s="300"/>
      <c r="O235" s="300"/>
      <c r="P235" s="300"/>
      <c r="Q235" s="300"/>
      <c r="R235" s="300"/>
      <c r="S235" s="300"/>
      <c r="T235" s="300"/>
      <c r="U235" s="300"/>
      <c r="V235" s="300"/>
      <c r="W235" s="300"/>
      <c r="X235" s="300"/>
      <c r="Y235" s="300"/>
      <c r="Z235" s="300"/>
      <c r="AA235" s="300"/>
      <c r="AB235" s="300"/>
      <c r="AC235" s="300"/>
      <c r="AD235" s="300"/>
      <c r="AE235" s="300"/>
      <c r="AF235" s="300"/>
      <c r="AG235" s="300"/>
    </row>
    <row r="236" spans="2:33">
      <c r="B236" s="300"/>
      <c r="C236" s="300"/>
      <c r="D236" s="300"/>
      <c r="E236" s="300"/>
      <c r="F236" s="300"/>
      <c r="G236" s="300"/>
      <c r="H236" s="300"/>
      <c r="I236" s="300"/>
      <c r="J236" s="300"/>
      <c r="K236" s="300"/>
      <c r="L236" s="300"/>
      <c r="M236" s="300"/>
      <c r="N236" s="300"/>
      <c r="O236" s="300"/>
      <c r="P236" s="300"/>
      <c r="Q236" s="300"/>
      <c r="R236" s="300"/>
      <c r="S236" s="300"/>
      <c r="T236" s="300"/>
      <c r="U236" s="300"/>
      <c r="V236" s="300"/>
      <c r="W236" s="300"/>
      <c r="X236" s="300"/>
      <c r="Y236" s="300"/>
      <c r="Z236" s="300"/>
      <c r="AA236" s="300"/>
      <c r="AB236" s="300"/>
      <c r="AC236" s="300"/>
      <c r="AD236" s="300"/>
      <c r="AE236" s="300"/>
      <c r="AF236" s="300"/>
      <c r="AG236" s="300"/>
    </row>
    <row r="237" spans="2:33">
      <c r="B237" s="300"/>
      <c r="C237" s="300"/>
      <c r="D237" s="300"/>
      <c r="E237" s="300"/>
      <c r="F237" s="300"/>
      <c r="G237" s="300"/>
      <c r="H237" s="300"/>
      <c r="I237" s="300"/>
      <c r="J237" s="300"/>
      <c r="K237" s="300"/>
      <c r="L237" s="300"/>
      <c r="M237" s="300"/>
      <c r="N237" s="300"/>
      <c r="O237" s="300"/>
      <c r="P237" s="300"/>
      <c r="Q237" s="300"/>
      <c r="R237" s="300"/>
      <c r="S237" s="300"/>
      <c r="T237" s="300"/>
      <c r="U237" s="300"/>
      <c r="V237" s="300"/>
      <c r="W237" s="300"/>
      <c r="X237" s="300"/>
      <c r="Y237" s="300"/>
      <c r="Z237" s="300"/>
      <c r="AA237" s="300"/>
      <c r="AB237" s="300"/>
      <c r="AC237" s="300"/>
      <c r="AD237" s="300"/>
      <c r="AE237" s="300"/>
      <c r="AF237" s="300"/>
      <c r="AG237" s="300"/>
    </row>
    <row r="238" spans="2:33">
      <c r="B238" s="300"/>
      <c r="C238" s="300"/>
      <c r="D238" s="300"/>
      <c r="E238" s="300"/>
      <c r="F238" s="300"/>
      <c r="G238" s="300"/>
      <c r="H238" s="300"/>
      <c r="I238" s="300"/>
      <c r="J238" s="300"/>
      <c r="K238" s="300"/>
      <c r="L238" s="300"/>
      <c r="M238" s="300"/>
      <c r="N238" s="300"/>
      <c r="O238" s="300"/>
      <c r="P238" s="300"/>
      <c r="Q238" s="300"/>
      <c r="R238" s="300"/>
      <c r="S238" s="300"/>
      <c r="T238" s="300"/>
      <c r="U238" s="300"/>
      <c r="V238" s="300"/>
      <c r="W238" s="300"/>
      <c r="X238" s="300"/>
      <c r="Y238" s="300"/>
      <c r="Z238" s="300"/>
      <c r="AA238" s="300"/>
      <c r="AB238" s="300"/>
      <c r="AC238" s="300"/>
      <c r="AD238" s="300"/>
      <c r="AE238" s="300"/>
      <c r="AF238" s="300"/>
      <c r="AG238" s="300"/>
    </row>
    <row r="239" spans="2:33">
      <c r="B239" s="300"/>
      <c r="C239" s="300"/>
      <c r="D239" s="300"/>
      <c r="E239" s="300"/>
      <c r="F239" s="300"/>
      <c r="G239" s="300"/>
      <c r="H239" s="300"/>
      <c r="I239" s="300"/>
      <c r="J239" s="300"/>
      <c r="K239" s="300"/>
      <c r="L239" s="300"/>
      <c r="M239" s="300"/>
      <c r="N239" s="300"/>
      <c r="O239" s="300"/>
      <c r="P239" s="300"/>
      <c r="Q239" s="300"/>
      <c r="R239" s="300"/>
      <c r="S239" s="300"/>
      <c r="T239" s="300"/>
      <c r="U239" s="300"/>
      <c r="V239" s="300"/>
      <c r="W239" s="300"/>
      <c r="X239" s="300"/>
      <c r="Y239" s="300"/>
      <c r="Z239" s="300"/>
      <c r="AA239" s="300"/>
      <c r="AB239" s="300"/>
      <c r="AC239" s="300"/>
      <c r="AD239" s="300"/>
      <c r="AE239" s="300"/>
      <c r="AF239" s="300"/>
      <c r="AG239" s="300"/>
    </row>
    <row r="240" spans="2:33">
      <c r="B240" s="300"/>
      <c r="C240" s="300"/>
      <c r="D240" s="300"/>
      <c r="E240" s="300"/>
      <c r="F240" s="300"/>
      <c r="G240" s="300"/>
      <c r="H240" s="300"/>
      <c r="I240" s="300"/>
      <c r="J240" s="300"/>
      <c r="K240" s="300"/>
      <c r="L240" s="300"/>
      <c r="M240" s="300"/>
      <c r="N240" s="300"/>
      <c r="O240" s="300"/>
      <c r="P240" s="300"/>
      <c r="Q240" s="300"/>
      <c r="R240" s="300"/>
      <c r="S240" s="300"/>
      <c r="T240" s="300"/>
      <c r="U240" s="300"/>
      <c r="V240" s="300"/>
      <c r="W240" s="300"/>
      <c r="X240" s="300"/>
      <c r="Y240" s="300"/>
      <c r="Z240" s="300"/>
      <c r="AA240" s="300"/>
      <c r="AB240" s="300"/>
      <c r="AC240" s="300"/>
      <c r="AD240" s="300"/>
      <c r="AE240" s="300"/>
      <c r="AF240" s="300"/>
      <c r="AG240" s="300"/>
    </row>
    <row r="241" spans="2:33">
      <c r="B241" s="300"/>
      <c r="C241" s="300"/>
      <c r="D241" s="300"/>
      <c r="E241" s="300"/>
      <c r="F241" s="300"/>
      <c r="G241" s="300"/>
      <c r="H241" s="300"/>
      <c r="I241" s="300"/>
      <c r="J241" s="300"/>
      <c r="K241" s="300"/>
      <c r="L241" s="300"/>
      <c r="M241" s="300"/>
      <c r="N241" s="300"/>
      <c r="O241" s="300"/>
      <c r="P241" s="300"/>
      <c r="Q241" s="300"/>
      <c r="R241" s="300"/>
      <c r="S241" s="300"/>
      <c r="T241" s="300"/>
      <c r="U241" s="300"/>
      <c r="V241" s="300"/>
      <c r="W241" s="300"/>
      <c r="X241" s="300"/>
      <c r="Y241" s="300"/>
      <c r="Z241" s="300"/>
      <c r="AA241" s="300"/>
      <c r="AB241" s="300"/>
      <c r="AC241" s="300"/>
      <c r="AD241" s="300"/>
      <c r="AE241" s="300"/>
      <c r="AF241" s="300"/>
      <c r="AG241" s="300"/>
    </row>
    <row r="242" spans="2:33">
      <c r="B242" s="300"/>
      <c r="C242" s="300"/>
      <c r="D242" s="300"/>
      <c r="E242" s="300"/>
      <c r="F242" s="300"/>
      <c r="G242" s="300"/>
      <c r="H242" s="300"/>
      <c r="I242" s="300"/>
      <c r="J242" s="300"/>
      <c r="K242" s="300"/>
      <c r="L242" s="300"/>
      <c r="M242" s="300"/>
      <c r="N242" s="300"/>
      <c r="O242" s="300"/>
      <c r="P242" s="300"/>
      <c r="Q242" s="300"/>
      <c r="R242" s="300"/>
      <c r="S242" s="300"/>
      <c r="T242" s="300"/>
      <c r="U242" s="300"/>
      <c r="V242" s="300"/>
      <c r="W242" s="300"/>
      <c r="X242" s="300"/>
      <c r="Y242" s="300"/>
      <c r="Z242" s="300"/>
      <c r="AA242" s="300"/>
      <c r="AB242" s="300"/>
      <c r="AC242" s="300"/>
      <c r="AD242" s="300"/>
      <c r="AE242" s="300"/>
      <c r="AF242" s="300"/>
      <c r="AG242" s="300"/>
    </row>
    <row r="243" spans="2:33">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300"/>
      <c r="AF243" s="300"/>
      <c r="AG243" s="300"/>
    </row>
    <row r="244" spans="2:33">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300"/>
      <c r="AF244" s="300"/>
      <c r="AG244" s="300"/>
    </row>
    <row r="245" spans="2:33">
      <c r="B245" s="300"/>
      <c r="C245" s="300"/>
      <c r="D245" s="300"/>
      <c r="E245" s="300"/>
      <c r="F245" s="300"/>
      <c r="G245" s="300"/>
      <c r="H245" s="300"/>
      <c r="I245" s="300"/>
      <c r="J245" s="300"/>
      <c r="K245" s="300"/>
      <c r="L245" s="300"/>
      <c r="M245" s="300"/>
      <c r="N245" s="300"/>
      <c r="O245" s="300"/>
      <c r="P245" s="300"/>
      <c r="Q245" s="300"/>
      <c r="R245" s="300"/>
      <c r="S245" s="300"/>
      <c r="T245" s="300"/>
      <c r="U245" s="300"/>
      <c r="V245" s="300"/>
      <c r="W245" s="300"/>
      <c r="X245" s="300"/>
      <c r="Y245" s="300"/>
      <c r="Z245" s="300"/>
      <c r="AA245" s="300"/>
      <c r="AB245" s="300"/>
      <c r="AC245" s="300"/>
      <c r="AD245" s="300"/>
      <c r="AE245" s="300"/>
      <c r="AF245" s="300"/>
      <c r="AG245" s="300"/>
    </row>
    <row r="246" spans="2:33">
      <c r="B246" s="300"/>
      <c r="C246" s="300"/>
      <c r="D246" s="300"/>
      <c r="E246" s="300"/>
      <c r="F246" s="300"/>
      <c r="G246" s="300"/>
      <c r="H246" s="300"/>
      <c r="I246" s="300"/>
      <c r="J246" s="300"/>
      <c r="K246" s="300"/>
      <c r="L246" s="300"/>
      <c r="M246" s="300"/>
      <c r="N246" s="300"/>
      <c r="O246" s="300"/>
      <c r="P246" s="300"/>
      <c r="Q246" s="300"/>
      <c r="R246" s="300"/>
      <c r="S246" s="300"/>
      <c r="T246" s="300"/>
      <c r="U246" s="300"/>
      <c r="V246" s="300"/>
      <c r="W246" s="300"/>
      <c r="X246" s="300"/>
      <c r="Y246" s="300"/>
      <c r="Z246" s="300"/>
      <c r="AA246" s="300"/>
      <c r="AB246" s="300"/>
      <c r="AC246" s="300"/>
      <c r="AD246" s="300"/>
      <c r="AE246" s="300"/>
      <c r="AF246" s="300"/>
      <c r="AG246" s="300"/>
    </row>
    <row r="247" spans="2:33">
      <c r="B247" s="300"/>
      <c r="C247" s="300"/>
      <c r="D247" s="300"/>
      <c r="E247" s="300"/>
      <c r="F247" s="300"/>
      <c r="G247" s="300"/>
      <c r="H247" s="300"/>
      <c r="I247" s="300"/>
      <c r="J247" s="300"/>
      <c r="K247" s="300"/>
      <c r="L247" s="300"/>
      <c r="M247" s="300"/>
      <c r="N247" s="300"/>
      <c r="O247" s="300"/>
      <c r="P247" s="300"/>
      <c r="Q247" s="300"/>
      <c r="R247" s="300"/>
      <c r="S247" s="300"/>
      <c r="T247" s="300"/>
      <c r="U247" s="300"/>
      <c r="V247" s="300"/>
      <c r="W247" s="300"/>
      <c r="X247" s="300"/>
      <c r="Y247" s="300"/>
      <c r="Z247" s="300"/>
      <c r="AA247" s="300"/>
      <c r="AB247" s="300"/>
      <c r="AC247" s="300"/>
      <c r="AD247" s="300"/>
      <c r="AE247" s="300"/>
      <c r="AF247" s="300"/>
      <c r="AG247" s="300"/>
    </row>
    <row r="248" spans="2:33">
      <c r="B248" s="300"/>
      <c r="C248" s="300"/>
      <c r="D248" s="300"/>
      <c r="E248" s="300"/>
      <c r="F248" s="300"/>
      <c r="G248" s="300"/>
      <c r="H248" s="300"/>
      <c r="I248" s="300"/>
      <c r="J248" s="300"/>
      <c r="K248" s="300"/>
      <c r="L248" s="300"/>
      <c r="M248" s="300"/>
      <c r="N248" s="300"/>
      <c r="O248" s="300"/>
      <c r="P248" s="300"/>
      <c r="Q248" s="300"/>
      <c r="R248" s="300"/>
      <c r="S248" s="300"/>
      <c r="T248" s="300"/>
      <c r="U248" s="300"/>
      <c r="V248" s="300"/>
      <c r="W248" s="300"/>
      <c r="X248" s="300"/>
      <c r="Y248" s="300"/>
      <c r="Z248" s="300"/>
      <c r="AA248" s="300"/>
      <c r="AB248" s="300"/>
      <c r="AC248" s="300"/>
      <c r="AD248" s="300"/>
      <c r="AE248" s="300"/>
      <c r="AF248" s="300"/>
      <c r="AG248" s="300"/>
    </row>
    <row r="249" spans="2:33">
      <c r="B249" s="300"/>
      <c r="C249" s="300"/>
      <c r="D249" s="300"/>
      <c r="E249" s="300"/>
      <c r="F249" s="300"/>
      <c r="G249" s="300"/>
      <c r="H249" s="300"/>
      <c r="I249" s="300"/>
      <c r="J249" s="300"/>
      <c r="K249" s="300"/>
      <c r="L249" s="300"/>
      <c r="M249" s="300"/>
      <c r="N249" s="300"/>
      <c r="O249" s="300"/>
      <c r="P249" s="300"/>
      <c r="Q249" s="300"/>
      <c r="R249" s="300"/>
      <c r="S249" s="300"/>
      <c r="T249" s="300"/>
      <c r="U249" s="300"/>
      <c r="V249" s="300"/>
      <c r="W249" s="300"/>
      <c r="X249" s="300"/>
      <c r="Y249" s="300"/>
      <c r="Z249" s="300"/>
      <c r="AA249" s="300"/>
      <c r="AB249" s="300"/>
      <c r="AC249" s="300"/>
      <c r="AD249" s="300"/>
      <c r="AE249" s="300"/>
      <c r="AF249" s="300"/>
      <c r="AG249" s="300"/>
    </row>
    <row r="250" spans="2:33">
      <c r="B250" s="300"/>
      <c r="C250" s="300"/>
      <c r="D250" s="300"/>
      <c r="E250" s="300"/>
      <c r="F250" s="300"/>
      <c r="G250" s="300"/>
      <c r="H250" s="300"/>
      <c r="I250" s="300"/>
      <c r="J250" s="300"/>
      <c r="K250" s="300"/>
      <c r="L250" s="300"/>
      <c r="M250" s="300"/>
      <c r="N250" s="300"/>
      <c r="O250" s="300"/>
      <c r="P250" s="300"/>
      <c r="Q250" s="300"/>
      <c r="R250" s="300"/>
      <c r="S250" s="300"/>
      <c r="T250" s="300"/>
      <c r="U250" s="300"/>
      <c r="V250" s="300"/>
      <c r="W250" s="300"/>
      <c r="X250" s="300"/>
      <c r="Y250" s="300"/>
      <c r="Z250" s="300"/>
      <c r="AA250" s="300"/>
      <c r="AB250" s="300"/>
      <c r="AC250" s="300"/>
      <c r="AD250" s="300"/>
      <c r="AE250" s="300"/>
      <c r="AF250" s="300"/>
      <c r="AG250" s="300"/>
    </row>
    <row r="251" spans="2:33">
      <c r="B251" s="300"/>
      <c r="C251" s="300"/>
      <c r="D251" s="300"/>
      <c r="E251" s="300"/>
      <c r="F251" s="300"/>
      <c r="G251" s="300"/>
      <c r="H251" s="300"/>
      <c r="I251" s="300"/>
      <c r="J251" s="300"/>
      <c r="K251" s="300"/>
      <c r="L251" s="300"/>
      <c r="M251" s="300"/>
      <c r="N251" s="300"/>
      <c r="O251" s="300"/>
      <c r="P251" s="300"/>
      <c r="Q251" s="300"/>
      <c r="R251" s="300"/>
      <c r="S251" s="300"/>
      <c r="T251" s="300"/>
      <c r="U251" s="300"/>
      <c r="V251" s="300"/>
      <c r="W251" s="300"/>
      <c r="X251" s="300"/>
      <c r="Y251" s="300"/>
      <c r="Z251" s="300"/>
      <c r="AA251" s="300"/>
      <c r="AB251" s="300"/>
      <c r="AC251" s="300"/>
      <c r="AD251" s="300"/>
      <c r="AE251" s="300"/>
      <c r="AF251" s="300"/>
      <c r="AG251" s="300"/>
    </row>
    <row r="252" spans="2:33">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300"/>
      <c r="AF252" s="300"/>
      <c r="AG252" s="300"/>
    </row>
    <row r="253" spans="2:33">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300"/>
      <c r="AF253" s="300"/>
      <c r="AG253" s="300"/>
    </row>
    <row r="254" spans="2:33">
      <c r="B254" s="300"/>
      <c r="C254" s="300"/>
      <c r="D254" s="300"/>
      <c r="E254" s="300"/>
      <c r="F254" s="300"/>
      <c r="G254" s="300"/>
      <c r="H254" s="300"/>
      <c r="I254" s="300"/>
      <c r="J254" s="300"/>
      <c r="K254" s="300"/>
      <c r="L254" s="300"/>
      <c r="M254" s="300"/>
      <c r="N254" s="300"/>
      <c r="O254" s="300"/>
      <c r="P254" s="300"/>
      <c r="Q254" s="300"/>
      <c r="R254" s="300"/>
      <c r="S254" s="300"/>
      <c r="T254" s="300"/>
      <c r="U254" s="300"/>
      <c r="V254" s="300"/>
      <c r="W254" s="300"/>
      <c r="X254" s="300"/>
      <c r="Y254" s="300"/>
      <c r="Z254" s="300"/>
      <c r="AA254" s="300"/>
      <c r="AB254" s="300"/>
      <c r="AC254" s="300"/>
      <c r="AD254" s="300"/>
      <c r="AE254" s="300"/>
      <c r="AF254" s="300"/>
      <c r="AG254" s="300"/>
    </row>
    <row r="255" spans="2:33">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c r="AE255" s="300"/>
      <c r="AF255" s="300"/>
      <c r="AG255" s="300"/>
    </row>
    <row r="256" spans="2:33">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c r="AF256" s="300"/>
      <c r="AG256" s="300"/>
    </row>
    <row r="257" spans="2:33">
      <c r="B257" s="300"/>
      <c r="C257" s="300"/>
      <c r="D257" s="300"/>
      <c r="E257" s="300"/>
      <c r="F257" s="300"/>
      <c r="G257" s="300"/>
      <c r="H257" s="300"/>
      <c r="I257" s="300"/>
      <c r="J257" s="300"/>
      <c r="K257" s="300"/>
      <c r="L257" s="300"/>
      <c r="M257" s="300"/>
      <c r="N257" s="300"/>
      <c r="O257" s="300"/>
      <c r="P257" s="300"/>
      <c r="Q257" s="300"/>
      <c r="R257" s="300"/>
      <c r="S257" s="300"/>
      <c r="T257" s="300"/>
      <c r="U257" s="300"/>
      <c r="V257" s="300"/>
      <c r="W257" s="300"/>
      <c r="X257" s="300"/>
      <c r="Y257" s="300"/>
      <c r="Z257" s="300"/>
      <c r="AA257" s="300"/>
      <c r="AB257" s="300"/>
      <c r="AC257" s="300"/>
      <c r="AD257" s="300"/>
      <c r="AE257" s="300"/>
      <c r="AF257" s="300"/>
      <c r="AG257" s="300"/>
    </row>
    <row r="258" spans="2:33">
      <c r="B258" s="300"/>
      <c r="C258" s="300"/>
      <c r="D258" s="300"/>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300"/>
      <c r="AF258" s="300"/>
      <c r="AG258" s="300"/>
    </row>
    <row r="259" spans="2:33">
      <c r="B259" s="300"/>
      <c r="C259" s="300"/>
      <c r="D259" s="300"/>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c r="AE259" s="300"/>
      <c r="AF259" s="300"/>
      <c r="AG259" s="300"/>
    </row>
    <row r="260" spans="2:33">
      <c r="B260" s="300"/>
      <c r="C260" s="300"/>
      <c r="D260" s="300"/>
      <c r="E260" s="300"/>
      <c r="F260" s="300"/>
      <c r="G260" s="300"/>
      <c r="H260" s="300"/>
      <c r="I260" s="300"/>
      <c r="J260" s="300"/>
      <c r="K260" s="300"/>
      <c r="L260" s="300"/>
      <c r="M260" s="300"/>
      <c r="N260" s="300"/>
      <c r="O260" s="300"/>
      <c r="P260" s="300"/>
      <c r="Q260" s="300"/>
      <c r="R260" s="300"/>
      <c r="S260" s="300"/>
      <c r="T260" s="300"/>
      <c r="U260" s="300"/>
      <c r="V260" s="300"/>
      <c r="W260" s="300"/>
      <c r="X260" s="300"/>
      <c r="Y260" s="300"/>
      <c r="Z260" s="300"/>
      <c r="AA260" s="300"/>
      <c r="AB260" s="300"/>
      <c r="AC260" s="300"/>
      <c r="AD260" s="300"/>
      <c r="AE260" s="300"/>
      <c r="AF260" s="300"/>
      <c r="AG260" s="300"/>
    </row>
    <row r="261" spans="2:33">
      <c r="B261" s="300"/>
      <c r="C261" s="300"/>
      <c r="D261" s="300"/>
      <c r="E261" s="300"/>
      <c r="F261" s="300"/>
      <c r="G261" s="300"/>
      <c r="H261" s="300"/>
      <c r="I261" s="300"/>
      <c r="J261" s="300"/>
      <c r="K261" s="300"/>
      <c r="L261" s="300"/>
      <c r="M261" s="300"/>
      <c r="N261" s="300"/>
      <c r="O261" s="300"/>
      <c r="P261" s="300"/>
      <c r="Q261" s="300"/>
      <c r="R261" s="300"/>
      <c r="S261" s="300"/>
      <c r="T261" s="300"/>
      <c r="U261" s="300"/>
      <c r="V261" s="300"/>
      <c r="W261" s="300"/>
      <c r="X261" s="300"/>
      <c r="Y261" s="300"/>
      <c r="Z261" s="300"/>
      <c r="AA261" s="300"/>
      <c r="AB261" s="300"/>
      <c r="AC261" s="300"/>
      <c r="AD261" s="300"/>
      <c r="AE261" s="300"/>
      <c r="AF261" s="300"/>
      <c r="AG261" s="300"/>
    </row>
    <row r="262" spans="2:33">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c r="AF262" s="300"/>
      <c r="AG262" s="300"/>
    </row>
    <row r="263" spans="2:33">
      <c r="B263" s="300"/>
      <c r="C263" s="300"/>
      <c r="D263" s="300"/>
      <c r="E263" s="300"/>
      <c r="F263" s="300"/>
      <c r="G263" s="300"/>
      <c r="H263" s="300"/>
      <c r="I263" s="300"/>
      <c r="J263" s="300"/>
      <c r="K263" s="300"/>
      <c r="L263" s="300"/>
      <c r="M263" s="300"/>
      <c r="N263" s="300"/>
      <c r="O263" s="300"/>
      <c r="P263" s="300"/>
      <c r="Q263" s="300"/>
      <c r="R263" s="300"/>
      <c r="S263" s="300"/>
      <c r="T263" s="300"/>
      <c r="U263" s="300"/>
      <c r="V263" s="300"/>
      <c r="W263" s="300"/>
      <c r="X263" s="300"/>
      <c r="Y263" s="300"/>
      <c r="Z263" s="300"/>
      <c r="AA263" s="300"/>
      <c r="AB263" s="300"/>
      <c r="AC263" s="300"/>
      <c r="AD263" s="300"/>
      <c r="AE263" s="300"/>
      <c r="AF263" s="300"/>
      <c r="AG263" s="300"/>
    </row>
    <row r="264" spans="2:33">
      <c r="B264" s="300"/>
      <c r="C264" s="300"/>
      <c r="D264" s="300"/>
      <c r="E264" s="300"/>
      <c r="F264" s="300"/>
      <c r="G264" s="300"/>
      <c r="H264" s="300"/>
      <c r="I264" s="300"/>
      <c r="J264" s="300"/>
      <c r="K264" s="300"/>
      <c r="L264" s="300"/>
      <c r="M264" s="300"/>
      <c r="N264" s="300"/>
      <c r="O264" s="300"/>
      <c r="P264" s="300"/>
      <c r="Q264" s="300"/>
      <c r="R264" s="300"/>
      <c r="S264" s="300"/>
      <c r="T264" s="300"/>
      <c r="U264" s="300"/>
      <c r="V264" s="300"/>
      <c r="W264" s="300"/>
      <c r="X264" s="300"/>
      <c r="Y264" s="300"/>
      <c r="Z264" s="300"/>
      <c r="AA264" s="300"/>
      <c r="AB264" s="300"/>
      <c r="AC264" s="300"/>
      <c r="AD264" s="300"/>
      <c r="AE264" s="300"/>
      <c r="AF264" s="300"/>
      <c r="AG264" s="300"/>
    </row>
    <row r="265" spans="2:33">
      <c r="B265" s="300"/>
      <c r="C265" s="300"/>
      <c r="D265" s="300"/>
      <c r="E265" s="300"/>
      <c r="F265" s="300"/>
      <c r="G265" s="300"/>
      <c r="H265" s="300"/>
      <c r="I265" s="300"/>
      <c r="J265" s="300"/>
      <c r="K265" s="300"/>
      <c r="L265" s="300"/>
      <c r="M265" s="300"/>
      <c r="N265" s="300"/>
      <c r="O265" s="300"/>
      <c r="P265" s="300"/>
      <c r="Q265" s="300"/>
      <c r="R265" s="300"/>
      <c r="S265" s="300"/>
      <c r="T265" s="300"/>
      <c r="U265" s="300"/>
      <c r="V265" s="300"/>
      <c r="W265" s="300"/>
      <c r="X265" s="300"/>
      <c r="Y265" s="300"/>
      <c r="Z265" s="300"/>
      <c r="AA265" s="300"/>
      <c r="AB265" s="300"/>
      <c r="AC265" s="300"/>
      <c r="AD265" s="300"/>
      <c r="AE265" s="300"/>
      <c r="AF265" s="300"/>
      <c r="AG265" s="300"/>
    </row>
    <row r="266" spans="2:33">
      <c r="B266" s="300"/>
      <c r="C266" s="300"/>
      <c r="D266" s="300"/>
      <c r="E266" s="300"/>
      <c r="F266" s="300"/>
      <c r="G266" s="300"/>
      <c r="H266" s="300"/>
      <c r="I266" s="300"/>
      <c r="J266" s="300"/>
      <c r="K266" s="300"/>
      <c r="L266" s="300"/>
      <c r="M266" s="300"/>
      <c r="N266" s="300"/>
      <c r="O266" s="300"/>
      <c r="P266" s="300"/>
      <c r="Q266" s="300"/>
      <c r="R266" s="300"/>
      <c r="S266" s="300"/>
      <c r="T266" s="300"/>
      <c r="U266" s="300"/>
      <c r="V266" s="300"/>
      <c r="W266" s="300"/>
      <c r="X266" s="300"/>
      <c r="Y266" s="300"/>
      <c r="Z266" s="300"/>
      <c r="AA266" s="300"/>
      <c r="AB266" s="300"/>
      <c r="AC266" s="300"/>
      <c r="AD266" s="300"/>
      <c r="AE266" s="300"/>
      <c r="AF266" s="300"/>
      <c r="AG266" s="300"/>
    </row>
    <row r="267" spans="2:33">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300"/>
      <c r="AF267" s="300"/>
      <c r="AG267" s="300"/>
    </row>
    <row r="268" spans="2:33">
      <c r="B268" s="300"/>
      <c r="C268" s="300"/>
      <c r="D268" s="300"/>
      <c r="E268" s="300"/>
      <c r="F268" s="300"/>
      <c r="G268" s="300"/>
      <c r="H268" s="300"/>
      <c r="I268" s="300"/>
      <c r="J268" s="300"/>
      <c r="K268" s="300"/>
      <c r="L268" s="300"/>
      <c r="M268" s="300"/>
      <c r="N268" s="300"/>
      <c r="O268" s="300"/>
      <c r="P268" s="300"/>
      <c r="Q268" s="300"/>
      <c r="R268" s="300"/>
      <c r="S268" s="300"/>
      <c r="T268" s="300"/>
      <c r="U268" s="300"/>
      <c r="V268" s="300"/>
      <c r="W268" s="300"/>
      <c r="X268" s="300"/>
      <c r="Y268" s="300"/>
      <c r="Z268" s="300"/>
      <c r="AA268" s="300"/>
      <c r="AB268" s="300"/>
      <c r="AC268" s="300"/>
      <c r="AD268" s="300"/>
      <c r="AE268" s="300"/>
      <c r="AF268" s="300"/>
      <c r="AG268" s="300"/>
    </row>
    <row r="269" spans="2:33">
      <c r="B269" s="300"/>
      <c r="C269" s="300"/>
      <c r="D269" s="300"/>
      <c r="E269" s="300"/>
      <c r="F269" s="300"/>
      <c r="G269" s="300"/>
      <c r="H269" s="300"/>
      <c r="I269" s="300"/>
      <c r="J269" s="300"/>
      <c r="K269" s="300"/>
      <c r="L269" s="300"/>
      <c r="M269" s="300"/>
      <c r="N269" s="300"/>
      <c r="O269" s="300"/>
      <c r="P269" s="300"/>
      <c r="Q269" s="300"/>
      <c r="R269" s="300"/>
      <c r="S269" s="300"/>
      <c r="T269" s="300"/>
      <c r="U269" s="300"/>
      <c r="V269" s="300"/>
      <c r="W269" s="300"/>
      <c r="X269" s="300"/>
      <c r="Y269" s="300"/>
      <c r="Z269" s="300"/>
      <c r="AA269" s="300"/>
      <c r="AB269" s="300"/>
      <c r="AC269" s="300"/>
      <c r="AD269" s="300"/>
      <c r="AE269" s="300"/>
      <c r="AF269" s="300"/>
      <c r="AG269" s="300"/>
    </row>
    <row r="270" spans="2:33">
      <c r="B270" s="300"/>
      <c r="C270" s="300"/>
      <c r="D270" s="300"/>
      <c r="E270" s="300"/>
      <c r="F270" s="300"/>
      <c r="G270" s="300"/>
      <c r="H270" s="300"/>
      <c r="I270" s="300"/>
      <c r="J270" s="300"/>
      <c r="K270" s="300"/>
      <c r="L270" s="300"/>
      <c r="M270" s="300"/>
      <c r="N270" s="300"/>
      <c r="O270" s="300"/>
      <c r="P270" s="300"/>
      <c r="Q270" s="300"/>
      <c r="R270" s="300"/>
      <c r="S270" s="300"/>
      <c r="T270" s="300"/>
      <c r="U270" s="300"/>
      <c r="V270" s="300"/>
      <c r="W270" s="300"/>
      <c r="X270" s="300"/>
      <c r="Y270" s="300"/>
      <c r="Z270" s="300"/>
      <c r="AA270" s="300"/>
      <c r="AB270" s="300"/>
      <c r="AC270" s="300"/>
      <c r="AD270" s="300"/>
      <c r="AE270" s="300"/>
      <c r="AF270" s="300"/>
      <c r="AG270" s="300"/>
    </row>
    <row r="271" spans="2:33">
      <c r="B271" s="300"/>
      <c r="C271" s="300"/>
      <c r="D271" s="300"/>
      <c r="E271" s="300"/>
      <c r="F271" s="300"/>
      <c r="G271" s="300"/>
      <c r="H271" s="300"/>
      <c r="I271" s="300"/>
      <c r="J271" s="300"/>
      <c r="K271" s="300"/>
      <c r="L271" s="300"/>
      <c r="M271" s="300"/>
      <c r="N271" s="300"/>
      <c r="O271" s="300"/>
      <c r="P271" s="300"/>
      <c r="Q271" s="300"/>
      <c r="R271" s="300"/>
      <c r="S271" s="300"/>
      <c r="T271" s="300"/>
      <c r="U271" s="300"/>
      <c r="V271" s="300"/>
      <c r="W271" s="300"/>
      <c r="X271" s="300"/>
      <c r="Y271" s="300"/>
      <c r="Z271" s="300"/>
      <c r="AA271" s="300"/>
      <c r="AB271" s="300"/>
      <c r="AC271" s="300"/>
      <c r="AD271" s="300"/>
      <c r="AE271" s="300"/>
      <c r="AF271" s="300"/>
      <c r="AG271" s="300"/>
    </row>
    <row r="272" spans="2:33">
      <c r="B272" s="300"/>
      <c r="C272" s="300"/>
      <c r="D272" s="300"/>
      <c r="E272" s="300"/>
      <c r="F272" s="300"/>
      <c r="G272" s="300"/>
      <c r="H272" s="300"/>
      <c r="I272" s="300"/>
      <c r="J272" s="300"/>
      <c r="K272" s="300"/>
      <c r="L272" s="300"/>
      <c r="M272" s="300"/>
      <c r="N272" s="300"/>
      <c r="O272" s="300"/>
      <c r="P272" s="300"/>
      <c r="Q272" s="300"/>
      <c r="R272" s="300"/>
      <c r="S272" s="300"/>
      <c r="T272" s="300"/>
      <c r="U272" s="300"/>
      <c r="V272" s="300"/>
      <c r="W272" s="300"/>
      <c r="X272" s="300"/>
      <c r="Y272" s="300"/>
      <c r="Z272" s="300"/>
      <c r="AA272" s="300"/>
      <c r="AB272" s="300"/>
      <c r="AC272" s="300"/>
      <c r="AD272" s="300"/>
      <c r="AE272" s="300"/>
      <c r="AF272" s="300"/>
      <c r="AG272" s="300"/>
    </row>
    <row r="273" spans="2:33">
      <c r="B273" s="300"/>
      <c r="C273" s="300"/>
      <c r="D273" s="300"/>
      <c r="E273" s="300"/>
      <c r="F273" s="300"/>
      <c r="G273" s="300"/>
      <c r="H273" s="300"/>
      <c r="I273" s="300"/>
      <c r="J273" s="300"/>
      <c r="K273" s="300"/>
      <c r="L273" s="300"/>
      <c r="M273" s="300"/>
      <c r="N273" s="300"/>
      <c r="O273" s="300"/>
      <c r="P273" s="300"/>
      <c r="Q273" s="300"/>
      <c r="R273" s="300"/>
      <c r="S273" s="300"/>
      <c r="T273" s="300"/>
      <c r="U273" s="300"/>
      <c r="V273" s="300"/>
      <c r="W273" s="300"/>
      <c r="X273" s="300"/>
      <c r="Y273" s="300"/>
      <c r="Z273" s="300"/>
      <c r="AA273" s="300"/>
      <c r="AB273" s="300"/>
      <c r="AC273" s="300"/>
      <c r="AD273" s="300"/>
      <c r="AE273" s="300"/>
      <c r="AF273" s="300"/>
      <c r="AG273" s="300"/>
    </row>
    <row r="274" spans="2:33">
      <c r="B274" s="300"/>
      <c r="C274" s="300"/>
      <c r="D274" s="300"/>
      <c r="E274" s="300"/>
      <c r="F274" s="300"/>
      <c r="G274" s="300"/>
      <c r="H274" s="300"/>
      <c r="I274" s="300"/>
      <c r="J274" s="300"/>
      <c r="K274" s="300"/>
      <c r="L274" s="300"/>
      <c r="M274" s="300"/>
      <c r="N274" s="300"/>
      <c r="O274" s="300"/>
      <c r="P274" s="300"/>
      <c r="Q274" s="300"/>
      <c r="R274" s="300"/>
      <c r="S274" s="300"/>
      <c r="T274" s="300"/>
      <c r="U274" s="300"/>
      <c r="V274" s="300"/>
      <c r="W274" s="300"/>
      <c r="X274" s="300"/>
      <c r="Y274" s="300"/>
      <c r="Z274" s="300"/>
      <c r="AA274" s="300"/>
      <c r="AB274" s="300"/>
      <c r="AC274" s="300"/>
      <c r="AD274" s="300"/>
      <c r="AE274" s="300"/>
      <c r="AF274" s="300"/>
      <c r="AG274" s="300"/>
    </row>
    <row r="275" spans="2:33">
      <c r="B275" s="300"/>
      <c r="C275" s="300"/>
      <c r="D275" s="300"/>
      <c r="E275" s="300"/>
      <c r="F275" s="300"/>
      <c r="G275" s="300"/>
      <c r="H275" s="300"/>
      <c r="I275" s="300"/>
      <c r="J275" s="300"/>
      <c r="K275" s="300"/>
      <c r="L275" s="300"/>
      <c r="M275" s="300"/>
      <c r="N275" s="300"/>
      <c r="O275" s="300"/>
      <c r="P275" s="300"/>
      <c r="Q275" s="300"/>
      <c r="R275" s="300"/>
      <c r="S275" s="300"/>
      <c r="T275" s="300"/>
      <c r="U275" s="300"/>
      <c r="V275" s="300"/>
      <c r="W275" s="300"/>
      <c r="X275" s="300"/>
      <c r="Y275" s="300"/>
      <c r="Z275" s="300"/>
      <c r="AA275" s="300"/>
      <c r="AB275" s="300"/>
      <c r="AC275" s="300"/>
      <c r="AD275" s="300"/>
      <c r="AE275" s="300"/>
      <c r="AF275" s="300"/>
      <c r="AG275" s="300"/>
    </row>
    <row r="276" spans="2:33">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300"/>
      <c r="AF276" s="300"/>
      <c r="AG276" s="300"/>
    </row>
    <row r="277" spans="2:33">
      <c r="B277" s="300"/>
      <c r="C277" s="300"/>
      <c r="D277" s="300"/>
      <c r="E277" s="300"/>
      <c r="F277" s="300"/>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300"/>
      <c r="AE277" s="300"/>
      <c r="AF277" s="300"/>
      <c r="AG277" s="300"/>
    </row>
    <row r="278" spans="2:33">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c r="AE278" s="300"/>
      <c r="AF278" s="300"/>
      <c r="AG278" s="300"/>
    </row>
    <row r="279" spans="2:33">
      <c r="B279" s="300"/>
      <c r="C279" s="300"/>
      <c r="D279" s="300"/>
      <c r="E279" s="300"/>
      <c r="F279" s="300"/>
      <c r="G279" s="300"/>
      <c r="H279" s="300"/>
      <c r="I279" s="300"/>
      <c r="J279" s="300"/>
      <c r="K279" s="300"/>
      <c r="L279" s="300"/>
      <c r="M279" s="300"/>
      <c r="N279" s="300"/>
      <c r="O279" s="300"/>
      <c r="P279" s="300"/>
      <c r="Q279" s="300"/>
      <c r="R279" s="300"/>
      <c r="S279" s="300"/>
      <c r="T279" s="300"/>
      <c r="U279" s="300"/>
      <c r="V279" s="300"/>
      <c r="W279" s="300"/>
      <c r="X279" s="300"/>
      <c r="Y279" s="300"/>
      <c r="Z279" s="300"/>
      <c r="AA279" s="300"/>
      <c r="AB279" s="300"/>
      <c r="AC279" s="300"/>
      <c r="AD279" s="300"/>
      <c r="AE279" s="300"/>
      <c r="AF279" s="300"/>
      <c r="AG279" s="300"/>
    </row>
    <row r="280" spans="2:33">
      <c r="B280" s="300"/>
      <c r="C280" s="300"/>
      <c r="D280" s="300"/>
      <c r="E280" s="300"/>
      <c r="F280" s="300"/>
      <c r="G280" s="300"/>
      <c r="H280" s="300"/>
      <c r="I280" s="300"/>
      <c r="J280" s="300"/>
      <c r="K280" s="300"/>
      <c r="L280" s="300"/>
      <c r="M280" s="300"/>
      <c r="N280" s="300"/>
      <c r="O280" s="300"/>
      <c r="P280" s="300"/>
      <c r="Q280" s="300"/>
      <c r="R280" s="300"/>
      <c r="S280" s="300"/>
      <c r="T280" s="300"/>
      <c r="U280" s="300"/>
      <c r="V280" s="300"/>
      <c r="W280" s="300"/>
      <c r="X280" s="300"/>
      <c r="Y280" s="300"/>
      <c r="Z280" s="300"/>
      <c r="AA280" s="300"/>
      <c r="AB280" s="300"/>
      <c r="AC280" s="300"/>
      <c r="AD280" s="300"/>
      <c r="AE280" s="300"/>
      <c r="AF280" s="300"/>
      <c r="AG280" s="300"/>
    </row>
    <row r="281" spans="2:33">
      <c r="B281" s="300"/>
      <c r="C281" s="300"/>
      <c r="D281" s="300"/>
      <c r="E281" s="300"/>
      <c r="F281" s="300"/>
      <c r="G281" s="300"/>
      <c r="H281" s="300"/>
      <c r="I281" s="300"/>
      <c r="J281" s="300"/>
      <c r="K281" s="300"/>
      <c r="L281" s="300"/>
      <c r="M281" s="300"/>
      <c r="N281" s="300"/>
      <c r="O281" s="300"/>
      <c r="P281" s="300"/>
      <c r="Q281" s="300"/>
      <c r="R281" s="300"/>
      <c r="S281" s="300"/>
      <c r="T281" s="300"/>
      <c r="U281" s="300"/>
      <c r="V281" s="300"/>
      <c r="W281" s="300"/>
      <c r="X281" s="300"/>
      <c r="Y281" s="300"/>
      <c r="Z281" s="300"/>
      <c r="AA281" s="300"/>
      <c r="AB281" s="300"/>
      <c r="AC281" s="300"/>
      <c r="AD281" s="300"/>
      <c r="AE281" s="300"/>
      <c r="AF281" s="300"/>
      <c r="AG281" s="300"/>
    </row>
    <row r="282" spans="2:33">
      <c r="B282" s="300"/>
      <c r="C282" s="300"/>
      <c r="D282" s="300"/>
      <c r="E282" s="300"/>
      <c r="F282" s="300"/>
      <c r="G282" s="300"/>
      <c r="H282" s="300"/>
      <c r="I282" s="300"/>
      <c r="J282" s="300"/>
      <c r="K282" s="300"/>
      <c r="L282" s="300"/>
      <c r="M282" s="300"/>
      <c r="N282" s="300"/>
      <c r="O282" s="300"/>
      <c r="P282" s="300"/>
      <c r="Q282" s="300"/>
      <c r="R282" s="300"/>
      <c r="S282" s="300"/>
      <c r="T282" s="300"/>
      <c r="U282" s="300"/>
      <c r="V282" s="300"/>
      <c r="W282" s="300"/>
      <c r="X282" s="300"/>
      <c r="Y282" s="300"/>
      <c r="Z282" s="300"/>
      <c r="AA282" s="300"/>
      <c r="AB282" s="300"/>
      <c r="AC282" s="300"/>
      <c r="AD282" s="300"/>
      <c r="AE282" s="300"/>
      <c r="AF282" s="300"/>
      <c r="AG282" s="300"/>
    </row>
    <row r="283" spans="2:33">
      <c r="B283" s="300"/>
      <c r="C283" s="300"/>
      <c r="D283" s="300"/>
      <c r="E283" s="300"/>
      <c r="F283" s="300"/>
      <c r="G283" s="300"/>
      <c r="H283" s="300"/>
      <c r="I283" s="300"/>
      <c r="J283" s="300"/>
      <c r="K283" s="300"/>
      <c r="L283" s="300"/>
      <c r="M283" s="300"/>
      <c r="N283" s="300"/>
      <c r="O283" s="300"/>
      <c r="P283" s="300"/>
      <c r="Q283" s="300"/>
      <c r="R283" s="300"/>
      <c r="S283" s="300"/>
      <c r="T283" s="300"/>
      <c r="U283" s="300"/>
      <c r="V283" s="300"/>
      <c r="W283" s="300"/>
      <c r="X283" s="300"/>
      <c r="Y283" s="300"/>
      <c r="Z283" s="300"/>
      <c r="AA283" s="300"/>
      <c r="AB283" s="300"/>
      <c r="AC283" s="300"/>
      <c r="AD283" s="300"/>
      <c r="AE283" s="300"/>
      <c r="AF283" s="300"/>
      <c r="AG283" s="300"/>
    </row>
    <row r="284" spans="2:33">
      <c r="B284" s="300"/>
      <c r="C284" s="300"/>
      <c r="D284" s="300"/>
      <c r="E284" s="300"/>
      <c r="F284" s="300"/>
      <c r="G284" s="300"/>
      <c r="H284" s="300"/>
      <c r="I284" s="300"/>
      <c r="J284" s="300"/>
      <c r="K284" s="300"/>
      <c r="L284" s="300"/>
      <c r="M284" s="300"/>
      <c r="N284" s="300"/>
      <c r="O284" s="300"/>
      <c r="P284" s="300"/>
      <c r="Q284" s="300"/>
      <c r="R284" s="300"/>
      <c r="S284" s="300"/>
      <c r="T284" s="300"/>
      <c r="U284" s="300"/>
      <c r="V284" s="300"/>
      <c r="W284" s="300"/>
      <c r="X284" s="300"/>
      <c r="Y284" s="300"/>
      <c r="Z284" s="300"/>
      <c r="AA284" s="300"/>
      <c r="AB284" s="300"/>
      <c r="AC284" s="300"/>
      <c r="AD284" s="300"/>
      <c r="AE284" s="300"/>
      <c r="AF284" s="300"/>
      <c r="AG284" s="300"/>
    </row>
    <row r="285" spans="2:33">
      <c r="B285" s="300"/>
      <c r="C285" s="300"/>
      <c r="D285" s="300"/>
      <c r="E285" s="300"/>
      <c r="F285" s="300"/>
      <c r="G285" s="300"/>
      <c r="H285" s="300"/>
      <c r="I285" s="300"/>
      <c r="J285" s="300"/>
      <c r="K285" s="300"/>
      <c r="L285" s="300"/>
      <c r="M285" s="300"/>
      <c r="N285" s="300"/>
      <c r="O285" s="300"/>
      <c r="P285" s="300"/>
      <c r="Q285" s="300"/>
      <c r="R285" s="300"/>
      <c r="S285" s="300"/>
      <c r="T285" s="300"/>
      <c r="U285" s="300"/>
      <c r="V285" s="300"/>
      <c r="W285" s="300"/>
      <c r="X285" s="300"/>
      <c r="Y285" s="300"/>
      <c r="Z285" s="300"/>
      <c r="AA285" s="300"/>
      <c r="AB285" s="300"/>
      <c r="AC285" s="300"/>
      <c r="AD285" s="300"/>
      <c r="AE285" s="300"/>
      <c r="AF285" s="300"/>
      <c r="AG285" s="300"/>
    </row>
    <row r="286" spans="2:33">
      <c r="B286" s="300"/>
      <c r="C286" s="300"/>
      <c r="D286" s="300"/>
      <c r="E286" s="300"/>
      <c r="F286" s="300"/>
      <c r="G286" s="300"/>
      <c r="H286" s="300"/>
      <c r="I286" s="300"/>
      <c r="J286" s="300"/>
      <c r="K286" s="300"/>
      <c r="L286" s="300"/>
      <c r="M286" s="300"/>
      <c r="N286" s="300"/>
      <c r="O286" s="300"/>
      <c r="P286" s="300"/>
      <c r="Q286" s="300"/>
      <c r="R286" s="300"/>
      <c r="S286" s="300"/>
      <c r="T286" s="300"/>
      <c r="U286" s="300"/>
      <c r="V286" s="300"/>
      <c r="W286" s="300"/>
      <c r="X286" s="300"/>
      <c r="Y286" s="300"/>
      <c r="Z286" s="300"/>
      <c r="AA286" s="300"/>
      <c r="AB286" s="300"/>
      <c r="AC286" s="300"/>
      <c r="AD286" s="300"/>
      <c r="AE286" s="300"/>
      <c r="AF286" s="300"/>
      <c r="AG286" s="300"/>
    </row>
    <row r="287" spans="2:33">
      <c r="B287" s="300"/>
      <c r="C287" s="300"/>
      <c r="D287" s="300"/>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300"/>
      <c r="AA287" s="300"/>
      <c r="AB287" s="300"/>
      <c r="AC287" s="300"/>
      <c r="AD287" s="300"/>
      <c r="AE287" s="300"/>
      <c r="AF287" s="300"/>
      <c r="AG287" s="300"/>
    </row>
    <row r="288" spans="2:33">
      <c r="B288" s="300"/>
      <c r="C288" s="300"/>
      <c r="D288" s="300"/>
      <c r="E288" s="300"/>
      <c r="F288" s="300"/>
      <c r="G288" s="300"/>
      <c r="H288" s="300"/>
      <c r="I288" s="300"/>
      <c r="J288" s="300"/>
      <c r="K288" s="300"/>
      <c r="L288" s="300"/>
      <c r="M288" s="300"/>
      <c r="N288" s="300"/>
      <c r="O288" s="300"/>
      <c r="P288" s="300"/>
      <c r="Q288" s="300"/>
      <c r="R288" s="300"/>
      <c r="S288" s="300"/>
      <c r="T288" s="300"/>
      <c r="U288" s="300"/>
      <c r="V288" s="300"/>
      <c r="W288" s="300"/>
      <c r="X288" s="300"/>
      <c r="Y288" s="300"/>
      <c r="Z288" s="300"/>
      <c r="AA288" s="300"/>
      <c r="AB288" s="300"/>
      <c r="AC288" s="300"/>
      <c r="AD288" s="300"/>
      <c r="AE288" s="300"/>
      <c r="AF288" s="300"/>
      <c r="AG288" s="300"/>
    </row>
    <row r="289" spans="2:33">
      <c r="B289" s="300"/>
      <c r="C289" s="300"/>
      <c r="D289" s="300"/>
      <c r="E289" s="300"/>
      <c r="F289" s="300"/>
      <c r="G289" s="300"/>
      <c r="H289" s="300"/>
      <c r="I289" s="300"/>
      <c r="J289" s="300"/>
      <c r="K289" s="300"/>
      <c r="L289" s="300"/>
      <c r="M289" s="300"/>
      <c r="N289" s="300"/>
      <c r="O289" s="300"/>
      <c r="P289" s="300"/>
      <c r="Q289" s="300"/>
      <c r="R289" s="300"/>
      <c r="S289" s="300"/>
      <c r="T289" s="300"/>
      <c r="U289" s="300"/>
      <c r="V289" s="300"/>
      <c r="W289" s="300"/>
      <c r="X289" s="300"/>
      <c r="Y289" s="300"/>
      <c r="Z289" s="300"/>
      <c r="AA289" s="300"/>
      <c r="AB289" s="300"/>
      <c r="AC289" s="300"/>
      <c r="AD289" s="300"/>
      <c r="AE289" s="300"/>
      <c r="AF289" s="300"/>
      <c r="AG289" s="300"/>
    </row>
    <row r="290" spans="2:33">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300"/>
      <c r="AF290" s="300"/>
      <c r="AG290" s="300"/>
    </row>
    <row r="291" spans="2:33">
      <c r="B291" s="300"/>
      <c r="C291" s="300"/>
      <c r="D291" s="300"/>
      <c r="E291" s="300"/>
      <c r="F291" s="300"/>
      <c r="G291" s="300"/>
      <c r="H291" s="300"/>
      <c r="I291" s="300"/>
      <c r="J291" s="300"/>
      <c r="K291" s="300"/>
      <c r="L291" s="300"/>
      <c r="M291" s="300"/>
      <c r="N291" s="300"/>
      <c r="O291" s="300"/>
      <c r="P291" s="300"/>
      <c r="Q291" s="300"/>
      <c r="R291" s="300"/>
      <c r="S291" s="300"/>
      <c r="T291" s="300"/>
      <c r="U291" s="300"/>
      <c r="V291" s="300"/>
      <c r="W291" s="300"/>
      <c r="X291" s="300"/>
      <c r="Y291" s="300"/>
      <c r="Z291" s="300"/>
      <c r="AA291" s="300"/>
      <c r="AB291" s="300"/>
      <c r="AC291" s="300"/>
      <c r="AD291" s="300"/>
      <c r="AE291" s="300"/>
      <c r="AF291" s="300"/>
      <c r="AG291" s="300"/>
    </row>
    <row r="292" spans="2:33">
      <c r="B292" s="300"/>
      <c r="C292" s="300"/>
      <c r="D292" s="300"/>
      <c r="E292" s="300"/>
      <c r="F292" s="300"/>
      <c r="G292" s="300"/>
      <c r="H292" s="300"/>
      <c r="I292" s="300"/>
      <c r="J292" s="300"/>
      <c r="K292" s="300"/>
      <c r="L292" s="300"/>
      <c r="M292" s="300"/>
      <c r="N292" s="300"/>
      <c r="O292" s="300"/>
      <c r="P292" s="300"/>
      <c r="Q292" s="300"/>
      <c r="R292" s="300"/>
      <c r="S292" s="300"/>
      <c r="T292" s="300"/>
      <c r="U292" s="300"/>
      <c r="V292" s="300"/>
      <c r="W292" s="300"/>
      <c r="X292" s="300"/>
      <c r="Y292" s="300"/>
      <c r="Z292" s="300"/>
      <c r="AA292" s="300"/>
      <c r="AB292" s="300"/>
      <c r="AC292" s="300"/>
      <c r="AD292" s="300"/>
      <c r="AE292" s="300"/>
      <c r="AF292" s="300"/>
      <c r="AG292" s="300"/>
    </row>
    <row r="293" spans="2:33">
      <c r="B293" s="300"/>
      <c r="C293" s="300"/>
      <c r="D293" s="300"/>
      <c r="E293" s="300"/>
      <c r="F293" s="300"/>
      <c r="G293" s="300"/>
      <c r="H293" s="300"/>
      <c r="I293" s="300"/>
      <c r="J293" s="300"/>
      <c r="K293" s="300"/>
      <c r="L293" s="300"/>
      <c r="M293" s="300"/>
      <c r="N293" s="300"/>
      <c r="O293" s="300"/>
      <c r="P293" s="300"/>
      <c r="Q293" s="300"/>
      <c r="R293" s="300"/>
      <c r="S293" s="300"/>
      <c r="T293" s="300"/>
      <c r="U293" s="300"/>
      <c r="V293" s="300"/>
      <c r="W293" s="300"/>
      <c r="X293" s="300"/>
      <c r="Y293" s="300"/>
      <c r="Z293" s="300"/>
      <c r="AA293" s="300"/>
      <c r="AB293" s="300"/>
      <c r="AC293" s="300"/>
      <c r="AD293" s="300"/>
      <c r="AE293" s="300"/>
      <c r="AF293" s="300"/>
      <c r="AG293" s="300"/>
    </row>
    <row r="294" spans="2:33">
      <c r="B294" s="300"/>
      <c r="C294" s="300"/>
      <c r="D294" s="300"/>
      <c r="E294" s="300"/>
      <c r="F294" s="300"/>
      <c r="G294" s="300"/>
      <c r="H294" s="300"/>
      <c r="I294" s="300"/>
      <c r="J294" s="300"/>
      <c r="K294" s="300"/>
      <c r="L294" s="300"/>
      <c r="M294" s="300"/>
      <c r="N294" s="300"/>
      <c r="O294" s="300"/>
      <c r="P294" s="300"/>
      <c r="Q294" s="300"/>
      <c r="R294" s="300"/>
      <c r="S294" s="300"/>
      <c r="T294" s="300"/>
      <c r="U294" s="300"/>
      <c r="V294" s="300"/>
      <c r="W294" s="300"/>
      <c r="X294" s="300"/>
      <c r="Y294" s="300"/>
      <c r="Z294" s="300"/>
      <c r="AA294" s="300"/>
      <c r="AB294" s="300"/>
      <c r="AC294" s="300"/>
      <c r="AD294" s="300"/>
      <c r="AE294" s="300"/>
      <c r="AF294" s="300"/>
      <c r="AG294" s="300"/>
    </row>
    <row r="295" spans="2:33">
      <c r="B295" s="300"/>
      <c r="C295" s="300"/>
      <c r="D295" s="300"/>
      <c r="E295" s="300"/>
      <c r="F295" s="300"/>
      <c r="G295" s="300"/>
      <c r="H295" s="300"/>
      <c r="I295" s="300"/>
      <c r="J295" s="300"/>
      <c r="K295" s="300"/>
      <c r="L295" s="300"/>
      <c r="M295" s="300"/>
      <c r="N295" s="300"/>
      <c r="O295" s="300"/>
      <c r="P295" s="300"/>
      <c r="Q295" s="300"/>
      <c r="R295" s="300"/>
      <c r="S295" s="300"/>
      <c r="T295" s="300"/>
      <c r="U295" s="300"/>
      <c r="V295" s="300"/>
      <c r="W295" s="300"/>
      <c r="X295" s="300"/>
      <c r="Y295" s="300"/>
      <c r="Z295" s="300"/>
      <c r="AA295" s="300"/>
      <c r="AB295" s="300"/>
      <c r="AC295" s="300"/>
      <c r="AD295" s="300"/>
      <c r="AE295" s="300"/>
      <c r="AF295" s="300"/>
      <c r="AG295" s="300"/>
    </row>
  </sheetData>
  <phoneticPr fontId="18"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5:G21"/>
  <sheetViews>
    <sheetView showGridLines="0" zoomScaleNormal="100" workbookViewId="0">
      <selection activeCell="S14" sqref="S14"/>
    </sheetView>
  </sheetViews>
  <sheetFormatPr baseColWidth="10" defaultRowHeight="12.75"/>
  <sheetData>
    <row r="5" spans="1:7">
      <c r="F5" s="132"/>
    </row>
    <row r="10" spans="1:7" ht="23.25">
      <c r="A10" s="131"/>
      <c r="B10" s="133"/>
      <c r="C10" s="134"/>
      <c r="D10" s="134"/>
      <c r="E10" s="134"/>
      <c r="F10" s="135"/>
      <c r="G10" s="1"/>
    </row>
    <row r="11" spans="1:7" ht="23.25">
      <c r="A11" s="131"/>
      <c r="B11" s="133"/>
      <c r="C11" s="134"/>
      <c r="D11" s="134"/>
      <c r="E11" s="134"/>
      <c r="F11" s="135"/>
      <c r="G11" s="1"/>
    </row>
    <row r="12" spans="1:7" ht="23.25">
      <c r="A12" s="131"/>
      <c r="B12" s="133"/>
      <c r="C12" s="134"/>
      <c r="D12" s="134"/>
      <c r="E12" s="134"/>
      <c r="F12" s="135"/>
      <c r="G12" s="1"/>
    </row>
    <row r="13" spans="1:7" ht="23.25">
      <c r="A13" s="131"/>
      <c r="B13" s="133"/>
      <c r="C13" s="134"/>
      <c r="D13" s="134"/>
      <c r="E13" s="134"/>
      <c r="F13" s="135"/>
      <c r="G13" s="1"/>
    </row>
    <row r="14" spans="1:7" ht="23.25">
      <c r="A14" s="131"/>
      <c r="B14" s="133"/>
      <c r="C14" s="134"/>
      <c r="D14" s="134"/>
      <c r="E14" s="134"/>
      <c r="F14" s="135"/>
      <c r="G14" s="1"/>
    </row>
    <row r="15" spans="1:7" ht="23.25">
      <c r="A15" s="136"/>
      <c r="B15" s="133"/>
      <c r="C15" s="134"/>
      <c r="D15" s="134"/>
      <c r="E15" s="134"/>
      <c r="F15" s="135"/>
      <c r="G15" s="1"/>
    </row>
    <row r="16" spans="1:7" ht="23.25">
      <c r="A16" s="136"/>
      <c r="B16" s="137"/>
      <c r="C16" s="137"/>
      <c r="D16" s="137"/>
      <c r="E16" s="137"/>
      <c r="F16" s="1"/>
      <c r="G16" s="1"/>
    </row>
    <row r="17" spans="1:7" ht="23.25">
      <c r="A17" s="136"/>
      <c r="B17" s="137"/>
      <c r="C17" s="137"/>
      <c r="D17" s="137"/>
      <c r="E17" s="137"/>
      <c r="F17" s="1"/>
      <c r="G17" s="1"/>
    </row>
    <row r="18" spans="1:7" ht="23.25">
      <c r="A18" s="131"/>
      <c r="B18" s="137"/>
      <c r="C18" s="137"/>
      <c r="D18" s="137"/>
      <c r="E18" s="137"/>
      <c r="F18" s="1"/>
      <c r="G18" s="1"/>
    </row>
    <row r="19" spans="1:7">
      <c r="A19" s="137"/>
      <c r="B19" s="137"/>
      <c r="C19" s="137"/>
      <c r="D19" s="137"/>
      <c r="E19" s="137"/>
      <c r="F19" s="1"/>
      <c r="G19" s="1"/>
    </row>
    <row r="20" spans="1:7">
      <c r="A20" s="2"/>
      <c r="B20" s="2"/>
      <c r="C20" s="2"/>
      <c r="D20" s="2"/>
      <c r="E20" s="2"/>
    </row>
    <row r="21" spans="1:7">
      <c r="A21" s="2"/>
      <c r="B21" s="2"/>
      <c r="C21" s="2"/>
      <c r="D21" s="2"/>
      <c r="E21" s="2"/>
    </row>
  </sheetData>
  <printOptions gridLinesSet="0"/>
  <pageMargins left="0.98425196850393704" right="0.78740157480314965" top="2.3622047244094491" bottom="0.98425196850393704" header="0.51181102362204722" footer="0.51181102362204722"/>
  <pageSetup paperSize="14" scale="76" orientation="landscape" horizontalDpi="300" vertic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I416"/>
  <sheetViews>
    <sheetView zoomScaleNormal="100" workbookViewId="0">
      <selection activeCell="B8" sqref="B8"/>
    </sheetView>
  </sheetViews>
  <sheetFormatPr baseColWidth="10" defaultColWidth="11.42578125" defaultRowHeight="12"/>
  <cols>
    <col min="1" max="1" width="26.7109375" style="154" customWidth="1"/>
    <col min="2" max="21" width="7.28515625" style="154" customWidth="1"/>
    <col min="22" max="23" width="9.5703125" style="154" customWidth="1"/>
    <col min="24" max="25" width="7.28515625" style="154" customWidth="1"/>
    <col min="26" max="27" width="10.28515625" style="154" customWidth="1"/>
    <col min="28" max="33" width="7.28515625" style="154" customWidth="1"/>
    <col min="34" max="16384" width="11.42578125" style="154"/>
  </cols>
  <sheetData>
    <row r="1" spans="1:35" s="277" customFormat="1">
      <c r="A1" s="1504" t="s">
        <v>1276</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row>
    <row r="2" spans="1:35" s="277" customFormat="1">
      <c r="A2" s="1504" t="s">
        <v>938</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row>
    <row r="3" spans="1:35" s="277" customFormat="1">
      <c r="A3" s="1504" t="s">
        <v>814</v>
      </c>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row>
    <row r="6" spans="1:35">
      <c r="A6" s="278" t="s">
        <v>899</v>
      </c>
    </row>
    <row r="7" spans="1:35" ht="18" customHeight="1">
      <c r="A7" s="961" t="s">
        <v>900</v>
      </c>
      <c r="B7" s="1104" t="s">
        <v>901</v>
      </c>
      <c r="C7" s="1105"/>
      <c r="D7" s="1259"/>
      <c r="E7" s="1486"/>
      <c r="F7" s="1104" t="s">
        <v>820</v>
      </c>
      <c r="G7" s="1105"/>
      <c r="H7" s="1259"/>
      <c r="I7" s="1486"/>
      <c r="J7" s="1104" t="s">
        <v>902</v>
      </c>
      <c r="K7" s="1105"/>
      <c r="L7" s="1259"/>
      <c r="M7" s="1486"/>
      <c r="N7" s="1104" t="s">
        <v>1094</v>
      </c>
      <c r="O7" s="1105"/>
      <c r="P7" s="1259"/>
      <c r="Q7" s="1486"/>
      <c r="R7" s="1104" t="s">
        <v>1062</v>
      </c>
      <c r="S7" s="1105"/>
      <c r="T7" s="1259"/>
      <c r="U7" s="1486"/>
      <c r="V7" s="1104" t="s">
        <v>1300</v>
      </c>
      <c r="W7" s="1105"/>
      <c r="X7" s="1259"/>
      <c r="Y7" s="1486"/>
      <c r="Z7" s="1104" t="s">
        <v>1408</v>
      </c>
      <c r="AA7" s="1105"/>
      <c r="AB7" s="1259"/>
      <c r="AC7" s="1486"/>
      <c r="AD7" s="1104" t="s">
        <v>594</v>
      </c>
      <c r="AE7" s="1105"/>
      <c r="AF7" s="1259"/>
      <c r="AG7" s="1486"/>
    </row>
    <row r="8" spans="1:35" ht="18" customHeight="1">
      <c r="A8" s="1101"/>
      <c r="B8" s="1254">
        <f>+'49'!B8</f>
        <v>2020</v>
      </c>
      <c r="C8" s="1255">
        <f>+'49'!C8</f>
        <v>2021</v>
      </c>
      <c r="D8" s="1255">
        <f>+'49'!D8</f>
        <v>2022</v>
      </c>
      <c r="E8" s="1256">
        <f>+'49'!E8</f>
        <v>2023</v>
      </c>
      <c r="F8" s="1254">
        <f>+'49'!F8</f>
        <v>2020</v>
      </c>
      <c r="G8" s="1255">
        <f>+'49'!G8</f>
        <v>2021</v>
      </c>
      <c r="H8" s="1255">
        <f>+'49'!H8</f>
        <v>2022</v>
      </c>
      <c r="I8" s="1256">
        <f>+'49'!I8</f>
        <v>2023</v>
      </c>
      <c r="J8" s="1254">
        <f>+'49'!J8</f>
        <v>2020</v>
      </c>
      <c r="K8" s="1255">
        <f>+'49'!K8</f>
        <v>2021</v>
      </c>
      <c r="L8" s="1255">
        <f>+'49'!L8</f>
        <v>2022</v>
      </c>
      <c r="M8" s="1256">
        <f>+'49'!M8</f>
        <v>2023</v>
      </c>
      <c r="N8" s="1254">
        <f>+'49'!N8</f>
        <v>2020</v>
      </c>
      <c r="O8" s="1255">
        <f>+'49'!O8</f>
        <v>2021</v>
      </c>
      <c r="P8" s="1255">
        <f>+'49'!P8</f>
        <v>2022</v>
      </c>
      <c r="Q8" s="1256">
        <f>+'49'!Q8</f>
        <v>2023</v>
      </c>
      <c r="R8" s="1254">
        <f t="shared" ref="R8:AC8" si="0">+N8</f>
        <v>2020</v>
      </c>
      <c r="S8" s="1255">
        <f t="shared" si="0"/>
        <v>2021</v>
      </c>
      <c r="T8" s="1255">
        <f t="shared" si="0"/>
        <v>2022</v>
      </c>
      <c r="U8" s="1256">
        <f t="shared" si="0"/>
        <v>2023</v>
      </c>
      <c r="V8" s="1254">
        <f t="shared" si="0"/>
        <v>2020</v>
      </c>
      <c r="W8" s="1255">
        <f t="shared" si="0"/>
        <v>2021</v>
      </c>
      <c r="X8" s="1255">
        <f t="shared" si="0"/>
        <v>2022</v>
      </c>
      <c r="Y8" s="1256">
        <f t="shared" si="0"/>
        <v>2023</v>
      </c>
      <c r="Z8" s="1255">
        <f t="shared" si="0"/>
        <v>2020</v>
      </c>
      <c r="AA8" s="1255">
        <f t="shared" si="0"/>
        <v>2021</v>
      </c>
      <c r="AB8" s="1255">
        <f t="shared" si="0"/>
        <v>2022</v>
      </c>
      <c r="AC8" s="1256">
        <f t="shared" si="0"/>
        <v>2023</v>
      </c>
      <c r="AD8" s="1254">
        <f>+'49'!AD8</f>
        <v>2020</v>
      </c>
      <c r="AE8" s="1255">
        <f>+'49'!AE8</f>
        <v>2021</v>
      </c>
      <c r="AF8" s="1255">
        <f>+'49'!AF8</f>
        <v>2022</v>
      </c>
      <c r="AG8" s="1256">
        <f>+'49'!AG8</f>
        <v>2023</v>
      </c>
    </row>
    <row r="9" spans="1:35" ht="18" customHeight="1">
      <c r="A9" s="349" t="s">
        <v>903</v>
      </c>
      <c r="B9" s="352">
        <v>1026</v>
      </c>
      <c r="C9" s="352">
        <v>835</v>
      </c>
      <c r="D9" s="352">
        <v>1293</v>
      </c>
      <c r="E9" s="340">
        <v>1431</v>
      </c>
      <c r="F9" s="352">
        <v>88</v>
      </c>
      <c r="G9" s="352">
        <v>171</v>
      </c>
      <c r="H9" s="352">
        <v>241</v>
      </c>
      <c r="I9" s="340">
        <v>327</v>
      </c>
      <c r="J9" s="365"/>
      <c r="K9" s="365"/>
      <c r="L9" s="352"/>
      <c r="M9" s="340"/>
      <c r="N9" s="350"/>
      <c r="O9" s="350"/>
      <c r="P9" s="352"/>
      <c r="Q9" s="340"/>
      <c r="R9" s="326"/>
      <c r="S9" s="326"/>
      <c r="T9" s="352"/>
      <c r="U9" s="340"/>
      <c r="V9" s="326"/>
      <c r="W9" s="326"/>
      <c r="X9" s="352"/>
      <c r="Y9" s="340"/>
      <c r="Z9" s="255"/>
      <c r="AA9" s="255"/>
      <c r="AB9" s="352"/>
      <c r="AC9" s="340"/>
      <c r="AD9" s="353">
        <f>+N9+J9+F9+B9+R9+V9+Z9</f>
        <v>1114</v>
      </c>
      <c r="AE9" s="352">
        <f t="shared" ref="AE9:AG9" si="1">+O9+K9+G9+C9+S9+W9+AA9</f>
        <v>1006</v>
      </c>
      <c r="AF9" s="352">
        <f t="shared" si="1"/>
        <v>1534</v>
      </c>
      <c r="AG9" s="340">
        <f t="shared" si="1"/>
        <v>1758</v>
      </c>
    </row>
    <row r="10" spans="1:35" ht="18" customHeight="1">
      <c r="A10" s="351" t="s">
        <v>904</v>
      </c>
      <c r="B10" s="352">
        <v>76</v>
      </c>
      <c r="C10" s="352">
        <v>82</v>
      </c>
      <c r="D10" s="352">
        <v>87</v>
      </c>
      <c r="E10" s="340">
        <v>122</v>
      </c>
      <c r="F10" s="352">
        <v>81</v>
      </c>
      <c r="G10" s="352">
        <v>147</v>
      </c>
      <c r="H10" s="352">
        <v>180</v>
      </c>
      <c r="I10" s="340">
        <v>182</v>
      </c>
      <c r="J10" s="352"/>
      <c r="K10" s="352"/>
      <c r="L10" s="352"/>
      <c r="M10" s="340"/>
      <c r="N10" s="352"/>
      <c r="O10" s="352"/>
      <c r="P10" s="352"/>
      <c r="Q10" s="340"/>
      <c r="R10" s="255"/>
      <c r="S10" s="255"/>
      <c r="T10" s="352"/>
      <c r="U10" s="340"/>
      <c r="V10" s="255"/>
      <c r="W10" s="255"/>
      <c r="X10" s="352"/>
      <c r="Y10" s="340"/>
      <c r="Z10" s="255"/>
      <c r="AA10" s="255"/>
      <c r="AB10" s="352"/>
      <c r="AC10" s="340"/>
      <c r="AD10" s="353">
        <f t="shared" ref="AD10:AD38" si="2">+N10+J10+F10+B10+R10+V10+Z10</f>
        <v>157</v>
      </c>
      <c r="AE10" s="352">
        <f t="shared" ref="AE10:AE38" si="3">+O10+K10+G10+C10+S10+W10+AA10</f>
        <v>229</v>
      </c>
      <c r="AF10" s="352">
        <f t="shared" ref="AF10:AF38" si="4">+P10+L10+H10+D10+T10+X10+AB10</f>
        <v>267</v>
      </c>
      <c r="AG10" s="340">
        <f t="shared" ref="AG10:AG37" si="5">+Q10+M10+I10+E10+U10+Y10+AC10</f>
        <v>304</v>
      </c>
      <c r="AH10" s="354"/>
      <c r="AI10" s="354"/>
    </row>
    <row r="11" spans="1:35" ht="18" customHeight="1">
      <c r="A11" s="351" t="s">
        <v>905</v>
      </c>
      <c r="B11" s="352"/>
      <c r="C11" s="352"/>
      <c r="D11" s="352"/>
      <c r="E11" s="340">
        <v>0</v>
      </c>
      <c r="F11" s="352"/>
      <c r="G11" s="352"/>
      <c r="H11" s="352"/>
      <c r="I11" s="340">
        <v>0</v>
      </c>
      <c r="J11" s="352"/>
      <c r="K11" s="352"/>
      <c r="L11" s="352"/>
      <c r="M11" s="340"/>
      <c r="N11" s="352"/>
      <c r="O11" s="352"/>
      <c r="P11" s="352"/>
      <c r="Q11" s="340"/>
      <c r="R11" s="255"/>
      <c r="S11" s="255"/>
      <c r="T11" s="352"/>
      <c r="U11" s="340"/>
      <c r="V11" s="255"/>
      <c r="W11" s="255"/>
      <c r="X11" s="352"/>
      <c r="Y11" s="340"/>
      <c r="Z11" s="255"/>
      <c r="AA11" s="255"/>
      <c r="AB11" s="352"/>
      <c r="AC11" s="340"/>
      <c r="AD11" s="353">
        <f t="shared" si="2"/>
        <v>0</v>
      </c>
      <c r="AE11" s="352">
        <f t="shared" si="3"/>
        <v>0</v>
      </c>
      <c r="AF11" s="352">
        <f t="shared" si="4"/>
        <v>0</v>
      </c>
      <c r="AG11" s="340">
        <f t="shared" si="5"/>
        <v>0</v>
      </c>
      <c r="AH11" s="354"/>
      <c r="AI11" s="354"/>
    </row>
    <row r="12" spans="1:35" ht="18" customHeight="1">
      <c r="A12" s="67" t="s">
        <v>906</v>
      </c>
      <c r="B12" s="352"/>
      <c r="C12" s="352"/>
      <c r="D12" s="352"/>
      <c r="E12" s="340">
        <v>0</v>
      </c>
      <c r="F12" s="352">
        <v>97</v>
      </c>
      <c r="G12" s="352">
        <v>201</v>
      </c>
      <c r="H12" s="352">
        <v>223</v>
      </c>
      <c r="I12" s="340">
        <v>211</v>
      </c>
      <c r="J12" s="352"/>
      <c r="K12" s="352"/>
      <c r="L12" s="352"/>
      <c r="M12" s="340"/>
      <c r="N12" s="352"/>
      <c r="O12" s="352"/>
      <c r="P12" s="352"/>
      <c r="Q12" s="340"/>
      <c r="R12" s="255"/>
      <c r="S12" s="255"/>
      <c r="T12" s="352"/>
      <c r="U12" s="340"/>
      <c r="V12" s="255"/>
      <c r="W12" s="255"/>
      <c r="X12" s="352"/>
      <c r="Y12" s="340"/>
      <c r="Z12" s="255"/>
      <c r="AA12" s="255"/>
      <c r="AB12" s="352"/>
      <c r="AC12" s="340"/>
      <c r="AD12" s="353">
        <f t="shared" si="2"/>
        <v>97</v>
      </c>
      <c r="AE12" s="352">
        <f t="shared" si="3"/>
        <v>201</v>
      </c>
      <c r="AF12" s="352">
        <f t="shared" si="4"/>
        <v>223</v>
      </c>
      <c r="AG12" s="340">
        <f t="shared" si="5"/>
        <v>211</v>
      </c>
      <c r="AH12" s="354"/>
      <c r="AI12" s="354"/>
    </row>
    <row r="13" spans="1:35" ht="18" customHeight="1">
      <c r="A13" s="67" t="s">
        <v>939</v>
      </c>
      <c r="B13" s="352">
        <v>103</v>
      </c>
      <c r="C13" s="352">
        <v>46</v>
      </c>
      <c r="D13" s="352">
        <v>283</v>
      </c>
      <c r="E13" s="340">
        <v>300</v>
      </c>
      <c r="F13" s="352">
        <v>3</v>
      </c>
      <c r="G13" s="352">
        <v>7</v>
      </c>
      <c r="H13" s="352">
        <v>13</v>
      </c>
      <c r="I13" s="340">
        <v>23</v>
      </c>
      <c r="J13" s="352"/>
      <c r="K13" s="352"/>
      <c r="L13" s="352"/>
      <c r="M13" s="340"/>
      <c r="N13" s="352"/>
      <c r="O13" s="352"/>
      <c r="P13" s="352"/>
      <c r="Q13" s="340"/>
      <c r="R13" s="255"/>
      <c r="S13" s="255"/>
      <c r="T13" s="352"/>
      <c r="U13" s="340"/>
      <c r="V13" s="255"/>
      <c r="W13" s="255"/>
      <c r="X13" s="352"/>
      <c r="Y13" s="340"/>
      <c r="Z13" s="255"/>
      <c r="AA13" s="255"/>
      <c r="AB13" s="352"/>
      <c r="AC13" s="340"/>
      <c r="AD13" s="353">
        <f t="shared" si="2"/>
        <v>106</v>
      </c>
      <c r="AE13" s="352">
        <f t="shared" si="3"/>
        <v>53</v>
      </c>
      <c r="AF13" s="352">
        <f t="shared" si="4"/>
        <v>296</v>
      </c>
      <c r="AG13" s="340">
        <f t="shared" si="5"/>
        <v>323</v>
      </c>
      <c r="AH13" s="354"/>
      <c r="AI13" s="354"/>
    </row>
    <row r="14" spans="1:35" ht="18" customHeight="1">
      <c r="A14" s="339" t="s">
        <v>908</v>
      </c>
      <c r="B14" s="352"/>
      <c r="C14" s="352"/>
      <c r="D14" s="352"/>
      <c r="E14" s="340">
        <v>0</v>
      </c>
      <c r="F14" s="352">
        <v>50</v>
      </c>
      <c r="G14" s="352">
        <v>74</v>
      </c>
      <c r="H14" s="352">
        <v>85</v>
      </c>
      <c r="I14" s="340">
        <v>78</v>
      </c>
      <c r="J14" s="352"/>
      <c r="K14" s="352"/>
      <c r="L14" s="352"/>
      <c r="M14" s="340"/>
      <c r="N14" s="352"/>
      <c r="O14" s="352"/>
      <c r="P14" s="352"/>
      <c r="Q14" s="340"/>
      <c r="R14" s="255"/>
      <c r="S14" s="255"/>
      <c r="T14" s="352"/>
      <c r="U14" s="340"/>
      <c r="V14" s="255"/>
      <c r="W14" s="255"/>
      <c r="X14" s="352"/>
      <c r="Y14" s="340"/>
      <c r="Z14" s="255"/>
      <c r="AA14" s="255"/>
      <c r="AB14" s="352"/>
      <c r="AC14" s="340"/>
      <c r="AD14" s="353">
        <f t="shared" si="2"/>
        <v>50</v>
      </c>
      <c r="AE14" s="352">
        <f t="shared" si="3"/>
        <v>74</v>
      </c>
      <c r="AF14" s="352">
        <f t="shared" si="4"/>
        <v>85</v>
      </c>
      <c r="AG14" s="340">
        <f t="shared" si="5"/>
        <v>78</v>
      </c>
      <c r="AH14" s="354"/>
      <c r="AI14" s="354"/>
    </row>
    <row r="15" spans="1:35" ht="18" customHeight="1">
      <c r="A15" s="339" t="s">
        <v>909</v>
      </c>
      <c r="B15" s="352">
        <v>1</v>
      </c>
      <c r="C15" s="352">
        <v>18</v>
      </c>
      <c r="D15" s="352">
        <v>43</v>
      </c>
      <c r="E15" s="340">
        <v>54</v>
      </c>
      <c r="F15" s="352">
        <v>71</v>
      </c>
      <c r="G15" s="352">
        <v>82</v>
      </c>
      <c r="H15" s="352">
        <v>102</v>
      </c>
      <c r="I15" s="340">
        <v>117</v>
      </c>
      <c r="J15" s="352"/>
      <c r="K15" s="352"/>
      <c r="L15" s="352"/>
      <c r="M15" s="340"/>
      <c r="N15" s="352"/>
      <c r="O15" s="352"/>
      <c r="P15" s="352"/>
      <c r="Q15" s="340"/>
      <c r="R15" s="255"/>
      <c r="S15" s="255"/>
      <c r="T15" s="352"/>
      <c r="U15" s="340"/>
      <c r="V15" s="255"/>
      <c r="W15" s="255"/>
      <c r="X15" s="352"/>
      <c r="Y15" s="340"/>
      <c r="Z15" s="255"/>
      <c r="AA15" s="255"/>
      <c r="AB15" s="352"/>
      <c r="AC15" s="340"/>
      <c r="AD15" s="353">
        <f t="shared" si="2"/>
        <v>72</v>
      </c>
      <c r="AE15" s="352">
        <f t="shared" si="3"/>
        <v>100</v>
      </c>
      <c r="AF15" s="352">
        <f t="shared" si="4"/>
        <v>145</v>
      </c>
      <c r="AG15" s="340">
        <f t="shared" si="5"/>
        <v>171</v>
      </c>
      <c r="AH15" s="354"/>
      <c r="AI15" s="354"/>
    </row>
    <row r="16" spans="1:35" ht="18" customHeight="1">
      <c r="A16" s="339" t="s">
        <v>910</v>
      </c>
      <c r="B16" s="352"/>
      <c r="C16" s="352"/>
      <c r="D16" s="352"/>
      <c r="E16" s="340">
        <v>20</v>
      </c>
      <c r="F16" s="352"/>
      <c r="G16" s="352"/>
      <c r="H16" s="352"/>
      <c r="I16" s="340">
        <v>0</v>
      </c>
      <c r="J16" s="352"/>
      <c r="K16" s="352"/>
      <c r="L16" s="352"/>
      <c r="M16" s="340"/>
      <c r="N16" s="352"/>
      <c r="O16" s="352"/>
      <c r="P16" s="352"/>
      <c r="Q16" s="340"/>
      <c r="R16" s="255"/>
      <c r="S16" s="255"/>
      <c r="T16" s="352"/>
      <c r="U16" s="340"/>
      <c r="V16" s="255"/>
      <c r="W16" s="255"/>
      <c r="X16" s="352"/>
      <c r="Y16" s="340"/>
      <c r="Z16" s="255"/>
      <c r="AA16" s="255"/>
      <c r="AB16" s="352"/>
      <c r="AC16" s="340"/>
      <c r="AD16" s="353">
        <f t="shared" si="2"/>
        <v>0</v>
      </c>
      <c r="AE16" s="352">
        <f t="shared" si="3"/>
        <v>0</v>
      </c>
      <c r="AF16" s="352">
        <f t="shared" si="4"/>
        <v>0</v>
      </c>
      <c r="AG16" s="340">
        <f t="shared" si="5"/>
        <v>20</v>
      </c>
      <c r="AH16" s="354"/>
      <c r="AI16" s="354"/>
    </row>
    <row r="17" spans="1:35" ht="18" customHeight="1">
      <c r="A17" s="339" t="s">
        <v>911</v>
      </c>
      <c r="B17" s="352">
        <v>7</v>
      </c>
      <c r="C17" s="352">
        <v>10</v>
      </c>
      <c r="D17" s="352">
        <v>21</v>
      </c>
      <c r="E17" s="340">
        <v>16</v>
      </c>
      <c r="F17" s="352"/>
      <c r="G17" s="352"/>
      <c r="H17" s="352"/>
      <c r="I17" s="340">
        <v>0</v>
      </c>
      <c r="J17" s="352"/>
      <c r="K17" s="352"/>
      <c r="L17" s="352"/>
      <c r="M17" s="340"/>
      <c r="N17" s="352"/>
      <c r="O17" s="352"/>
      <c r="P17" s="352"/>
      <c r="Q17" s="340"/>
      <c r="R17" s="255"/>
      <c r="S17" s="255"/>
      <c r="T17" s="352"/>
      <c r="U17" s="340"/>
      <c r="V17" s="255"/>
      <c r="W17" s="255"/>
      <c r="X17" s="352"/>
      <c r="Y17" s="340"/>
      <c r="Z17" s="255"/>
      <c r="AA17" s="255"/>
      <c r="AB17" s="352"/>
      <c r="AC17" s="340"/>
      <c r="AD17" s="353">
        <f t="shared" si="2"/>
        <v>7</v>
      </c>
      <c r="AE17" s="352">
        <f t="shared" si="3"/>
        <v>10</v>
      </c>
      <c r="AF17" s="352">
        <f t="shared" si="4"/>
        <v>21</v>
      </c>
      <c r="AG17" s="340">
        <f t="shared" si="5"/>
        <v>16</v>
      </c>
      <c r="AH17" s="354"/>
      <c r="AI17" s="354"/>
    </row>
    <row r="18" spans="1:35" ht="18" customHeight="1">
      <c r="A18" s="339" t="s">
        <v>912</v>
      </c>
      <c r="B18" s="352"/>
      <c r="C18" s="352"/>
      <c r="D18" s="352"/>
      <c r="E18" s="340">
        <v>0</v>
      </c>
      <c r="F18" s="352">
        <v>22</v>
      </c>
      <c r="G18" s="352">
        <v>31</v>
      </c>
      <c r="H18" s="352">
        <v>23</v>
      </c>
      <c r="I18" s="340">
        <v>28</v>
      </c>
      <c r="J18" s="352"/>
      <c r="K18" s="352"/>
      <c r="L18" s="352"/>
      <c r="M18" s="340"/>
      <c r="N18" s="352"/>
      <c r="O18" s="352"/>
      <c r="P18" s="352"/>
      <c r="Q18" s="340"/>
      <c r="R18" s="255"/>
      <c r="S18" s="255"/>
      <c r="T18" s="352"/>
      <c r="U18" s="340"/>
      <c r="V18" s="255"/>
      <c r="W18" s="255"/>
      <c r="X18" s="352"/>
      <c r="Y18" s="340"/>
      <c r="Z18" s="255"/>
      <c r="AA18" s="255"/>
      <c r="AB18" s="352"/>
      <c r="AC18" s="340"/>
      <c r="AD18" s="353">
        <f t="shared" si="2"/>
        <v>22</v>
      </c>
      <c r="AE18" s="352">
        <f t="shared" si="3"/>
        <v>31</v>
      </c>
      <c r="AF18" s="352">
        <f t="shared" si="4"/>
        <v>23</v>
      </c>
      <c r="AG18" s="340">
        <f t="shared" si="5"/>
        <v>28</v>
      </c>
      <c r="AH18" s="354"/>
      <c r="AI18" s="354"/>
    </row>
    <row r="19" spans="1:35" ht="18" customHeight="1">
      <c r="A19" s="351" t="s">
        <v>913</v>
      </c>
      <c r="B19" s="352"/>
      <c r="C19" s="352"/>
      <c r="D19" s="352"/>
      <c r="E19" s="340">
        <v>0</v>
      </c>
      <c r="F19" s="352">
        <v>89</v>
      </c>
      <c r="G19" s="352">
        <v>2</v>
      </c>
      <c r="H19" s="352"/>
      <c r="I19" s="340">
        <v>0</v>
      </c>
      <c r="J19" s="352"/>
      <c r="K19" s="352"/>
      <c r="L19" s="352"/>
      <c r="M19" s="340"/>
      <c r="N19" s="352"/>
      <c r="O19" s="352"/>
      <c r="P19" s="352"/>
      <c r="Q19" s="340"/>
      <c r="R19" s="255"/>
      <c r="S19" s="255"/>
      <c r="T19" s="352"/>
      <c r="U19" s="340"/>
      <c r="V19" s="255"/>
      <c r="W19" s="255"/>
      <c r="X19" s="352"/>
      <c r="Y19" s="340"/>
      <c r="Z19" s="255"/>
      <c r="AA19" s="255"/>
      <c r="AB19" s="352"/>
      <c r="AC19" s="340"/>
      <c r="AD19" s="353">
        <f t="shared" si="2"/>
        <v>89</v>
      </c>
      <c r="AE19" s="352">
        <f t="shared" si="3"/>
        <v>2</v>
      </c>
      <c r="AF19" s="352">
        <f t="shared" si="4"/>
        <v>0</v>
      </c>
      <c r="AG19" s="340">
        <f t="shared" si="5"/>
        <v>0</v>
      </c>
      <c r="AH19" s="354"/>
      <c r="AI19" s="354"/>
    </row>
    <row r="20" spans="1:35" ht="18" customHeight="1">
      <c r="A20" s="351" t="s">
        <v>914</v>
      </c>
      <c r="B20" s="352"/>
      <c r="C20" s="352"/>
      <c r="D20" s="352"/>
      <c r="E20" s="340">
        <v>0</v>
      </c>
      <c r="F20" s="352">
        <v>10</v>
      </c>
      <c r="G20" s="352">
        <v>2</v>
      </c>
      <c r="H20" s="352">
        <v>11</v>
      </c>
      <c r="I20" s="340">
        <v>10</v>
      </c>
      <c r="J20" s="352"/>
      <c r="K20" s="352"/>
      <c r="L20" s="352"/>
      <c r="M20" s="340"/>
      <c r="N20" s="352"/>
      <c r="O20" s="352"/>
      <c r="P20" s="352"/>
      <c r="Q20" s="340"/>
      <c r="R20" s="255"/>
      <c r="S20" s="255"/>
      <c r="T20" s="352"/>
      <c r="U20" s="340"/>
      <c r="V20" s="255"/>
      <c r="W20" s="255"/>
      <c r="X20" s="352"/>
      <c r="Y20" s="340"/>
      <c r="Z20" s="255"/>
      <c r="AA20" s="255"/>
      <c r="AB20" s="352"/>
      <c r="AC20" s="340"/>
      <c r="AD20" s="353">
        <f t="shared" si="2"/>
        <v>10</v>
      </c>
      <c r="AE20" s="352">
        <f t="shared" si="3"/>
        <v>2</v>
      </c>
      <c r="AF20" s="352">
        <f t="shared" si="4"/>
        <v>11</v>
      </c>
      <c r="AG20" s="340">
        <f t="shared" si="5"/>
        <v>10</v>
      </c>
      <c r="AH20" s="354"/>
      <c r="AI20" s="354"/>
    </row>
    <row r="21" spans="1:35" ht="18" customHeight="1">
      <c r="A21" s="600" t="s">
        <v>719</v>
      </c>
      <c r="B21" s="352"/>
      <c r="C21" s="352"/>
      <c r="D21" s="352"/>
      <c r="E21" s="340">
        <v>0</v>
      </c>
      <c r="F21" s="352"/>
      <c r="G21" s="352"/>
      <c r="H21" s="352"/>
      <c r="I21" s="340">
        <v>0</v>
      </c>
      <c r="J21" s="352"/>
      <c r="K21" s="352"/>
      <c r="L21" s="352"/>
      <c r="M21" s="340"/>
      <c r="N21" s="352"/>
      <c r="O21" s="352"/>
      <c r="P21" s="352"/>
      <c r="Q21" s="340"/>
      <c r="R21" s="255"/>
      <c r="S21" s="255"/>
      <c r="T21" s="352"/>
      <c r="U21" s="340"/>
      <c r="V21" s="255"/>
      <c r="W21" s="255"/>
      <c r="X21" s="352"/>
      <c r="Y21" s="340"/>
      <c r="Z21" s="255"/>
      <c r="AA21" s="255"/>
      <c r="AB21" s="352"/>
      <c r="AC21" s="340"/>
      <c r="AD21" s="353">
        <f t="shared" si="2"/>
        <v>0</v>
      </c>
      <c r="AE21" s="352">
        <f t="shared" si="3"/>
        <v>0</v>
      </c>
      <c r="AF21" s="352">
        <f t="shared" si="4"/>
        <v>0</v>
      </c>
      <c r="AG21" s="340">
        <f t="shared" si="5"/>
        <v>0</v>
      </c>
      <c r="AH21" s="354"/>
      <c r="AI21" s="354"/>
    </row>
    <row r="22" spans="1:35" ht="18" customHeight="1">
      <c r="A22" s="351" t="s">
        <v>915</v>
      </c>
      <c r="B22" s="352">
        <v>620</v>
      </c>
      <c r="C22" s="352">
        <v>916</v>
      </c>
      <c r="D22" s="352">
        <v>768</v>
      </c>
      <c r="E22" s="340">
        <v>581</v>
      </c>
      <c r="F22" s="352">
        <v>43</v>
      </c>
      <c r="G22" s="352">
        <v>77</v>
      </c>
      <c r="H22" s="352">
        <v>163</v>
      </c>
      <c r="I22" s="340">
        <v>130</v>
      </c>
      <c r="J22" s="352"/>
      <c r="K22" s="352"/>
      <c r="L22" s="352"/>
      <c r="M22" s="340"/>
      <c r="N22" s="352"/>
      <c r="O22" s="352"/>
      <c r="P22" s="352"/>
      <c r="Q22" s="340"/>
      <c r="R22" s="255"/>
      <c r="S22" s="255"/>
      <c r="T22" s="352"/>
      <c r="U22" s="340"/>
      <c r="V22" s="255"/>
      <c r="W22" s="255"/>
      <c r="X22" s="352"/>
      <c r="Y22" s="340"/>
      <c r="Z22" s="255"/>
      <c r="AA22" s="255"/>
      <c r="AB22" s="352"/>
      <c r="AC22" s="340"/>
      <c r="AD22" s="353">
        <f t="shared" si="2"/>
        <v>663</v>
      </c>
      <c r="AE22" s="352">
        <f t="shared" si="3"/>
        <v>993</v>
      </c>
      <c r="AF22" s="352">
        <f t="shared" si="4"/>
        <v>931</v>
      </c>
      <c r="AG22" s="340">
        <f t="shared" si="5"/>
        <v>711</v>
      </c>
      <c r="AH22" s="354"/>
      <c r="AI22" s="354"/>
    </row>
    <row r="23" spans="1:35" ht="18" customHeight="1">
      <c r="A23" s="351" t="s">
        <v>916</v>
      </c>
      <c r="B23" s="352"/>
      <c r="C23" s="352"/>
      <c r="D23" s="352"/>
      <c r="E23" s="340">
        <v>0</v>
      </c>
      <c r="F23" s="352"/>
      <c r="G23" s="352"/>
      <c r="H23" s="352"/>
      <c r="I23" s="340">
        <v>0</v>
      </c>
      <c r="J23" s="352">
        <v>115</v>
      </c>
      <c r="K23" s="352">
        <v>103</v>
      </c>
      <c r="L23" s="352">
        <v>67</v>
      </c>
      <c r="M23" s="340">
        <v>191</v>
      </c>
      <c r="N23" s="352"/>
      <c r="O23" s="352"/>
      <c r="P23" s="352"/>
      <c r="Q23" s="340"/>
      <c r="R23" s="255"/>
      <c r="S23" s="255"/>
      <c r="T23" s="352"/>
      <c r="U23" s="340"/>
      <c r="V23" s="255">
        <v>382</v>
      </c>
      <c r="W23" s="255">
        <v>692</v>
      </c>
      <c r="X23" s="352">
        <v>938</v>
      </c>
      <c r="Y23" s="340">
        <v>1059</v>
      </c>
      <c r="Z23" s="255">
        <v>507</v>
      </c>
      <c r="AA23" s="255">
        <v>679</v>
      </c>
      <c r="AB23" s="352">
        <f>515</f>
        <v>515</v>
      </c>
      <c r="AC23" s="340">
        <v>1029</v>
      </c>
      <c r="AD23" s="353">
        <f t="shared" si="2"/>
        <v>1004</v>
      </c>
      <c r="AE23" s="352">
        <f t="shared" si="3"/>
        <v>1474</v>
      </c>
      <c r="AF23" s="352">
        <f t="shared" si="4"/>
        <v>1520</v>
      </c>
      <c r="AG23" s="340">
        <f t="shared" si="5"/>
        <v>2279</v>
      </c>
      <c r="AH23" s="354"/>
      <c r="AI23" s="354"/>
    </row>
    <row r="24" spans="1:35" ht="18" customHeight="1">
      <c r="A24" s="351" t="s">
        <v>917</v>
      </c>
      <c r="B24" s="352">
        <v>481</v>
      </c>
      <c r="C24" s="352">
        <v>633</v>
      </c>
      <c r="D24" s="352">
        <v>880</v>
      </c>
      <c r="E24" s="340">
        <v>885</v>
      </c>
      <c r="F24" s="352">
        <v>35</v>
      </c>
      <c r="G24" s="352">
        <v>125</v>
      </c>
      <c r="H24" s="352">
        <v>139</v>
      </c>
      <c r="I24" s="340">
        <v>121</v>
      </c>
      <c r="J24" s="352"/>
      <c r="K24" s="352"/>
      <c r="L24" s="352"/>
      <c r="M24" s="340"/>
      <c r="N24" s="352"/>
      <c r="O24" s="352"/>
      <c r="P24" s="352"/>
      <c r="Q24" s="340"/>
      <c r="R24" s="255"/>
      <c r="S24" s="255"/>
      <c r="T24" s="352"/>
      <c r="U24" s="340"/>
      <c r="V24" s="255"/>
      <c r="W24" s="255"/>
      <c r="X24" s="352"/>
      <c r="Y24" s="340"/>
      <c r="Z24" s="255"/>
      <c r="AA24" s="255"/>
      <c r="AB24" s="352"/>
      <c r="AC24" s="340"/>
      <c r="AD24" s="353">
        <f t="shared" si="2"/>
        <v>516</v>
      </c>
      <c r="AE24" s="352">
        <f t="shared" si="3"/>
        <v>758</v>
      </c>
      <c r="AF24" s="352">
        <f t="shared" si="4"/>
        <v>1019</v>
      </c>
      <c r="AG24" s="340">
        <f t="shared" si="5"/>
        <v>1006</v>
      </c>
      <c r="AH24" s="354"/>
      <c r="AI24" s="354"/>
    </row>
    <row r="25" spans="1:35" ht="18" customHeight="1">
      <c r="A25" s="67" t="s">
        <v>918</v>
      </c>
      <c r="B25" s="352"/>
      <c r="C25" s="352"/>
      <c r="D25" s="352"/>
      <c r="E25" s="340"/>
      <c r="F25" s="352"/>
      <c r="G25" s="352"/>
      <c r="H25" s="352"/>
      <c r="I25" s="340"/>
      <c r="J25" s="352"/>
      <c r="K25" s="352"/>
      <c r="L25" s="352"/>
      <c r="M25" s="340"/>
      <c r="N25" s="352"/>
      <c r="O25" s="352"/>
      <c r="P25" s="352"/>
      <c r="Q25" s="340"/>
      <c r="R25" s="255"/>
      <c r="S25" s="255"/>
      <c r="T25" s="352"/>
      <c r="U25" s="340"/>
      <c r="V25" s="255"/>
      <c r="W25" s="255"/>
      <c r="X25" s="352"/>
      <c r="Y25" s="340"/>
      <c r="Z25" s="255"/>
      <c r="AA25" s="255"/>
      <c r="AB25" s="352"/>
      <c r="AC25" s="340"/>
      <c r="AD25" s="353">
        <f t="shared" si="2"/>
        <v>0</v>
      </c>
      <c r="AE25" s="352">
        <f t="shared" si="3"/>
        <v>0</v>
      </c>
      <c r="AF25" s="352">
        <f t="shared" si="4"/>
        <v>0</v>
      </c>
      <c r="AG25" s="340">
        <f t="shared" si="5"/>
        <v>0</v>
      </c>
      <c r="AH25" s="354"/>
      <c r="AI25" s="354"/>
    </row>
    <row r="26" spans="1:35" ht="18" customHeight="1">
      <c r="A26" s="600" t="s">
        <v>1291</v>
      </c>
      <c r="B26" s="352">
        <v>2</v>
      </c>
      <c r="C26" s="352">
        <v>2</v>
      </c>
      <c r="D26" s="352">
        <v>16</v>
      </c>
      <c r="E26" s="340">
        <v>26</v>
      </c>
      <c r="F26" s="352"/>
      <c r="G26" s="352"/>
      <c r="H26" s="352"/>
      <c r="I26" s="340">
        <v>0</v>
      </c>
      <c r="J26" s="352"/>
      <c r="K26" s="352"/>
      <c r="L26" s="352"/>
      <c r="M26" s="340"/>
      <c r="N26" s="352"/>
      <c r="O26" s="352"/>
      <c r="P26" s="352"/>
      <c r="Q26" s="340"/>
      <c r="R26" s="255"/>
      <c r="S26" s="255"/>
      <c r="T26" s="352"/>
      <c r="U26" s="340"/>
      <c r="V26" s="255"/>
      <c r="W26" s="255"/>
      <c r="X26" s="352"/>
      <c r="Y26" s="340"/>
      <c r="Z26" s="255"/>
      <c r="AA26" s="255"/>
      <c r="AB26" s="352"/>
      <c r="AC26" s="340"/>
      <c r="AD26" s="353">
        <f t="shared" si="2"/>
        <v>2</v>
      </c>
      <c r="AE26" s="352">
        <f t="shared" si="3"/>
        <v>2</v>
      </c>
      <c r="AF26" s="352">
        <f t="shared" si="4"/>
        <v>16</v>
      </c>
      <c r="AG26" s="340">
        <f t="shared" si="5"/>
        <v>26</v>
      </c>
      <c r="AH26" s="354"/>
      <c r="AI26" s="354"/>
    </row>
    <row r="27" spans="1:35" ht="18" customHeight="1">
      <c r="A27" s="67" t="s">
        <v>919</v>
      </c>
      <c r="B27" s="352"/>
      <c r="C27" s="352"/>
      <c r="D27" s="352"/>
      <c r="E27" s="340">
        <v>0</v>
      </c>
      <c r="F27" s="352">
        <v>12</v>
      </c>
      <c r="G27" s="352">
        <v>38</v>
      </c>
      <c r="H27" s="352">
        <v>83</v>
      </c>
      <c r="I27" s="340">
        <v>65</v>
      </c>
      <c r="J27" s="352"/>
      <c r="K27" s="352"/>
      <c r="L27" s="352"/>
      <c r="M27" s="340"/>
      <c r="N27" s="352"/>
      <c r="O27" s="352"/>
      <c r="P27" s="352"/>
      <c r="Q27" s="340"/>
      <c r="R27" s="255"/>
      <c r="S27" s="255"/>
      <c r="T27" s="352"/>
      <c r="U27" s="340"/>
      <c r="V27" s="255"/>
      <c r="W27" s="255"/>
      <c r="X27" s="352"/>
      <c r="Y27" s="340"/>
      <c r="Z27" s="255"/>
      <c r="AA27" s="255"/>
      <c r="AB27" s="352"/>
      <c r="AC27" s="340"/>
      <c r="AD27" s="353">
        <f t="shared" si="2"/>
        <v>12</v>
      </c>
      <c r="AE27" s="352">
        <f t="shared" si="3"/>
        <v>38</v>
      </c>
      <c r="AF27" s="352">
        <f t="shared" si="4"/>
        <v>83</v>
      </c>
      <c r="AG27" s="340">
        <f t="shared" si="5"/>
        <v>65</v>
      </c>
      <c r="AH27" s="354"/>
      <c r="AI27" s="354"/>
    </row>
    <row r="28" spans="1:35" ht="18" customHeight="1">
      <c r="A28" s="67" t="s">
        <v>1290</v>
      </c>
      <c r="B28" s="352"/>
      <c r="C28" s="352"/>
      <c r="D28" s="352"/>
      <c r="E28" s="340">
        <v>0</v>
      </c>
      <c r="F28" s="352"/>
      <c r="G28" s="352">
        <v>2</v>
      </c>
      <c r="H28" s="352">
        <v>2</v>
      </c>
      <c r="I28" s="340">
        <v>2</v>
      </c>
      <c r="J28" s="352"/>
      <c r="K28" s="352"/>
      <c r="L28" s="352"/>
      <c r="M28" s="340"/>
      <c r="N28" s="352"/>
      <c r="O28" s="352"/>
      <c r="P28" s="352"/>
      <c r="Q28" s="340"/>
      <c r="R28" s="255"/>
      <c r="S28" s="255"/>
      <c r="T28" s="352"/>
      <c r="U28" s="340"/>
      <c r="V28" s="255"/>
      <c r="W28" s="255"/>
      <c r="X28" s="352"/>
      <c r="Y28" s="340"/>
      <c r="Z28" s="255"/>
      <c r="AA28" s="255"/>
      <c r="AB28" s="352"/>
      <c r="AC28" s="340"/>
      <c r="AD28" s="353">
        <f t="shared" si="2"/>
        <v>0</v>
      </c>
      <c r="AE28" s="352">
        <f t="shared" si="3"/>
        <v>2</v>
      </c>
      <c r="AF28" s="352">
        <f t="shared" si="4"/>
        <v>2</v>
      </c>
      <c r="AG28" s="340">
        <f t="shared" si="5"/>
        <v>2</v>
      </c>
      <c r="AH28" s="354"/>
      <c r="AI28" s="354"/>
    </row>
    <row r="29" spans="1:35" ht="18" customHeight="1">
      <c r="A29" s="351" t="s">
        <v>920</v>
      </c>
      <c r="B29" s="352">
        <v>53</v>
      </c>
      <c r="C29" s="352">
        <v>74</v>
      </c>
      <c r="D29" s="352">
        <v>77</v>
      </c>
      <c r="E29" s="340">
        <v>65</v>
      </c>
      <c r="F29" s="352"/>
      <c r="G29" s="352"/>
      <c r="H29" s="352"/>
      <c r="I29" s="340">
        <v>0</v>
      </c>
      <c r="J29" s="352"/>
      <c r="K29" s="352"/>
      <c r="L29" s="352"/>
      <c r="M29" s="340"/>
      <c r="N29" s="352"/>
      <c r="O29" s="352"/>
      <c r="P29" s="352"/>
      <c r="Q29" s="340"/>
      <c r="R29" s="255"/>
      <c r="S29" s="255"/>
      <c r="T29" s="352"/>
      <c r="U29" s="340"/>
      <c r="V29" s="255"/>
      <c r="W29" s="255"/>
      <c r="X29" s="352"/>
      <c r="Y29" s="340"/>
      <c r="Z29" s="255"/>
      <c r="AA29" s="255"/>
      <c r="AB29" s="352"/>
      <c r="AC29" s="340"/>
      <c r="AD29" s="353">
        <f t="shared" si="2"/>
        <v>53</v>
      </c>
      <c r="AE29" s="352">
        <f t="shared" si="3"/>
        <v>74</v>
      </c>
      <c r="AF29" s="352">
        <f t="shared" si="4"/>
        <v>77</v>
      </c>
      <c r="AG29" s="340">
        <f t="shared" si="5"/>
        <v>65</v>
      </c>
      <c r="AH29" s="354"/>
      <c r="AI29" s="354"/>
    </row>
    <row r="30" spans="1:35" ht="18" customHeight="1">
      <c r="A30" s="351" t="s">
        <v>921</v>
      </c>
      <c r="B30" s="352">
        <v>138</v>
      </c>
      <c r="C30" s="352">
        <v>114</v>
      </c>
      <c r="D30" s="352">
        <v>169</v>
      </c>
      <c r="E30" s="340">
        <v>188</v>
      </c>
      <c r="F30" s="352">
        <v>123</v>
      </c>
      <c r="G30" s="352">
        <v>85</v>
      </c>
      <c r="H30" s="352">
        <v>126</v>
      </c>
      <c r="I30" s="340">
        <v>95</v>
      </c>
      <c r="J30" s="352">
        <v>43</v>
      </c>
      <c r="K30" s="352">
        <v>63</v>
      </c>
      <c r="L30" s="352">
        <v>26</v>
      </c>
      <c r="M30" s="340">
        <v>35</v>
      </c>
      <c r="N30" s="352"/>
      <c r="O30" s="352"/>
      <c r="P30" s="352"/>
      <c r="Q30" s="340"/>
      <c r="R30" s="255"/>
      <c r="S30" s="255"/>
      <c r="T30" s="352"/>
      <c r="U30" s="340"/>
      <c r="V30" s="255"/>
      <c r="W30" s="255"/>
      <c r="X30" s="352"/>
      <c r="Y30" s="340"/>
      <c r="Z30" s="255"/>
      <c r="AA30" s="255"/>
      <c r="AB30" s="352"/>
      <c r="AC30" s="340"/>
      <c r="AD30" s="353">
        <f t="shared" si="2"/>
        <v>304</v>
      </c>
      <c r="AE30" s="352">
        <f t="shared" si="3"/>
        <v>262</v>
      </c>
      <c r="AF30" s="352">
        <f t="shared" si="4"/>
        <v>321</v>
      </c>
      <c r="AG30" s="340">
        <f t="shared" si="5"/>
        <v>318</v>
      </c>
      <c r="AH30" s="354"/>
      <c r="AI30" s="354"/>
    </row>
    <row r="31" spans="1:35" ht="18" customHeight="1">
      <c r="A31" s="351" t="s">
        <v>922</v>
      </c>
      <c r="B31" s="352">
        <v>39</v>
      </c>
      <c r="C31" s="352">
        <v>66</v>
      </c>
      <c r="D31" s="352">
        <v>98</v>
      </c>
      <c r="E31" s="340">
        <v>74</v>
      </c>
      <c r="F31" s="352">
        <v>34</v>
      </c>
      <c r="G31" s="352">
        <v>69</v>
      </c>
      <c r="H31" s="352">
        <v>69</v>
      </c>
      <c r="I31" s="340">
        <v>89</v>
      </c>
      <c r="J31" s="352"/>
      <c r="K31" s="352"/>
      <c r="L31" s="352">
        <v>3</v>
      </c>
      <c r="M31" s="340"/>
      <c r="N31" s="352"/>
      <c r="O31" s="352"/>
      <c r="P31" s="352"/>
      <c r="Q31" s="340"/>
      <c r="R31" s="255"/>
      <c r="S31" s="255"/>
      <c r="T31" s="352"/>
      <c r="U31" s="340"/>
      <c r="V31" s="255"/>
      <c r="W31" s="255"/>
      <c r="X31" s="352"/>
      <c r="Y31" s="340"/>
      <c r="Z31" s="255"/>
      <c r="AA31" s="255"/>
      <c r="AB31" s="352"/>
      <c r="AC31" s="340"/>
      <c r="AD31" s="353">
        <f t="shared" si="2"/>
        <v>73</v>
      </c>
      <c r="AE31" s="352">
        <f t="shared" si="3"/>
        <v>135</v>
      </c>
      <c r="AF31" s="352">
        <f t="shared" si="4"/>
        <v>170</v>
      </c>
      <c r="AG31" s="340">
        <f t="shared" si="5"/>
        <v>163</v>
      </c>
      <c r="AH31" s="354"/>
      <c r="AI31" s="354"/>
    </row>
    <row r="32" spans="1:35" ht="18" customHeight="1">
      <c r="A32" s="351" t="s">
        <v>923</v>
      </c>
      <c r="B32" s="352">
        <v>186</v>
      </c>
      <c r="C32" s="352">
        <v>231</v>
      </c>
      <c r="D32" s="352">
        <v>113</v>
      </c>
      <c r="E32" s="340">
        <v>69</v>
      </c>
      <c r="F32" s="352"/>
      <c r="G32" s="352"/>
      <c r="H32" s="352"/>
      <c r="I32" s="340">
        <v>0</v>
      </c>
      <c r="J32" s="352"/>
      <c r="K32" s="352"/>
      <c r="L32" s="352"/>
      <c r="M32" s="340"/>
      <c r="N32" s="352"/>
      <c r="O32" s="352"/>
      <c r="P32" s="352"/>
      <c r="Q32" s="340"/>
      <c r="R32" s="255"/>
      <c r="S32" s="255"/>
      <c r="T32" s="352"/>
      <c r="U32" s="340"/>
      <c r="V32" s="255"/>
      <c r="W32" s="255"/>
      <c r="X32" s="352"/>
      <c r="Y32" s="340"/>
      <c r="Z32" s="255"/>
      <c r="AA32" s="255"/>
      <c r="AB32" s="352"/>
      <c r="AC32" s="340"/>
      <c r="AD32" s="353">
        <f t="shared" si="2"/>
        <v>186</v>
      </c>
      <c r="AE32" s="352">
        <f t="shared" si="3"/>
        <v>231</v>
      </c>
      <c r="AF32" s="352">
        <f t="shared" si="4"/>
        <v>113</v>
      </c>
      <c r="AG32" s="340">
        <f t="shared" si="5"/>
        <v>69</v>
      </c>
      <c r="AH32" s="354"/>
      <c r="AI32" s="354"/>
    </row>
    <row r="33" spans="1:35" ht="18" customHeight="1">
      <c r="A33" s="351" t="s">
        <v>924</v>
      </c>
      <c r="B33" s="352">
        <v>450</v>
      </c>
      <c r="C33" s="352">
        <v>556</v>
      </c>
      <c r="D33" s="352">
        <v>591</v>
      </c>
      <c r="E33" s="340">
        <v>646</v>
      </c>
      <c r="F33" s="352"/>
      <c r="G33" s="352"/>
      <c r="H33" s="352"/>
      <c r="I33" s="340">
        <v>0</v>
      </c>
      <c r="J33" s="352"/>
      <c r="K33" s="352"/>
      <c r="L33" s="352"/>
      <c r="M33" s="340"/>
      <c r="N33" s="352"/>
      <c r="O33" s="352"/>
      <c r="P33" s="352"/>
      <c r="Q33" s="340"/>
      <c r="R33" s="255"/>
      <c r="S33" s="255"/>
      <c r="T33" s="352"/>
      <c r="U33" s="340"/>
      <c r="V33" s="255"/>
      <c r="W33" s="255"/>
      <c r="X33" s="352"/>
      <c r="Y33" s="340"/>
      <c r="Z33" s="255"/>
      <c r="AA33" s="255"/>
      <c r="AB33" s="352"/>
      <c r="AC33" s="340"/>
      <c r="AD33" s="353">
        <f t="shared" si="2"/>
        <v>450</v>
      </c>
      <c r="AE33" s="352">
        <f t="shared" si="3"/>
        <v>556</v>
      </c>
      <c r="AF33" s="352">
        <f t="shared" si="4"/>
        <v>591</v>
      </c>
      <c r="AG33" s="340">
        <f t="shared" si="5"/>
        <v>646</v>
      </c>
      <c r="AH33" s="354"/>
      <c r="AI33" s="354"/>
    </row>
    <row r="34" spans="1:35" ht="18" customHeight="1">
      <c r="A34" s="351" t="s">
        <v>925</v>
      </c>
      <c r="B34" s="352"/>
      <c r="C34" s="352"/>
      <c r="D34" s="352"/>
      <c r="E34" s="340">
        <v>0</v>
      </c>
      <c r="F34" s="352">
        <v>626</v>
      </c>
      <c r="G34" s="352">
        <v>865</v>
      </c>
      <c r="H34" s="352">
        <v>1510</v>
      </c>
      <c r="I34" s="340">
        <v>1828</v>
      </c>
      <c r="J34" s="352"/>
      <c r="K34" s="352"/>
      <c r="L34" s="352"/>
      <c r="M34" s="340"/>
      <c r="N34" s="352"/>
      <c r="O34" s="352"/>
      <c r="P34" s="352"/>
      <c r="Q34" s="340"/>
      <c r="R34" s="255"/>
      <c r="S34" s="255"/>
      <c r="T34" s="352"/>
      <c r="U34" s="340"/>
      <c r="V34" s="255"/>
      <c r="W34" s="255"/>
      <c r="X34" s="352"/>
      <c r="Y34" s="340"/>
      <c r="Z34" s="255"/>
      <c r="AA34" s="255"/>
      <c r="AB34" s="352"/>
      <c r="AC34" s="340"/>
      <c r="AD34" s="353">
        <f t="shared" si="2"/>
        <v>626</v>
      </c>
      <c r="AE34" s="352">
        <f t="shared" si="3"/>
        <v>865</v>
      </c>
      <c r="AF34" s="352">
        <f t="shared" si="4"/>
        <v>1510</v>
      </c>
      <c r="AG34" s="340">
        <f t="shared" si="5"/>
        <v>1828</v>
      </c>
      <c r="AH34" s="354"/>
      <c r="AI34" s="354"/>
    </row>
    <row r="35" spans="1:35" ht="18" customHeight="1">
      <c r="A35" s="351" t="s">
        <v>926</v>
      </c>
      <c r="B35" s="352"/>
      <c r="C35" s="352"/>
      <c r="D35" s="352"/>
      <c r="E35" s="340">
        <v>0</v>
      </c>
      <c r="F35" s="352">
        <v>11</v>
      </c>
      <c r="G35" s="352">
        <v>15</v>
      </c>
      <c r="H35" s="352">
        <v>51</v>
      </c>
      <c r="I35" s="340">
        <v>72</v>
      </c>
      <c r="J35" s="352"/>
      <c r="K35" s="352"/>
      <c r="L35" s="352"/>
      <c r="M35" s="340"/>
      <c r="N35" s="352"/>
      <c r="O35" s="352"/>
      <c r="P35" s="352"/>
      <c r="Q35" s="340"/>
      <c r="R35" s="255"/>
      <c r="S35" s="255"/>
      <c r="T35" s="352"/>
      <c r="U35" s="340"/>
      <c r="V35" s="255"/>
      <c r="W35" s="255"/>
      <c r="X35" s="352"/>
      <c r="Y35" s="340"/>
      <c r="Z35" s="255"/>
      <c r="AA35" s="255"/>
      <c r="AB35" s="352"/>
      <c r="AC35" s="340"/>
      <c r="AD35" s="353">
        <f t="shared" si="2"/>
        <v>11</v>
      </c>
      <c r="AE35" s="352">
        <f t="shared" si="3"/>
        <v>15</v>
      </c>
      <c r="AF35" s="352">
        <f t="shared" si="4"/>
        <v>51</v>
      </c>
      <c r="AG35" s="340">
        <f t="shared" si="5"/>
        <v>72</v>
      </c>
      <c r="AH35" s="354"/>
      <c r="AI35" s="354"/>
    </row>
    <row r="36" spans="1:35" ht="18" customHeight="1">
      <c r="A36" s="67" t="s">
        <v>1409</v>
      </c>
      <c r="B36" s="352"/>
      <c r="C36" s="352"/>
      <c r="D36" s="352"/>
      <c r="E36" s="340">
        <v>0</v>
      </c>
      <c r="F36" s="352"/>
      <c r="G36" s="352"/>
      <c r="H36" s="352"/>
      <c r="I36" s="340">
        <v>0</v>
      </c>
      <c r="J36" s="352"/>
      <c r="K36" s="352"/>
      <c r="L36" s="352"/>
      <c r="M36" s="340"/>
      <c r="N36" s="352"/>
      <c r="O36" s="352"/>
      <c r="P36" s="352"/>
      <c r="Q36" s="340"/>
      <c r="R36" s="255"/>
      <c r="S36" s="255"/>
      <c r="T36" s="352"/>
      <c r="U36" s="340"/>
      <c r="V36" s="255"/>
      <c r="W36" s="255"/>
      <c r="X36" s="352"/>
      <c r="Y36" s="340"/>
      <c r="Z36" s="255"/>
      <c r="AA36" s="255"/>
      <c r="AB36" s="352"/>
      <c r="AC36" s="340"/>
      <c r="AD36" s="353">
        <f t="shared" si="2"/>
        <v>0</v>
      </c>
      <c r="AE36" s="352">
        <f t="shared" si="3"/>
        <v>0</v>
      </c>
      <c r="AF36" s="352">
        <f t="shared" si="4"/>
        <v>0</v>
      </c>
      <c r="AG36" s="340">
        <f t="shared" si="5"/>
        <v>0</v>
      </c>
      <c r="AH36" s="354"/>
      <c r="AI36" s="354"/>
    </row>
    <row r="37" spans="1:35" ht="18" customHeight="1">
      <c r="A37" s="351" t="s">
        <v>927</v>
      </c>
      <c r="B37" s="352">
        <v>58</v>
      </c>
      <c r="C37" s="352">
        <v>108</v>
      </c>
      <c r="D37" s="352">
        <v>56</v>
      </c>
      <c r="E37" s="340">
        <v>92</v>
      </c>
      <c r="F37" s="352"/>
      <c r="G37" s="352"/>
      <c r="H37" s="352"/>
      <c r="I37" s="340">
        <v>0</v>
      </c>
      <c r="J37" s="352"/>
      <c r="K37" s="352"/>
      <c r="L37" s="352"/>
      <c r="M37" s="340"/>
      <c r="N37" s="352"/>
      <c r="O37" s="352"/>
      <c r="P37" s="352"/>
      <c r="Q37" s="340"/>
      <c r="R37" s="255"/>
      <c r="S37" s="255"/>
      <c r="T37" s="352"/>
      <c r="U37" s="340"/>
      <c r="V37" s="255"/>
      <c r="W37" s="255"/>
      <c r="X37" s="352"/>
      <c r="Y37" s="340"/>
      <c r="Z37" s="255"/>
      <c r="AA37" s="255"/>
      <c r="AB37" s="352"/>
      <c r="AC37" s="340"/>
      <c r="AD37" s="353">
        <f t="shared" si="2"/>
        <v>58</v>
      </c>
      <c r="AE37" s="352">
        <f t="shared" si="3"/>
        <v>108</v>
      </c>
      <c r="AF37" s="352">
        <f t="shared" si="4"/>
        <v>56</v>
      </c>
      <c r="AG37" s="340">
        <f t="shared" si="5"/>
        <v>92</v>
      </c>
      <c r="AH37" s="354"/>
      <c r="AI37" s="354"/>
    </row>
    <row r="38" spans="1:35" ht="18" customHeight="1">
      <c r="A38" s="130" t="s">
        <v>767</v>
      </c>
      <c r="B38" s="259">
        <v>3240</v>
      </c>
      <c r="C38" s="355">
        <v>3691</v>
      </c>
      <c r="D38" s="355">
        <f>SUM(D9:D37)</f>
        <v>4495</v>
      </c>
      <c r="E38" s="356">
        <f t="shared" ref="E38:AC38" si="6">SUM(E9:E37)</f>
        <v>4569</v>
      </c>
      <c r="F38" s="259">
        <f t="shared" si="6"/>
        <v>1395</v>
      </c>
      <c r="G38" s="355">
        <f t="shared" si="6"/>
        <v>1993</v>
      </c>
      <c r="H38" s="355">
        <f t="shared" si="6"/>
        <v>3021</v>
      </c>
      <c r="I38" s="356">
        <f t="shared" si="6"/>
        <v>3378</v>
      </c>
      <c r="J38" s="259">
        <f t="shared" si="6"/>
        <v>158</v>
      </c>
      <c r="K38" s="259">
        <f t="shared" si="6"/>
        <v>166</v>
      </c>
      <c r="L38" s="355">
        <f t="shared" si="6"/>
        <v>96</v>
      </c>
      <c r="M38" s="356">
        <f t="shared" si="6"/>
        <v>226</v>
      </c>
      <c r="N38" s="259">
        <f t="shared" si="6"/>
        <v>0</v>
      </c>
      <c r="O38" s="259">
        <f t="shared" si="6"/>
        <v>0</v>
      </c>
      <c r="P38" s="355">
        <f t="shared" si="6"/>
        <v>0</v>
      </c>
      <c r="Q38" s="356">
        <f t="shared" si="6"/>
        <v>0</v>
      </c>
      <c r="R38" s="259">
        <f t="shared" si="6"/>
        <v>0</v>
      </c>
      <c r="S38" s="259">
        <f t="shared" si="6"/>
        <v>0</v>
      </c>
      <c r="T38" s="355">
        <f t="shared" si="6"/>
        <v>0</v>
      </c>
      <c r="U38" s="356">
        <f t="shared" si="6"/>
        <v>0</v>
      </c>
      <c r="V38" s="355">
        <f t="shared" si="6"/>
        <v>382</v>
      </c>
      <c r="W38" s="355">
        <f t="shared" si="6"/>
        <v>692</v>
      </c>
      <c r="X38" s="355">
        <f t="shared" si="6"/>
        <v>938</v>
      </c>
      <c r="Y38" s="356">
        <f t="shared" si="6"/>
        <v>1059</v>
      </c>
      <c r="Z38" s="355">
        <f t="shared" si="6"/>
        <v>507</v>
      </c>
      <c r="AA38" s="355">
        <f t="shared" si="6"/>
        <v>679</v>
      </c>
      <c r="AB38" s="355">
        <f t="shared" si="6"/>
        <v>515</v>
      </c>
      <c r="AC38" s="356">
        <f t="shared" si="6"/>
        <v>1029</v>
      </c>
      <c r="AD38" s="357">
        <f t="shared" si="2"/>
        <v>5682</v>
      </c>
      <c r="AE38" s="355">
        <f t="shared" si="3"/>
        <v>7221</v>
      </c>
      <c r="AF38" s="355">
        <f t="shared" si="4"/>
        <v>9065</v>
      </c>
      <c r="AG38" s="356">
        <f>+Q38+M38+I38+E38+U38+Y38+AC38</f>
        <v>10261</v>
      </c>
      <c r="AH38" s="354"/>
      <c r="AI38" s="354"/>
    </row>
    <row r="39" spans="1:35" ht="18" customHeight="1">
      <c r="B39" s="352"/>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4"/>
      <c r="AI39" s="354"/>
    </row>
    <row r="40" spans="1:35" ht="18" customHeight="1">
      <c r="A40" s="334" t="s">
        <v>928</v>
      </c>
      <c r="B40" s="355"/>
      <c r="C40" s="355"/>
      <c r="D40" s="355"/>
      <c r="E40" s="352"/>
      <c r="F40" s="352"/>
      <c r="G40" s="352"/>
      <c r="H40" s="355"/>
      <c r="I40" s="352"/>
      <c r="J40" s="352"/>
      <c r="K40" s="352"/>
      <c r="L40" s="355"/>
      <c r="M40" s="352"/>
      <c r="N40" s="352"/>
      <c r="O40" s="352"/>
      <c r="P40" s="355"/>
      <c r="Q40" s="352"/>
      <c r="R40" s="352"/>
      <c r="S40" s="352"/>
      <c r="T40" s="355"/>
      <c r="U40" s="352"/>
      <c r="V40" s="352"/>
      <c r="W40" s="352"/>
      <c r="X40" s="355"/>
      <c r="Y40" s="352"/>
      <c r="Z40" s="355"/>
      <c r="AA40" s="355"/>
      <c r="AB40" s="355"/>
      <c r="AC40" s="352"/>
      <c r="AD40" s="352"/>
      <c r="AE40" s="352"/>
      <c r="AF40" s="352"/>
      <c r="AG40" s="352"/>
      <c r="AH40" s="354"/>
      <c r="AI40" s="354"/>
    </row>
    <row r="41" spans="1:35" ht="18" customHeight="1">
      <c r="A41" s="338" t="s">
        <v>929</v>
      </c>
      <c r="B41" s="352">
        <v>82</v>
      </c>
      <c r="C41" s="352">
        <v>189</v>
      </c>
      <c r="D41" s="352">
        <v>191</v>
      </c>
      <c r="E41" s="360">
        <v>170</v>
      </c>
      <c r="F41" s="359">
        <v>92</v>
      </c>
      <c r="G41" s="359">
        <v>95</v>
      </c>
      <c r="H41" s="352">
        <v>70</v>
      </c>
      <c r="I41" s="360">
        <v>127</v>
      </c>
      <c r="J41" s="359"/>
      <c r="K41" s="359"/>
      <c r="L41" s="352"/>
      <c r="M41" s="360"/>
      <c r="N41" s="359"/>
      <c r="O41" s="359"/>
      <c r="P41" s="352"/>
      <c r="Q41" s="360">
        <v>1</v>
      </c>
      <c r="R41" s="359"/>
      <c r="S41" s="359"/>
      <c r="T41" s="352"/>
      <c r="U41" s="360"/>
      <c r="V41" s="359"/>
      <c r="W41" s="359"/>
      <c r="X41" s="352"/>
      <c r="Y41" s="360"/>
      <c r="Z41" s="352"/>
      <c r="AA41" s="352"/>
      <c r="AB41" s="352"/>
      <c r="AC41" s="360"/>
      <c r="AD41" s="358">
        <f t="shared" ref="AD41:AE48" si="7">+N41+J41+F41+B41</f>
        <v>174</v>
      </c>
      <c r="AE41" s="359">
        <f t="shared" si="7"/>
        <v>284</v>
      </c>
      <c r="AF41" s="359">
        <f t="shared" ref="AF41:AG49" si="8">+P41+L41+H41+D41+AB41</f>
        <v>261</v>
      </c>
      <c r="AG41" s="360">
        <f t="shared" si="8"/>
        <v>298</v>
      </c>
      <c r="AH41" s="354"/>
      <c r="AI41" s="354"/>
    </row>
    <row r="42" spans="1:35" ht="18" customHeight="1">
      <c r="A42" s="339" t="s">
        <v>930</v>
      </c>
      <c r="B42" s="352">
        <v>3</v>
      </c>
      <c r="C42" s="352">
        <v>2</v>
      </c>
      <c r="D42" s="352">
        <v>5</v>
      </c>
      <c r="E42" s="340">
        <v>4</v>
      </c>
      <c r="F42" s="352">
        <v>8</v>
      </c>
      <c r="G42" s="352">
        <v>11</v>
      </c>
      <c r="H42" s="352">
        <v>19</v>
      </c>
      <c r="I42" s="340">
        <v>15</v>
      </c>
      <c r="J42" s="352"/>
      <c r="K42" s="352"/>
      <c r="L42" s="352"/>
      <c r="M42" s="340"/>
      <c r="N42" s="352"/>
      <c r="O42" s="352"/>
      <c r="P42" s="352"/>
      <c r="Q42" s="340"/>
      <c r="R42" s="352"/>
      <c r="S42" s="352"/>
      <c r="T42" s="352"/>
      <c r="U42" s="340"/>
      <c r="V42" s="352"/>
      <c r="W42" s="352"/>
      <c r="X42" s="352"/>
      <c r="Y42" s="340"/>
      <c r="Z42" s="352"/>
      <c r="AA42" s="352"/>
      <c r="AB42" s="352"/>
      <c r="AC42" s="340"/>
      <c r="AD42" s="353">
        <f t="shared" si="7"/>
        <v>11</v>
      </c>
      <c r="AE42" s="352">
        <f t="shared" si="7"/>
        <v>13</v>
      </c>
      <c r="AF42" s="352">
        <f t="shared" si="8"/>
        <v>24</v>
      </c>
      <c r="AG42" s="340">
        <f t="shared" si="8"/>
        <v>19</v>
      </c>
      <c r="AH42" s="354"/>
      <c r="AI42" s="354"/>
    </row>
    <row r="43" spans="1:35" ht="18" customHeight="1">
      <c r="A43" s="339" t="s">
        <v>931</v>
      </c>
      <c r="B43" s="352">
        <v>87</v>
      </c>
      <c r="C43" s="352">
        <v>125</v>
      </c>
      <c r="D43" s="352">
        <v>68</v>
      </c>
      <c r="E43" s="340">
        <v>92</v>
      </c>
      <c r="F43" s="352">
        <v>83</v>
      </c>
      <c r="G43" s="352">
        <v>148</v>
      </c>
      <c r="H43" s="352">
        <v>112</v>
      </c>
      <c r="I43" s="340">
        <v>108</v>
      </c>
      <c r="J43" s="352"/>
      <c r="K43" s="352"/>
      <c r="L43" s="352"/>
      <c r="M43" s="340"/>
      <c r="N43" s="352"/>
      <c r="O43" s="352"/>
      <c r="P43" s="352"/>
      <c r="Q43" s="340"/>
      <c r="R43" s="352"/>
      <c r="S43" s="352"/>
      <c r="T43" s="352"/>
      <c r="U43" s="340"/>
      <c r="V43" s="352"/>
      <c r="W43" s="352"/>
      <c r="X43" s="352"/>
      <c r="Y43" s="340"/>
      <c r="Z43" s="352"/>
      <c r="AA43" s="352"/>
      <c r="AB43" s="352"/>
      <c r="AC43" s="340"/>
      <c r="AD43" s="353">
        <f t="shared" si="7"/>
        <v>170</v>
      </c>
      <c r="AE43" s="352">
        <f t="shared" si="7"/>
        <v>273</v>
      </c>
      <c r="AF43" s="352">
        <f t="shared" si="8"/>
        <v>180</v>
      </c>
      <c r="AG43" s="340">
        <f t="shared" si="8"/>
        <v>200</v>
      </c>
      <c r="AH43" s="354"/>
      <c r="AI43" s="354"/>
    </row>
    <row r="44" spans="1:35" ht="18" customHeight="1">
      <c r="A44" s="339" t="s">
        <v>932</v>
      </c>
      <c r="B44" s="352">
        <v>32</v>
      </c>
      <c r="C44" s="352"/>
      <c r="D44" s="352"/>
      <c r="E44" s="340">
        <v>77</v>
      </c>
      <c r="F44" s="352">
        <v>47</v>
      </c>
      <c r="G44" s="352">
        <v>68</v>
      </c>
      <c r="H44" s="352">
        <v>70</v>
      </c>
      <c r="I44" s="340">
        <v>57</v>
      </c>
      <c r="J44" s="352"/>
      <c r="K44" s="352"/>
      <c r="L44" s="352"/>
      <c r="M44" s="340"/>
      <c r="N44" s="352"/>
      <c r="O44" s="352"/>
      <c r="P44" s="352">
        <v>2</v>
      </c>
      <c r="Q44" s="340">
        <v>1</v>
      </c>
      <c r="R44" s="352"/>
      <c r="S44" s="352"/>
      <c r="T44" s="352"/>
      <c r="U44" s="340"/>
      <c r="V44" s="352"/>
      <c r="W44" s="352"/>
      <c r="X44" s="352"/>
      <c r="Y44" s="340"/>
      <c r="Z44" s="352"/>
      <c r="AA44" s="352"/>
      <c r="AB44" s="352"/>
      <c r="AC44" s="340"/>
      <c r="AD44" s="353">
        <f t="shared" si="7"/>
        <v>79</v>
      </c>
      <c r="AE44" s="352">
        <f t="shared" si="7"/>
        <v>68</v>
      </c>
      <c r="AF44" s="352">
        <f t="shared" si="8"/>
        <v>72</v>
      </c>
      <c r="AG44" s="340">
        <f t="shared" si="8"/>
        <v>135</v>
      </c>
      <c r="AH44" s="354"/>
      <c r="AI44" s="354"/>
    </row>
    <row r="45" spans="1:35" ht="18" customHeight="1">
      <c r="A45" s="339" t="s">
        <v>933</v>
      </c>
      <c r="B45" s="352">
        <v>62</v>
      </c>
      <c r="C45" s="352"/>
      <c r="D45" s="352"/>
      <c r="E45" s="340">
        <v>122</v>
      </c>
      <c r="F45" s="352">
        <v>66</v>
      </c>
      <c r="G45" s="352"/>
      <c r="H45" s="352"/>
      <c r="I45" s="340">
        <v>0</v>
      </c>
      <c r="J45" s="352"/>
      <c r="K45" s="352"/>
      <c r="L45" s="352"/>
      <c r="M45" s="340"/>
      <c r="N45" s="352"/>
      <c r="O45" s="352"/>
      <c r="P45" s="352"/>
      <c r="Q45" s="340"/>
      <c r="R45" s="352"/>
      <c r="S45" s="352"/>
      <c r="T45" s="352"/>
      <c r="U45" s="340"/>
      <c r="V45" s="352"/>
      <c r="W45" s="352"/>
      <c r="X45" s="352"/>
      <c r="Y45" s="340"/>
      <c r="Z45" s="352"/>
      <c r="AA45" s="352"/>
      <c r="AB45" s="352"/>
      <c r="AC45" s="340"/>
      <c r="AD45" s="353">
        <f t="shared" si="7"/>
        <v>128</v>
      </c>
      <c r="AE45" s="352">
        <f t="shared" si="7"/>
        <v>0</v>
      </c>
      <c r="AF45" s="352">
        <f t="shared" si="8"/>
        <v>0</v>
      </c>
      <c r="AG45" s="340">
        <f t="shared" si="8"/>
        <v>122</v>
      </c>
      <c r="AH45" s="354"/>
      <c r="AI45" s="354"/>
    </row>
    <row r="46" spans="1:35" ht="18" customHeight="1">
      <c r="A46" s="339" t="s">
        <v>934</v>
      </c>
      <c r="B46" s="352"/>
      <c r="C46" s="352"/>
      <c r="D46" s="352"/>
      <c r="E46" s="340">
        <v>0</v>
      </c>
      <c r="F46" s="352"/>
      <c r="G46" s="352"/>
      <c r="H46" s="352"/>
      <c r="I46" s="340">
        <v>0</v>
      </c>
      <c r="J46" s="352"/>
      <c r="K46" s="352"/>
      <c r="L46" s="352"/>
      <c r="M46" s="340"/>
      <c r="N46" s="352"/>
      <c r="O46" s="352"/>
      <c r="P46" s="352"/>
      <c r="Q46" s="340"/>
      <c r="R46" s="352"/>
      <c r="S46" s="352"/>
      <c r="T46" s="352"/>
      <c r="U46" s="340"/>
      <c r="V46" s="352"/>
      <c r="W46" s="352"/>
      <c r="X46" s="352"/>
      <c r="Y46" s="340"/>
      <c r="Z46" s="352"/>
      <c r="AA46" s="352"/>
      <c r="AB46" s="352"/>
      <c r="AC46" s="340"/>
      <c r="AD46" s="353">
        <f t="shared" si="7"/>
        <v>0</v>
      </c>
      <c r="AE46" s="352">
        <f t="shared" si="7"/>
        <v>0</v>
      </c>
      <c r="AF46" s="352">
        <f t="shared" si="8"/>
        <v>0</v>
      </c>
      <c r="AG46" s="340">
        <f t="shared" si="8"/>
        <v>0</v>
      </c>
      <c r="AH46" s="354"/>
      <c r="AI46" s="354"/>
    </row>
    <row r="47" spans="1:35" ht="18" customHeight="1">
      <c r="A47" s="339" t="s">
        <v>935</v>
      </c>
      <c r="B47" s="255"/>
      <c r="C47" s="255"/>
      <c r="D47" s="255"/>
      <c r="E47" s="323">
        <v>0</v>
      </c>
      <c r="F47" s="255"/>
      <c r="G47" s="255"/>
      <c r="H47" s="255"/>
      <c r="I47" s="323">
        <v>0</v>
      </c>
      <c r="J47" s="255"/>
      <c r="K47" s="255"/>
      <c r="L47" s="255"/>
      <c r="M47" s="323"/>
      <c r="N47" s="255"/>
      <c r="O47" s="255"/>
      <c r="P47" s="255"/>
      <c r="Q47" s="323"/>
      <c r="R47" s="255"/>
      <c r="S47" s="255"/>
      <c r="T47" s="255"/>
      <c r="U47" s="323"/>
      <c r="V47" s="255"/>
      <c r="W47" s="255"/>
      <c r="X47" s="255"/>
      <c r="Y47" s="323"/>
      <c r="Z47" s="255"/>
      <c r="AA47" s="255"/>
      <c r="AB47" s="255"/>
      <c r="AC47" s="323"/>
      <c r="AD47" s="254">
        <f t="shared" si="7"/>
        <v>0</v>
      </c>
      <c r="AE47" s="255">
        <f t="shared" si="7"/>
        <v>0</v>
      </c>
      <c r="AF47" s="255">
        <f t="shared" si="8"/>
        <v>0</v>
      </c>
      <c r="AG47" s="323">
        <f t="shared" si="8"/>
        <v>0</v>
      </c>
      <c r="AH47" s="354"/>
      <c r="AI47" s="354"/>
    </row>
    <row r="48" spans="1:35" ht="18" customHeight="1">
      <c r="A48" s="339" t="s">
        <v>936</v>
      </c>
      <c r="B48" s="352">
        <v>226</v>
      </c>
      <c r="C48" s="352">
        <v>258</v>
      </c>
      <c r="D48" s="352">
        <v>300</v>
      </c>
      <c r="E48" s="340">
        <v>384</v>
      </c>
      <c r="F48" s="352"/>
      <c r="G48" s="352"/>
      <c r="H48" s="352"/>
      <c r="I48" s="340">
        <v>0</v>
      </c>
      <c r="J48" s="352"/>
      <c r="K48" s="352"/>
      <c r="L48" s="352"/>
      <c r="M48" s="340"/>
      <c r="N48" s="352"/>
      <c r="O48" s="352"/>
      <c r="P48" s="352"/>
      <c r="Q48" s="340"/>
      <c r="R48" s="352"/>
      <c r="S48" s="352"/>
      <c r="T48" s="352"/>
      <c r="U48" s="340"/>
      <c r="V48" s="352"/>
      <c r="W48" s="352"/>
      <c r="X48" s="352"/>
      <c r="Y48" s="340"/>
      <c r="Z48" s="352"/>
      <c r="AA48" s="352"/>
      <c r="AB48" s="352"/>
      <c r="AC48" s="340"/>
      <c r="AD48" s="254">
        <f t="shared" si="7"/>
        <v>226</v>
      </c>
      <c r="AE48" s="255">
        <f t="shared" si="7"/>
        <v>258</v>
      </c>
      <c r="AF48" s="352">
        <f t="shared" si="8"/>
        <v>300</v>
      </c>
      <c r="AG48" s="340">
        <f t="shared" si="8"/>
        <v>384</v>
      </c>
      <c r="AH48" s="354"/>
      <c r="AI48" s="354"/>
    </row>
    <row r="49" spans="1:35" ht="18" customHeight="1">
      <c r="A49" s="341" t="s">
        <v>937</v>
      </c>
      <c r="B49" s="355">
        <v>177</v>
      </c>
      <c r="C49" s="355">
        <v>268</v>
      </c>
      <c r="D49" s="355">
        <v>314</v>
      </c>
      <c r="E49" s="356">
        <v>186</v>
      </c>
      <c r="F49" s="355">
        <v>63</v>
      </c>
      <c r="G49" s="355">
        <v>82</v>
      </c>
      <c r="H49" s="355">
        <v>98</v>
      </c>
      <c r="I49" s="356">
        <v>191</v>
      </c>
      <c r="J49" s="355"/>
      <c r="K49" s="355"/>
      <c r="L49" s="355"/>
      <c r="M49" s="356"/>
      <c r="N49" s="355"/>
      <c r="O49" s="355"/>
      <c r="P49" s="355"/>
      <c r="Q49" s="356"/>
      <c r="R49" s="355"/>
      <c r="S49" s="355"/>
      <c r="T49" s="355"/>
      <c r="U49" s="356"/>
      <c r="V49" s="355"/>
      <c r="W49" s="355"/>
      <c r="X49" s="355"/>
      <c r="Y49" s="356"/>
      <c r="Z49" s="355"/>
      <c r="AA49" s="355"/>
      <c r="AB49" s="355"/>
      <c r="AC49" s="356"/>
      <c r="AD49" s="357">
        <f>+N49+J49+F49+B49</f>
        <v>240</v>
      </c>
      <c r="AE49" s="355">
        <f>+O49+K49+G49+C49+S49</f>
        <v>350</v>
      </c>
      <c r="AF49" s="355">
        <f t="shared" si="8"/>
        <v>412</v>
      </c>
      <c r="AG49" s="356">
        <f t="shared" si="8"/>
        <v>377</v>
      </c>
      <c r="AH49" s="354"/>
      <c r="AI49" s="354"/>
    </row>
    <row r="50" spans="1:35">
      <c r="B50" s="354"/>
      <c r="C50" s="354"/>
      <c r="D50" s="354"/>
      <c r="E50" s="354"/>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row>
    <row r="51" spans="1:35">
      <c r="B51" s="354"/>
      <c r="C51" s="354"/>
      <c r="D51" s="354"/>
      <c r="E51" s="354"/>
      <c r="F51" s="354"/>
      <c r="G51" s="354"/>
      <c r="H51" s="354"/>
      <c r="I51" s="354"/>
      <c r="J51" s="354"/>
      <c r="K51" s="354"/>
      <c r="L51" s="354"/>
      <c r="M51" s="354"/>
      <c r="N51" s="354"/>
      <c r="O51" s="354"/>
      <c r="P51" s="354"/>
      <c r="Q51" s="354"/>
      <c r="R51" s="354"/>
      <c r="S51" s="354"/>
      <c r="T51" s="354"/>
      <c r="U51" s="354"/>
      <c r="V51" s="354"/>
      <c r="W51" s="354"/>
      <c r="X51" s="354"/>
      <c r="Y51" s="354"/>
      <c r="Z51" s="354"/>
      <c r="AA51" s="354"/>
      <c r="AB51" s="354"/>
      <c r="AC51" s="354"/>
      <c r="AD51" s="354"/>
      <c r="AE51" s="354"/>
      <c r="AF51" s="354"/>
      <c r="AG51" s="354"/>
      <c r="AH51" s="354"/>
      <c r="AI51" s="354"/>
    </row>
    <row r="52" spans="1:35">
      <c r="B52" s="35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c r="AB52" s="354"/>
      <c r="AC52" s="354"/>
      <c r="AD52" s="354"/>
      <c r="AE52" s="354"/>
      <c r="AF52" s="354"/>
      <c r="AG52" s="354"/>
      <c r="AH52" s="354"/>
      <c r="AI52" s="354"/>
    </row>
    <row r="53" spans="1:35">
      <c r="B53" s="354"/>
      <c r="C53" s="354"/>
      <c r="D53" s="354"/>
      <c r="E53" s="354"/>
      <c r="F53" s="354"/>
      <c r="G53" s="354"/>
      <c r="H53" s="354"/>
      <c r="I53" s="354"/>
      <c r="J53" s="354"/>
      <c r="K53" s="354"/>
      <c r="L53" s="354"/>
      <c r="M53" s="354"/>
      <c r="N53" s="354"/>
      <c r="O53" s="354"/>
      <c r="P53" s="354"/>
      <c r="Q53" s="354"/>
      <c r="R53" s="354"/>
      <c r="S53" s="354"/>
      <c r="T53" s="354"/>
      <c r="U53" s="354"/>
      <c r="V53" s="354"/>
      <c r="W53" s="354"/>
      <c r="X53" s="354"/>
      <c r="Y53" s="354"/>
      <c r="Z53" s="354"/>
      <c r="AA53" s="354"/>
      <c r="AB53" s="354"/>
      <c r="AC53" s="354"/>
      <c r="AD53" s="354"/>
      <c r="AE53" s="354"/>
      <c r="AF53" s="354"/>
      <c r="AG53" s="354"/>
      <c r="AH53" s="354"/>
      <c r="AI53" s="354"/>
    </row>
    <row r="54" spans="1:35">
      <c r="B54" s="354"/>
      <c r="C54" s="354"/>
      <c r="D54" s="354"/>
      <c r="E54" s="354"/>
      <c r="F54" s="354"/>
      <c r="G54" s="354"/>
      <c r="H54" s="354"/>
      <c r="I54" s="354"/>
      <c r="J54" s="354"/>
      <c r="K54" s="354"/>
      <c r="L54" s="354"/>
      <c r="M54" s="354"/>
      <c r="N54" s="354"/>
      <c r="O54" s="354"/>
      <c r="P54" s="354"/>
      <c r="Q54" s="354"/>
      <c r="R54" s="354"/>
      <c r="S54" s="354"/>
      <c r="T54" s="354"/>
      <c r="U54" s="354"/>
      <c r="V54" s="354"/>
      <c r="W54" s="354"/>
      <c r="X54" s="354"/>
      <c r="Y54" s="354"/>
      <c r="Z54" s="354"/>
      <c r="AA54" s="354"/>
      <c r="AB54" s="354"/>
      <c r="AC54" s="354"/>
      <c r="AD54" s="354"/>
      <c r="AE54" s="354"/>
      <c r="AF54" s="354"/>
      <c r="AG54" s="354"/>
      <c r="AH54" s="354"/>
      <c r="AI54" s="354"/>
    </row>
    <row r="55" spans="1:35">
      <c r="B55" s="354"/>
      <c r="C55" s="354"/>
      <c r="D55" s="354"/>
      <c r="E55" s="354"/>
      <c r="F55" s="354"/>
      <c r="G55" s="354"/>
      <c r="H55" s="354"/>
      <c r="I55" s="354"/>
      <c r="J55" s="354"/>
      <c r="K55" s="354"/>
      <c r="L55" s="354"/>
      <c r="M55" s="354"/>
      <c r="N55" s="354"/>
      <c r="O55" s="354"/>
      <c r="P55" s="354"/>
      <c r="Q55" s="354"/>
      <c r="R55" s="354"/>
      <c r="S55" s="354"/>
      <c r="T55" s="354"/>
      <c r="U55" s="354"/>
      <c r="V55" s="354"/>
      <c r="W55" s="354"/>
      <c r="X55" s="354"/>
      <c r="Y55" s="354"/>
      <c r="Z55" s="354"/>
      <c r="AA55" s="354"/>
      <c r="AB55" s="354"/>
      <c r="AC55" s="354"/>
      <c r="AD55" s="354"/>
      <c r="AE55" s="354"/>
      <c r="AF55" s="354"/>
      <c r="AG55" s="354"/>
      <c r="AH55" s="354"/>
      <c r="AI55" s="354"/>
    </row>
    <row r="56" spans="1:35">
      <c r="B56" s="354"/>
      <c r="C56" s="354"/>
      <c r="D56" s="354"/>
      <c r="E56" s="354"/>
      <c r="F56" s="354"/>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row>
    <row r="57" spans="1:35">
      <c r="B57" s="354"/>
      <c r="C57" s="354"/>
      <c r="D57" s="354"/>
      <c r="E57" s="354"/>
      <c r="F57" s="354"/>
      <c r="G57" s="354"/>
      <c r="H57" s="354"/>
      <c r="I57" s="354"/>
      <c r="J57" s="354"/>
      <c r="K57" s="354"/>
      <c r="L57" s="354"/>
      <c r="M57" s="354"/>
      <c r="N57" s="354"/>
      <c r="O57" s="354"/>
      <c r="P57" s="354"/>
      <c r="Q57" s="354"/>
      <c r="R57" s="354"/>
      <c r="S57" s="354"/>
      <c r="T57" s="354"/>
      <c r="U57" s="354"/>
      <c r="V57" s="354"/>
      <c r="W57" s="354"/>
      <c r="X57" s="354"/>
      <c r="Y57" s="354"/>
      <c r="Z57" s="354"/>
      <c r="AA57" s="354"/>
      <c r="AB57" s="354"/>
      <c r="AC57" s="354"/>
      <c r="AD57" s="354"/>
      <c r="AE57" s="354"/>
      <c r="AF57" s="354"/>
      <c r="AG57" s="354"/>
      <c r="AH57" s="354"/>
      <c r="AI57" s="354"/>
    </row>
    <row r="58" spans="1:35">
      <c r="B58" s="354"/>
      <c r="C58" s="354"/>
      <c r="D58" s="354"/>
      <c r="E58" s="354"/>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354"/>
      <c r="AE58" s="354"/>
      <c r="AF58" s="354"/>
      <c r="AG58" s="354"/>
      <c r="AH58" s="354"/>
      <c r="AI58" s="354"/>
    </row>
    <row r="59" spans="1:35">
      <c r="B59" s="354"/>
      <c r="C59" s="354"/>
      <c r="D59" s="354"/>
      <c r="E59" s="354"/>
      <c r="F59" s="354"/>
      <c r="G59" s="354"/>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row>
    <row r="60" spans="1:35">
      <c r="B60" s="354"/>
      <c r="C60" s="354"/>
      <c r="D60" s="354"/>
      <c r="E60" s="354"/>
      <c r="F60" s="354"/>
      <c r="G60" s="354"/>
      <c r="H60" s="354"/>
      <c r="I60" s="354"/>
      <c r="J60" s="354"/>
      <c r="K60" s="354"/>
      <c r="L60" s="354"/>
      <c r="M60" s="354"/>
      <c r="N60" s="354"/>
      <c r="O60" s="354"/>
      <c r="P60" s="354"/>
      <c r="Q60" s="354"/>
      <c r="R60" s="354"/>
      <c r="S60" s="354"/>
      <c r="T60" s="354"/>
      <c r="U60" s="354"/>
      <c r="V60" s="354"/>
      <c r="W60" s="354"/>
      <c r="X60" s="354"/>
      <c r="Y60" s="354"/>
      <c r="Z60" s="354"/>
      <c r="AA60" s="354"/>
      <c r="AB60" s="354"/>
      <c r="AC60" s="354"/>
      <c r="AD60" s="354"/>
      <c r="AE60" s="354"/>
      <c r="AF60" s="354"/>
      <c r="AG60" s="354"/>
      <c r="AH60" s="354"/>
      <c r="AI60" s="354"/>
    </row>
    <row r="61" spans="1:35">
      <c r="B61" s="354"/>
      <c r="C61" s="354"/>
      <c r="D61" s="354"/>
      <c r="E61" s="354"/>
      <c r="F61" s="354"/>
      <c r="G61" s="354"/>
      <c r="H61" s="354"/>
      <c r="I61" s="354"/>
      <c r="J61" s="354"/>
      <c r="K61" s="354"/>
      <c r="L61" s="354"/>
      <c r="M61" s="354"/>
      <c r="N61" s="354"/>
      <c r="O61" s="354"/>
      <c r="P61" s="354"/>
      <c r="Q61" s="354"/>
      <c r="R61" s="354"/>
      <c r="S61" s="354"/>
      <c r="T61" s="354"/>
      <c r="U61" s="354"/>
      <c r="V61" s="354"/>
      <c r="W61" s="354"/>
      <c r="X61" s="354"/>
      <c r="Y61" s="354"/>
      <c r="Z61" s="354"/>
      <c r="AA61" s="354"/>
      <c r="AB61" s="354"/>
      <c r="AC61" s="354"/>
      <c r="AD61" s="354"/>
      <c r="AE61" s="354"/>
      <c r="AF61" s="354"/>
      <c r="AG61" s="354"/>
      <c r="AH61" s="354"/>
      <c r="AI61" s="354"/>
    </row>
    <row r="62" spans="1:35">
      <c r="B62" s="354"/>
      <c r="C62" s="354"/>
      <c r="D62" s="354"/>
      <c r="E62" s="354"/>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row>
    <row r="63" spans="1:35">
      <c r="B63" s="354"/>
      <c r="C63" s="354"/>
      <c r="D63" s="354"/>
      <c r="E63" s="354"/>
      <c r="F63" s="354"/>
      <c r="G63" s="354"/>
      <c r="H63" s="354"/>
      <c r="I63" s="354"/>
      <c r="J63" s="354"/>
      <c r="K63" s="354"/>
      <c r="L63" s="354"/>
      <c r="M63" s="354"/>
      <c r="N63" s="354"/>
      <c r="O63" s="354"/>
      <c r="P63" s="354"/>
      <c r="Q63" s="354"/>
      <c r="R63" s="354"/>
      <c r="S63" s="354"/>
      <c r="T63" s="354"/>
      <c r="U63" s="354"/>
      <c r="V63" s="354"/>
      <c r="W63" s="354"/>
      <c r="X63" s="354"/>
      <c r="Y63" s="354"/>
      <c r="Z63" s="354"/>
      <c r="AA63" s="354"/>
      <c r="AB63" s="354"/>
      <c r="AC63" s="354"/>
      <c r="AD63" s="354"/>
      <c r="AE63" s="354"/>
      <c r="AF63" s="354"/>
      <c r="AG63" s="354"/>
      <c r="AH63" s="354"/>
      <c r="AI63" s="354"/>
    </row>
    <row r="64" spans="1:35">
      <c r="B64" s="354"/>
      <c r="C64" s="354"/>
      <c r="D64" s="354"/>
      <c r="E64" s="354"/>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row>
    <row r="65" spans="2:35">
      <c r="B65" s="354"/>
      <c r="C65" s="354"/>
      <c r="D65" s="354"/>
      <c r="E65" s="354"/>
      <c r="F65" s="354"/>
      <c r="G65" s="354"/>
      <c r="H65" s="354"/>
      <c r="I65" s="354"/>
      <c r="J65" s="354"/>
      <c r="K65" s="354"/>
      <c r="L65" s="354"/>
      <c r="M65" s="354"/>
      <c r="N65" s="354"/>
      <c r="O65" s="354"/>
      <c r="P65" s="354"/>
      <c r="Q65" s="354"/>
      <c r="R65" s="354"/>
      <c r="S65" s="354"/>
      <c r="T65" s="354"/>
      <c r="U65" s="354"/>
      <c r="V65" s="354"/>
      <c r="W65" s="354"/>
      <c r="X65" s="354"/>
      <c r="Y65" s="354"/>
      <c r="Z65" s="354"/>
      <c r="AA65" s="354"/>
      <c r="AB65" s="354"/>
      <c r="AC65" s="354"/>
      <c r="AD65" s="354"/>
      <c r="AE65" s="354"/>
      <c r="AF65" s="354"/>
      <c r="AG65" s="354"/>
      <c r="AH65" s="354"/>
      <c r="AI65" s="354"/>
    </row>
    <row r="66" spans="2:35">
      <c r="B66" s="354"/>
      <c r="C66" s="354"/>
      <c r="D66" s="354"/>
      <c r="E66" s="354"/>
      <c r="F66" s="354"/>
      <c r="G66" s="354"/>
      <c r="H66" s="354"/>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4"/>
      <c r="AG66" s="354"/>
      <c r="AH66" s="354"/>
      <c r="AI66" s="354"/>
    </row>
    <row r="67" spans="2:35">
      <c r="B67" s="354"/>
      <c r="C67" s="354"/>
      <c r="D67" s="354"/>
      <c r="E67" s="354"/>
      <c r="F67" s="354"/>
      <c r="G67" s="354"/>
      <c r="H67" s="354"/>
      <c r="I67" s="354"/>
      <c r="J67" s="354"/>
      <c r="K67" s="354"/>
      <c r="L67" s="354"/>
      <c r="M67" s="354"/>
      <c r="N67" s="354"/>
      <c r="O67" s="354"/>
      <c r="P67" s="354"/>
      <c r="Q67" s="354"/>
      <c r="R67" s="354"/>
      <c r="S67" s="354"/>
      <c r="T67" s="354"/>
      <c r="U67" s="354"/>
      <c r="V67" s="354"/>
      <c r="W67" s="354"/>
      <c r="X67" s="354"/>
      <c r="Y67" s="354"/>
      <c r="Z67" s="354"/>
      <c r="AA67" s="354"/>
      <c r="AB67" s="354"/>
      <c r="AC67" s="354"/>
      <c r="AD67" s="354"/>
      <c r="AE67" s="354"/>
      <c r="AF67" s="354"/>
      <c r="AG67" s="354"/>
      <c r="AH67" s="354"/>
      <c r="AI67" s="354"/>
    </row>
    <row r="68" spans="2:35">
      <c r="B68" s="354"/>
      <c r="C68" s="354"/>
      <c r="D68" s="354"/>
      <c r="E68" s="354"/>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354"/>
      <c r="AE68" s="354"/>
      <c r="AF68" s="354"/>
      <c r="AG68" s="354"/>
      <c r="AH68" s="354"/>
      <c r="AI68" s="354"/>
    </row>
    <row r="69" spans="2:35">
      <c r="B69" s="354"/>
      <c r="C69" s="354"/>
      <c r="D69" s="354"/>
      <c r="E69" s="354"/>
      <c r="F69" s="354"/>
      <c r="G69" s="354"/>
      <c r="H69" s="354"/>
      <c r="I69" s="354"/>
      <c r="J69" s="354"/>
      <c r="K69" s="354"/>
      <c r="L69" s="354"/>
      <c r="M69" s="354"/>
      <c r="N69" s="354"/>
      <c r="O69" s="354"/>
      <c r="P69" s="354"/>
      <c r="Q69" s="354"/>
      <c r="R69" s="354"/>
      <c r="S69" s="354"/>
      <c r="T69" s="354"/>
      <c r="U69" s="354"/>
      <c r="V69" s="354"/>
      <c r="W69" s="354"/>
      <c r="X69" s="354"/>
      <c r="Y69" s="354"/>
      <c r="Z69" s="354"/>
      <c r="AA69" s="354"/>
      <c r="AB69" s="354"/>
      <c r="AC69" s="354"/>
      <c r="AD69" s="354"/>
      <c r="AE69" s="354"/>
      <c r="AF69" s="354"/>
      <c r="AG69" s="354"/>
      <c r="AH69" s="354"/>
      <c r="AI69" s="354"/>
    </row>
    <row r="70" spans="2:35">
      <c r="B70" s="354"/>
      <c r="C70" s="354"/>
      <c r="D70" s="354"/>
      <c r="E70" s="354"/>
      <c r="F70" s="354"/>
      <c r="G70" s="354"/>
      <c r="H70" s="354"/>
      <c r="I70" s="354"/>
      <c r="J70" s="354"/>
      <c r="K70" s="354"/>
      <c r="L70" s="354"/>
      <c r="M70" s="354"/>
      <c r="N70" s="354"/>
      <c r="O70" s="354"/>
      <c r="P70" s="354"/>
      <c r="Q70" s="354"/>
      <c r="R70" s="354"/>
      <c r="S70" s="354"/>
      <c r="T70" s="354"/>
      <c r="U70" s="354"/>
      <c r="V70" s="354"/>
      <c r="W70" s="354"/>
      <c r="X70" s="354"/>
      <c r="Y70" s="354"/>
      <c r="Z70" s="354"/>
      <c r="AA70" s="354"/>
      <c r="AB70" s="354"/>
      <c r="AC70" s="354"/>
      <c r="AD70" s="354"/>
      <c r="AE70" s="354"/>
      <c r="AF70" s="354"/>
      <c r="AG70" s="354"/>
      <c r="AH70" s="354"/>
      <c r="AI70" s="354"/>
    </row>
    <row r="71" spans="2:35">
      <c r="B71" s="354"/>
      <c r="C71" s="354"/>
      <c r="D71" s="354"/>
      <c r="E71" s="354"/>
      <c r="F71" s="354"/>
      <c r="G71" s="354"/>
      <c r="H71" s="354"/>
      <c r="I71" s="354"/>
      <c r="J71" s="354"/>
      <c r="K71" s="354"/>
      <c r="L71" s="354"/>
      <c r="M71" s="354"/>
      <c r="N71" s="354"/>
      <c r="O71" s="354"/>
      <c r="P71" s="354"/>
      <c r="Q71" s="354"/>
      <c r="R71" s="354"/>
      <c r="S71" s="354"/>
      <c r="T71" s="354"/>
      <c r="U71" s="354"/>
      <c r="V71" s="354"/>
      <c r="W71" s="354"/>
      <c r="X71" s="354"/>
      <c r="Y71" s="354"/>
      <c r="Z71" s="354"/>
      <c r="AA71" s="354"/>
      <c r="AB71" s="354"/>
      <c r="AC71" s="354"/>
      <c r="AD71" s="354"/>
      <c r="AE71" s="354"/>
      <c r="AF71" s="354"/>
      <c r="AG71" s="354"/>
      <c r="AH71" s="354"/>
      <c r="AI71" s="354"/>
    </row>
    <row r="72" spans="2:35">
      <c r="B72" s="354"/>
      <c r="C72" s="354"/>
      <c r="D72" s="354"/>
      <c r="E72" s="354"/>
      <c r="F72" s="354"/>
      <c r="G72" s="354"/>
      <c r="H72" s="354"/>
      <c r="I72" s="354"/>
      <c r="J72" s="354"/>
      <c r="K72" s="354"/>
      <c r="L72" s="354"/>
      <c r="M72" s="354"/>
      <c r="N72" s="354"/>
      <c r="O72" s="354"/>
      <c r="P72" s="354"/>
      <c r="Q72" s="354"/>
      <c r="R72" s="354"/>
      <c r="S72" s="354"/>
      <c r="T72" s="354"/>
      <c r="U72" s="354"/>
      <c r="V72" s="354"/>
      <c r="W72" s="354"/>
      <c r="X72" s="354"/>
      <c r="Y72" s="354"/>
      <c r="Z72" s="354"/>
      <c r="AA72" s="354"/>
      <c r="AB72" s="354"/>
      <c r="AC72" s="354"/>
      <c r="AD72" s="354"/>
      <c r="AE72" s="354"/>
      <c r="AF72" s="354"/>
      <c r="AG72" s="354"/>
      <c r="AH72" s="354"/>
      <c r="AI72" s="354"/>
    </row>
    <row r="73" spans="2:35">
      <c r="B73" s="354"/>
      <c r="C73" s="354"/>
      <c r="D73" s="354"/>
      <c r="E73" s="354"/>
      <c r="F73" s="354"/>
      <c r="G73" s="354"/>
      <c r="H73" s="354"/>
      <c r="I73" s="354"/>
      <c r="J73" s="354"/>
      <c r="K73" s="354"/>
      <c r="L73" s="354"/>
      <c r="M73" s="354"/>
      <c r="N73" s="354"/>
      <c r="O73" s="354"/>
      <c r="P73" s="354"/>
      <c r="Q73" s="354"/>
      <c r="R73" s="354"/>
      <c r="S73" s="354"/>
      <c r="T73" s="354"/>
      <c r="U73" s="354"/>
      <c r="V73" s="354"/>
      <c r="W73" s="354"/>
      <c r="X73" s="354"/>
      <c r="Y73" s="354"/>
      <c r="Z73" s="354"/>
      <c r="AA73" s="354"/>
      <c r="AB73" s="354"/>
      <c r="AC73" s="354"/>
      <c r="AD73" s="354"/>
      <c r="AE73" s="354"/>
      <c r="AF73" s="354"/>
      <c r="AG73" s="354"/>
      <c r="AH73" s="354"/>
      <c r="AI73" s="354"/>
    </row>
    <row r="74" spans="2:35">
      <c r="B74" s="354"/>
      <c r="C74" s="354"/>
      <c r="D74" s="354"/>
      <c r="E74" s="354"/>
      <c r="F74" s="354"/>
      <c r="G74" s="354"/>
      <c r="H74" s="354"/>
      <c r="I74" s="354"/>
      <c r="J74" s="354"/>
      <c r="K74" s="354"/>
      <c r="L74" s="354"/>
      <c r="M74" s="354"/>
      <c r="N74" s="354"/>
      <c r="O74" s="354"/>
      <c r="P74" s="354"/>
      <c r="Q74" s="354"/>
      <c r="R74" s="354"/>
      <c r="S74" s="354"/>
      <c r="T74" s="354"/>
      <c r="U74" s="354"/>
      <c r="V74" s="354"/>
      <c r="W74" s="354"/>
      <c r="X74" s="354"/>
      <c r="Y74" s="354"/>
      <c r="Z74" s="354"/>
      <c r="AA74" s="354"/>
      <c r="AB74" s="354"/>
      <c r="AC74" s="354"/>
      <c r="AD74" s="354"/>
      <c r="AE74" s="354"/>
      <c r="AF74" s="354"/>
      <c r="AG74" s="354"/>
      <c r="AH74" s="354"/>
      <c r="AI74" s="354"/>
    </row>
    <row r="75" spans="2:35">
      <c r="B75" s="354"/>
      <c r="C75" s="354"/>
      <c r="D75" s="354"/>
      <c r="E75" s="354"/>
      <c r="F75" s="354"/>
      <c r="G75" s="354"/>
      <c r="H75" s="354"/>
      <c r="I75" s="354"/>
      <c r="J75" s="354"/>
      <c r="K75" s="354"/>
      <c r="L75" s="354"/>
      <c r="M75" s="354"/>
      <c r="N75" s="354"/>
      <c r="O75" s="354"/>
      <c r="P75" s="354"/>
      <c r="Q75" s="354"/>
      <c r="R75" s="354"/>
      <c r="S75" s="354"/>
      <c r="T75" s="354"/>
      <c r="U75" s="354"/>
      <c r="V75" s="354"/>
      <c r="W75" s="354"/>
      <c r="X75" s="354"/>
      <c r="Y75" s="354"/>
      <c r="Z75" s="354"/>
      <c r="AA75" s="354"/>
      <c r="AB75" s="354"/>
      <c r="AC75" s="354"/>
      <c r="AD75" s="354"/>
      <c r="AE75" s="354"/>
      <c r="AF75" s="354"/>
      <c r="AG75" s="354"/>
      <c r="AH75" s="354"/>
      <c r="AI75" s="354"/>
    </row>
    <row r="76" spans="2:35">
      <c r="B76" s="354"/>
      <c r="C76" s="354"/>
      <c r="D76" s="354"/>
      <c r="E76" s="354"/>
      <c r="F76" s="354"/>
      <c r="G76" s="354"/>
      <c r="H76" s="354"/>
      <c r="I76" s="354"/>
      <c r="J76" s="354"/>
      <c r="K76" s="354"/>
      <c r="L76" s="354"/>
      <c r="M76" s="354"/>
      <c r="N76" s="354"/>
      <c r="O76" s="354"/>
      <c r="P76" s="354"/>
      <c r="Q76" s="354"/>
      <c r="R76" s="354"/>
      <c r="S76" s="354"/>
      <c r="T76" s="354"/>
      <c r="U76" s="354"/>
      <c r="V76" s="354"/>
      <c r="W76" s="354"/>
      <c r="X76" s="354"/>
      <c r="Y76" s="354"/>
      <c r="Z76" s="354"/>
      <c r="AA76" s="354"/>
      <c r="AB76" s="354"/>
      <c r="AC76" s="354"/>
      <c r="AD76" s="354"/>
      <c r="AE76" s="354"/>
      <c r="AF76" s="354"/>
      <c r="AG76" s="354"/>
      <c r="AH76" s="354"/>
      <c r="AI76" s="354"/>
    </row>
    <row r="77" spans="2:35">
      <c r="B77" s="354"/>
      <c r="C77" s="354"/>
      <c r="D77" s="354"/>
      <c r="E77" s="354"/>
      <c r="F77" s="354"/>
      <c r="G77" s="354"/>
      <c r="H77" s="354"/>
      <c r="I77" s="354"/>
      <c r="J77" s="354"/>
      <c r="K77" s="354"/>
      <c r="L77" s="354"/>
      <c r="M77" s="354"/>
      <c r="N77" s="354"/>
      <c r="O77" s="354"/>
      <c r="P77" s="354"/>
      <c r="Q77" s="354"/>
      <c r="R77" s="354"/>
      <c r="S77" s="354"/>
      <c r="T77" s="354"/>
      <c r="U77" s="354"/>
      <c r="V77" s="354"/>
      <c r="W77" s="354"/>
      <c r="X77" s="354"/>
      <c r="Y77" s="354"/>
      <c r="Z77" s="354"/>
      <c r="AA77" s="354"/>
      <c r="AB77" s="354"/>
      <c r="AC77" s="354"/>
      <c r="AD77" s="354"/>
      <c r="AE77" s="354"/>
      <c r="AF77" s="354"/>
      <c r="AG77" s="354"/>
      <c r="AH77" s="354"/>
      <c r="AI77" s="354"/>
    </row>
    <row r="78" spans="2:35">
      <c r="B78" s="354"/>
      <c r="C78" s="354"/>
      <c r="D78" s="354"/>
      <c r="E78" s="354"/>
      <c r="F78" s="354"/>
      <c r="G78" s="354"/>
      <c r="H78" s="354"/>
      <c r="I78" s="354"/>
      <c r="J78" s="354"/>
      <c r="K78" s="354"/>
      <c r="L78" s="354"/>
      <c r="M78" s="354"/>
      <c r="N78" s="354"/>
      <c r="O78" s="354"/>
      <c r="P78" s="354"/>
      <c r="Q78" s="354"/>
      <c r="R78" s="354"/>
      <c r="S78" s="354"/>
      <c r="T78" s="354"/>
      <c r="U78" s="354"/>
      <c r="V78" s="354"/>
      <c r="W78" s="354"/>
      <c r="X78" s="354"/>
      <c r="Y78" s="354"/>
      <c r="Z78" s="354"/>
      <c r="AA78" s="354"/>
      <c r="AB78" s="354"/>
      <c r="AC78" s="354"/>
      <c r="AD78" s="354"/>
      <c r="AE78" s="354"/>
      <c r="AF78" s="354"/>
      <c r="AG78" s="354"/>
      <c r="AH78" s="354"/>
      <c r="AI78" s="354"/>
    </row>
    <row r="79" spans="2:35">
      <c r="B79" s="354"/>
      <c r="C79" s="354"/>
      <c r="D79" s="354"/>
      <c r="E79" s="354"/>
      <c r="F79" s="354"/>
      <c r="G79" s="354"/>
      <c r="H79" s="354"/>
      <c r="I79" s="354"/>
      <c r="J79" s="354"/>
      <c r="K79" s="354"/>
      <c r="L79" s="354"/>
      <c r="M79" s="354"/>
      <c r="N79" s="354"/>
      <c r="O79" s="354"/>
      <c r="P79" s="354"/>
      <c r="Q79" s="354"/>
      <c r="R79" s="354"/>
      <c r="S79" s="354"/>
      <c r="T79" s="354"/>
      <c r="U79" s="354"/>
      <c r="V79" s="354"/>
      <c r="W79" s="354"/>
      <c r="X79" s="354"/>
      <c r="Y79" s="354"/>
      <c r="Z79" s="354"/>
      <c r="AA79" s="354"/>
      <c r="AB79" s="354"/>
      <c r="AC79" s="354"/>
      <c r="AD79" s="354"/>
      <c r="AE79" s="354"/>
      <c r="AF79" s="354"/>
      <c r="AG79" s="354"/>
      <c r="AH79" s="354"/>
      <c r="AI79" s="354"/>
    </row>
    <row r="80" spans="2:35">
      <c r="B80" s="354"/>
      <c r="C80" s="354"/>
      <c r="D80" s="354"/>
      <c r="E80" s="354"/>
      <c r="F80" s="354"/>
      <c r="G80" s="354"/>
      <c r="H80" s="354"/>
      <c r="I80" s="354"/>
      <c r="J80" s="354"/>
      <c r="K80" s="354"/>
      <c r="L80" s="354"/>
      <c r="M80" s="354"/>
      <c r="N80" s="354"/>
      <c r="O80" s="354"/>
      <c r="P80" s="354"/>
      <c r="Q80" s="354"/>
      <c r="R80" s="354"/>
      <c r="S80" s="354"/>
      <c r="T80" s="354"/>
      <c r="U80" s="354"/>
      <c r="V80" s="354"/>
      <c r="W80" s="354"/>
      <c r="X80" s="354"/>
      <c r="Y80" s="354"/>
      <c r="Z80" s="354"/>
      <c r="AA80" s="354"/>
      <c r="AB80" s="354"/>
      <c r="AC80" s="354"/>
      <c r="AD80" s="354"/>
      <c r="AE80" s="354"/>
      <c r="AF80" s="354"/>
      <c r="AG80" s="354"/>
      <c r="AH80" s="354"/>
      <c r="AI80" s="354"/>
    </row>
    <row r="81" spans="2:35">
      <c r="B81" s="354"/>
      <c r="C81" s="354"/>
      <c r="D81" s="354"/>
      <c r="E81" s="354"/>
      <c r="F81" s="354"/>
      <c r="G81" s="354"/>
      <c r="H81" s="354"/>
      <c r="I81" s="354"/>
      <c r="J81" s="354"/>
      <c r="K81" s="354"/>
      <c r="L81" s="354"/>
      <c r="M81" s="354"/>
      <c r="N81" s="354"/>
      <c r="O81" s="354"/>
      <c r="P81" s="354"/>
      <c r="Q81" s="354"/>
      <c r="R81" s="354"/>
      <c r="S81" s="354"/>
      <c r="T81" s="354"/>
      <c r="U81" s="354"/>
      <c r="V81" s="354"/>
      <c r="W81" s="354"/>
      <c r="X81" s="354"/>
      <c r="Y81" s="354"/>
      <c r="Z81" s="354"/>
      <c r="AA81" s="354"/>
      <c r="AB81" s="354"/>
      <c r="AC81" s="354"/>
      <c r="AD81" s="354"/>
      <c r="AE81" s="354"/>
      <c r="AF81" s="354"/>
      <c r="AG81" s="354"/>
      <c r="AH81" s="354"/>
      <c r="AI81" s="354"/>
    </row>
    <row r="82" spans="2:35">
      <c r="B82" s="354"/>
      <c r="C82" s="354"/>
      <c r="D82" s="354"/>
      <c r="E82" s="354"/>
      <c r="F82" s="354"/>
      <c r="G82" s="354"/>
      <c r="H82" s="354"/>
      <c r="I82" s="354"/>
      <c r="J82" s="354"/>
      <c r="K82" s="354"/>
      <c r="L82" s="354"/>
      <c r="M82" s="354"/>
      <c r="N82" s="354"/>
      <c r="O82" s="354"/>
      <c r="P82" s="354"/>
      <c r="Q82" s="354"/>
      <c r="R82" s="354"/>
      <c r="S82" s="354"/>
      <c r="T82" s="354"/>
      <c r="U82" s="354"/>
      <c r="V82" s="354"/>
      <c r="W82" s="354"/>
      <c r="X82" s="354"/>
      <c r="Y82" s="354"/>
      <c r="Z82" s="354"/>
      <c r="AA82" s="354"/>
      <c r="AB82" s="354"/>
      <c r="AC82" s="354"/>
      <c r="AD82" s="354"/>
      <c r="AE82" s="354"/>
      <c r="AF82" s="354"/>
      <c r="AG82" s="354"/>
      <c r="AH82" s="354"/>
      <c r="AI82" s="354"/>
    </row>
    <row r="83" spans="2:35">
      <c r="B83" s="354"/>
      <c r="C83" s="354"/>
      <c r="D83" s="354"/>
      <c r="E83" s="354"/>
      <c r="F83" s="354"/>
      <c r="G83" s="354"/>
      <c r="H83" s="354"/>
      <c r="I83" s="354"/>
      <c r="J83" s="354"/>
      <c r="K83" s="354"/>
      <c r="L83" s="354"/>
      <c r="M83" s="354"/>
      <c r="N83" s="354"/>
      <c r="O83" s="354"/>
      <c r="P83" s="354"/>
      <c r="Q83" s="354"/>
      <c r="R83" s="354"/>
      <c r="S83" s="354"/>
      <c r="T83" s="354"/>
      <c r="U83" s="354"/>
      <c r="V83" s="354"/>
      <c r="W83" s="354"/>
      <c r="X83" s="354"/>
      <c r="Y83" s="354"/>
      <c r="Z83" s="354"/>
      <c r="AA83" s="354"/>
      <c r="AB83" s="354"/>
      <c r="AC83" s="354"/>
      <c r="AD83" s="354"/>
      <c r="AE83" s="354"/>
      <c r="AF83" s="354"/>
      <c r="AG83" s="354"/>
      <c r="AH83" s="354"/>
      <c r="AI83" s="354"/>
    </row>
    <row r="84" spans="2:35">
      <c r="B84" s="354"/>
      <c r="C84" s="354"/>
      <c r="D84" s="354"/>
      <c r="E84" s="354"/>
      <c r="F84" s="354"/>
      <c r="G84" s="354"/>
      <c r="H84" s="354"/>
      <c r="I84" s="354"/>
      <c r="J84" s="354"/>
      <c r="K84" s="354"/>
      <c r="L84" s="354"/>
      <c r="M84" s="354"/>
      <c r="N84" s="354"/>
      <c r="O84" s="354"/>
      <c r="P84" s="354"/>
      <c r="Q84" s="354"/>
      <c r="R84" s="354"/>
      <c r="S84" s="354"/>
      <c r="T84" s="354"/>
      <c r="U84" s="354"/>
      <c r="V84" s="354"/>
      <c r="W84" s="354"/>
      <c r="X84" s="354"/>
      <c r="Y84" s="354"/>
      <c r="Z84" s="354"/>
      <c r="AA84" s="354"/>
      <c r="AB84" s="354"/>
      <c r="AC84" s="354"/>
      <c r="AD84" s="354"/>
      <c r="AE84" s="354"/>
      <c r="AF84" s="354"/>
      <c r="AG84" s="354"/>
      <c r="AH84" s="354"/>
      <c r="AI84" s="354"/>
    </row>
    <row r="85" spans="2:35">
      <c r="B85" s="354"/>
      <c r="C85" s="354"/>
      <c r="D85" s="354"/>
      <c r="E85" s="354"/>
      <c r="F85" s="354"/>
      <c r="G85" s="354"/>
      <c r="H85" s="354"/>
      <c r="I85" s="354"/>
      <c r="J85" s="354"/>
      <c r="K85" s="354"/>
      <c r="L85" s="354"/>
      <c r="M85" s="354"/>
      <c r="N85" s="354"/>
      <c r="O85" s="354"/>
      <c r="P85" s="354"/>
      <c r="Q85" s="354"/>
      <c r="R85" s="354"/>
      <c r="S85" s="354"/>
      <c r="T85" s="354"/>
      <c r="U85" s="354"/>
      <c r="V85" s="354"/>
      <c r="W85" s="354"/>
      <c r="X85" s="354"/>
      <c r="Y85" s="354"/>
      <c r="Z85" s="354"/>
      <c r="AA85" s="354"/>
      <c r="AB85" s="354"/>
      <c r="AC85" s="354"/>
      <c r="AD85" s="354"/>
      <c r="AE85" s="354"/>
      <c r="AF85" s="354"/>
      <c r="AG85" s="354"/>
      <c r="AH85" s="354"/>
      <c r="AI85" s="354"/>
    </row>
    <row r="86" spans="2:35">
      <c r="B86" s="354"/>
      <c r="C86" s="354"/>
      <c r="D86" s="354"/>
      <c r="E86" s="354"/>
      <c r="F86" s="354"/>
      <c r="G86" s="354"/>
      <c r="H86" s="354"/>
      <c r="I86" s="354"/>
      <c r="J86" s="354"/>
      <c r="K86" s="354"/>
      <c r="L86" s="354"/>
      <c r="M86" s="354"/>
      <c r="N86" s="354"/>
      <c r="O86" s="354"/>
      <c r="P86" s="354"/>
      <c r="Q86" s="354"/>
      <c r="R86" s="354"/>
      <c r="S86" s="354"/>
      <c r="T86" s="354"/>
      <c r="U86" s="354"/>
      <c r="V86" s="354"/>
      <c r="W86" s="354"/>
      <c r="X86" s="354"/>
      <c r="Y86" s="354"/>
      <c r="Z86" s="354"/>
      <c r="AA86" s="354"/>
      <c r="AB86" s="354"/>
      <c r="AC86" s="354"/>
      <c r="AD86" s="354"/>
      <c r="AE86" s="354"/>
      <c r="AF86" s="354"/>
      <c r="AG86" s="354"/>
      <c r="AH86" s="354"/>
      <c r="AI86" s="354"/>
    </row>
    <row r="87" spans="2:35">
      <c r="B87" s="354"/>
      <c r="C87" s="354"/>
      <c r="D87" s="354"/>
      <c r="E87" s="354"/>
      <c r="F87" s="354"/>
      <c r="G87" s="354"/>
      <c r="H87" s="354"/>
      <c r="I87" s="354"/>
      <c r="J87" s="354"/>
      <c r="K87" s="354"/>
      <c r="L87" s="354"/>
      <c r="M87" s="354"/>
      <c r="N87" s="354"/>
      <c r="O87" s="354"/>
      <c r="P87" s="354"/>
      <c r="Q87" s="354"/>
      <c r="R87" s="354"/>
      <c r="S87" s="354"/>
      <c r="T87" s="354"/>
      <c r="U87" s="354"/>
      <c r="V87" s="354"/>
      <c r="W87" s="354"/>
      <c r="X87" s="354"/>
      <c r="Y87" s="354"/>
      <c r="Z87" s="354"/>
      <c r="AA87" s="354"/>
      <c r="AB87" s="354"/>
      <c r="AC87" s="354"/>
      <c r="AD87" s="354"/>
      <c r="AE87" s="354"/>
      <c r="AF87" s="354"/>
      <c r="AG87" s="354"/>
      <c r="AH87" s="354"/>
      <c r="AI87" s="354"/>
    </row>
    <row r="88" spans="2:35">
      <c r="B88" s="354"/>
      <c r="C88" s="354"/>
      <c r="D88" s="354"/>
      <c r="E88" s="354"/>
      <c r="F88" s="354"/>
      <c r="G88" s="354"/>
      <c r="H88" s="354"/>
      <c r="I88" s="354"/>
      <c r="J88" s="354"/>
      <c r="K88" s="354"/>
      <c r="L88" s="354"/>
      <c r="M88" s="354"/>
      <c r="N88" s="354"/>
      <c r="O88" s="354"/>
      <c r="P88" s="354"/>
      <c r="Q88" s="354"/>
      <c r="R88" s="354"/>
      <c r="S88" s="354"/>
      <c r="T88" s="354"/>
      <c r="U88" s="354"/>
      <c r="V88" s="354"/>
      <c r="W88" s="354"/>
      <c r="X88" s="354"/>
      <c r="Y88" s="354"/>
      <c r="Z88" s="354"/>
      <c r="AA88" s="354"/>
      <c r="AB88" s="354"/>
      <c r="AC88" s="354"/>
      <c r="AD88" s="354"/>
      <c r="AE88" s="354"/>
      <c r="AF88" s="354"/>
      <c r="AG88" s="354"/>
      <c r="AH88" s="354"/>
      <c r="AI88" s="354"/>
    </row>
    <row r="89" spans="2:35">
      <c r="B89" s="354"/>
      <c r="C89" s="354"/>
      <c r="D89" s="354"/>
      <c r="E89" s="354"/>
      <c r="F89" s="354"/>
      <c r="G89" s="354"/>
      <c r="H89" s="354"/>
      <c r="I89" s="354"/>
      <c r="J89" s="354"/>
      <c r="K89" s="354"/>
      <c r="L89" s="354"/>
      <c r="M89" s="354"/>
      <c r="N89" s="354"/>
      <c r="O89" s="354"/>
      <c r="P89" s="354"/>
      <c r="Q89" s="354"/>
      <c r="R89" s="354"/>
      <c r="S89" s="354"/>
      <c r="T89" s="354"/>
      <c r="U89" s="354"/>
      <c r="V89" s="354"/>
      <c r="W89" s="354"/>
      <c r="X89" s="354"/>
      <c r="Y89" s="354"/>
      <c r="Z89" s="354"/>
      <c r="AA89" s="354"/>
      <c r="AB89" s="354"/>
      <c r="AC89" s="354"/>
      <c r="AD89" s="354"/>
      <c r="AE89" s="354"/>
      <c r="AF89" s="354"/>
      <c r="AG89" s="354"/>
      <c r="AH89" s="354"/>
      <c r="AI89" s="354"/>
    </row>
    <row r="90" spans="2:35">
      <c r="B90" s="354"/>
      <c r="C90" s="354"/>
      <c r="D90" s="354"/>
      <c r="E90" s="354"/>
      <c r="F90" s="354"/>
      <c r="G90" s="354"/>
      <c r="H90" s="354"/>
      <c r="I90" s="354"/>
      <c r="J90" s="354"/>
      <c r="K90" s="354"/>
      <c r="L90" s="354"/>
      <c r="M90" s="354"/>
      <c r="N90" s="354"/>
      <c r="O90" s="354"/>
      <c r="P90" s="354"/>
      <c r="Q90" s="354"/>
      <c r="R90" s="354"/>
      <c r="S90" s="354"/>
      <c r="T90" s="354"/>
      <c r="U90" s="354"/>
      <c r="V90" s="354"/>
      <c r="W90" s="354"/>
      <c r="X90" s="354"/>
      <c r="Y90" s="354"/>
      <c r="Z90" s="354"/>
      <c r="AA90" s="354"/>
      <c r="AB90" s="354"/>
      <c r="AC90" s="354"/>
      <c r="AD90" s="354"/>
      <c r="AE90" s="354"/>
      <c r="AF90" s="354"/>
      <c r="AG90" s="354"/>
      <c r="AH90" s="354"/>
      <c r="AI90" s="354"/>
    </row>
    <row r="91" spans="2:35">
      <c r="B91" s="354"/>
      <c r="C91" s="354"/>
      <c r="D91" s="354"/>
      <c r="E91" s="354"/>
      <c r="F91" s="354"/>
      <c r="G91" s="354"/>
      <c r="H91" s="354"/>
      <c r="I91" s="354"/>
      <c r="J91" s="354"/>
      <c r="K91" s="354"/>
      <c r="L91" s="354"/>
      <c r="M91" s="354"/>
      <c r="N91" s="354"/>
      <c r="O91" s="354"/>
      <c r="P91" s="354"/>
      <c r="Q91" s="354"/>
      <c r="R91" s="354"/>
      <c r="S91" s="354"/>
      <c r="T91" s="354"/>
      <c r="U91" s="354"/>
      <c r="V91" s="354"/>
      <c r="W91" s="354"/>
      <c r="X91" s="354"/>
      <c r="Y91" s="354"/>
      <c r="Z91" s="354"/>
      <c r="AA91" s="354"/>
      <c r="AB91" s="354"/>
      <c r="AC91" s="354"/>
      <c r="AD91" s="354"/>
      <c r="AE91" s="354"/>
      <c r="AF91" s="354"/>
      <c r="AG91" s="354"/>
      <c r="AH91" s="354"/>
      <c r="AI91" s="354"/>
    </row>
    <row r="92" spans="2:35">
      <c r="B92" s="354"/>
      <c r="C92" s="354"/>
      <c r="D92" s="354"/>
      <c r="E92" s="354"/>
      <c r="F92" s="354"/>
      <c r="G92" s="354"/>
      <c r="H92" s="354"/>
      <c r="I92" s="354"/>
      <c r="J92" s="354"/>
      <c r="K92" s="354"/>
      <c r="L92" s="354"/>
      <c r="M92" s="354"/>
      <c r="N92" s="354"/>
      <c r="O92" s="354"/>
      <c r="P92" s="354"/>
      <c r="Q92" s="354"/>
      <c r="R92" s="354"/>
      <c r="S92" s="354"/>
      <c r="T92" s="354"/>
      <c r="U92" s="354"/>
      <c r="V92" s="354"/>
      <c r="W92" s="354"/>
      <c r="X92" s="354"/>
      <c r="Y92" s="354"/>
      <c r="Z92" s="354"/>
      <c r="AA92" s="354"/>
      <c r="AB92" s="354"/>
      <c r="AC92" s="354"/>
      <c r="AD92" s="354"/>
      <c r="AE92" s="354"/>
      <c r="AF92" s="354"/>
      <c r="AG92" s="354"/>
      <c r="AH92" s="354"/>
      <c r="AI92" s="354"/>
    </row>
    <row r="93" spans="2:35">
      <c r="B93" s="354"/>
      <c r="C93" s="354"/>
      <c r="D93" s="354"/>
      <c r="E93" s="354"/>
      <c r="F93" s="354"/>
      <c r="G93" s="354"/>
      <c r="H93" s="354"/>
      <c r="I93" s="354"/>
      <c r="J93" s="354"/>
      <c r="K93" s="354"/>
      <c r="L93" s="354"/>
      <c r="M93" s="354"/>
      <c r="N93" s="354"/>
      <c r="O93" s="354"/>
      <c r="P93" s="354"/>
      <c r="Q93" s="354"/>
      <c r="R93" s="354"/>
      <c r="S93" s="354"/>
      <c r="T93" s="354"/>
      <c r="U93" s="354"/>
      <c r="V93" s="354"/>
      <c r="W93" s="354"/>
      <c r="X93" s="354"/>
      <c r="Y93" s="354"/>
      <c r="Z93" s="354"/>
      <c r="AA93" s="354"/>
      <c r="AB93" s="354"/>
      <c r="AC93" s="354"/>
      <c r="AD93" s="354"/>
      <c r="AE93" s="354"/>
      <c r="AF93" s="354"/>
      <c r="AG93" s="354"/>
      <c r="AH93" s="354"/>
      <c r="AI93" s="354"/>
    </row>
    <row r="94" spans="2:35">
      <c r="B94" s="354"/>
      <c r="C94" s="354"/>
      <c r="D94" s="354"/>
      <c r="E94" s="354"/>
      <c r="F94" s="354"/>
      <c r="G94" s="354"/>
      <c r="H94" s="354"/>
      <c r="I94" s="354"/>
      <c r="J94" s="354"/>
      <c r="K94" s="354"/>
      <c r="L94" s="354"/>
      <c r="M94" s="354"/>
      <c r="N94" s="354"/>
      <c r="O94" s="354"/>
      <c r="P94" s="354"/>
      <c r="Q94" s="354"/>
      <c r="R94" s="354"/>
      <c r="S94" s="354"/>
      <c r="T94" s="354"/>
      <c r="U94" s="354"/>
      <c r="V94" s="354"/>
      <c r="W94" s="354"/>
      <c r="X94" s="354"/>
      <c r="Y94" s="354"/>
      <c r="Z94" s="354"/>
      <c r="AA94" s="354"/>
      <c r="AB94" s="354"/>
      <c r="AC94" s="354"/>
      <c r="AD94" s="354"/>
      <c r="AE94" s="354"/>
      <c r="AF94" s="354"/>
      <c r="AG94" s="354"/>
      <c r="AH94" s="354"/>
      <c r="AI94" s="354"/>
    </row>
    <row r="95" spans="2:35">
      <c r="B95" s="354"/>
      <c r="C95" s="354"/>
      <c r="D95" s="354"/>
      <c r="E95" s="354"/>
      <c r="F95" s="354"/>
      <c r="G95" s="354"/>
      <c r="H95" s="354"/>
      <c r="I95" s="354"/>
      <c r="J95" s="354"/>
      <c r="K95" s="354"/>
      <c r="L95" s="354"/>
      <c r="M95" s="354"/>
      <c r="N95" s="354"/>
      <c r="O95" s="354"/>
      <c r="P95" s="354"/>
      <c r="Q95" s="354"/>
      <c r="R95" s="354"/>
      <c r="S95" s="354"/>
      <c r="T95" s="354"/>
      <c r="U95" s="354"/>
      <c r="V95" s="354"/>
      <c r="W95" s="354"/>
      <c r="X95" s="354"/>
      <c r="Y95" s="354"/>
      <c r="Z95" s="354"/>
      <c r="AA95" s="354"/>
      <c r="AB95" s="354"/>
      <c r="AC95" s="354"/>
      <c r="AD95" s="354"/>
      <c r="AE95" s="354"/>
      <c r="AF95" s="354"/>
      <c r="AG95" s="354"/>
      <c r="AH95" s="354"/>
      <c r="AI95" s="354"/>
    </row>
    <row r="96" spans="2:35">
      <c r="B96" s="354"/>
      <c r="C96" s="354"/>
      <c r="D96" s="354"/>
      <c r="E96" s="354"/>
      <c r="F96" s="354"/>
      <c r="G96" s="354"/>
      <c r="H96" s="354"/>
      <c r="I96" s="354"/>
      <c r="J96" s="354"/>
      <c r="K96" s="354"/>
      <c r="L96" s="354"/>
      <c r="M96" s="354"/>
      <c r="N96" s="354"/>
      <c r="O96" s="354"/>
      <c r="P96" s="354"/>
      <c r="Q96" s="354"/>
      <c r="R96" s="354"/>
      <c r="S96" s="354"/>
      <c r="T96" s="354"/>
      <c r="U96" s="354"/>
      <c r="V96" s="354"/>
      <c r="W96" s="354"/>
      <c r="X96" s="354"/>
      <c r="Y96" s="354"/>
      <c r="Z96" s="354"/>
      <c r="AA96" s="354"/>
      <c r="AB96" s="354"/>
      <c r="AC96" s="354"/>
      <c r="AD96" s="354"/>
      <c r="AE96" s="354"/>
      <c r="AF96" s="354"/>
      <c r="AG96" s="354"/>
      <c r="AH96" s="354"/>
      <c r="AI96" s="354"/>
    </row>
    <row r="97" spans="2:35">
      <c r="B97" s="354"/>
      <c r="C97" s="354"/>
      <c r="D97" s="354"/>
      <c r="E97" s="354"/>
      <c r="F97" s="354"/>
      <c r="G97" s="354"/>
      <c r="H97" s="354"/>
      <c r="I97" s="354"/>
      <c r="J97" s="354"/>
      <c r="K97" s="354"/>
      <c r="L97" s="354"/>
      <c r="M97" s="354"/>
      <c r="N97" s="354"/>
      <c r="O97" s="354"/>
      <c r="P97" s="354"/>
      <c r="Q97" s="354"/>
      <c r="R97" s="354"/>
      <c r="S97" s="354"/>
      <c r="T97" s="354"/>
      <c r="U97" s="354"/>
      <c r="V97" s="354"/>
      <c r="W97" s="354"/>
      <c r="X97" s="354"/>
      <c r="Y97" s="354"/>
      <c r="Z97" s="354"/>
      <c r="AA97" s="354"/>
      <c r="AB97" s="354"/>
      <c r="AC97" s="354"/>
      <c r="AD97" s="354"/>
      <c r="AE97" s="354"/>
      <c r="AF97" s="354"/>
      <c r="AG97" s="354"/>
      <c r="AH97" s="354"/>
      <c r="AI97" s="354"/>
    </row>
    <row r="98" spans="2:35">
      <c r="B98" s="354"/>
      <c r="C98" s="354"/>
      <c r="D98" s="354"/>
      <c r="E98" s="354"/>
      <c r="F98" s="354"/>
      <c r="G98" s="354"/>
      <c r="H98" s="354"/>
      <c r="I98" s="354"/>
      <c r="J98" s="354"/>
      <c r="K98" s="354"/>
      <c r="L98" s="354"/>
      <c r="M98" s="354"/>
      <c r="N98" s="354"/>
      <c r="O98" s="354"/>
      <c r="P98" s="354"/>
      <c r="Q98" s="354"/>
      <c r="R98" s="354"/>
      <c r="S98" s="354"/>
      <c r="T98" s="354"/>
      <c r="U98" s="354"/>
      <c r="V98" s="354"/>
      <c r="W98" s="354"/>
      <c r="X98" s="354"/>
      <c r="Y98" s="354"/>
      <c r="Z98" s="354"/>
      <c r="AA98" s="354"/>
      <c r="AB98" s="354"/>
      <c r="AC98" s="354"/>
      <c r="AD98" s="354"/>
      <c r="AE98" s="354"/>
      <c r="AF98" s="354"/>
      <c r="AG98" s="354"/>
      <c r="AH98" s="354"/>
      <c r="AI98" s="354"/>
    </row>
    <row r="99" spans="2:35">
      <c r="B99" s="354"/>
      <c r="C99" s="354"/>
      <c r="D99" s="354"/>
      <c r="E99" s="354"/>
      <c r="F99" s="354"/>
      <c r="G99" s="354"/>
      <c r="H99" s="354"/>
      <c r="I99" s="354"/>
      <c r="J99" s="354"/>
      <c r="K99" s="354"/>
      <c r="L99" s="354"/>
      <c r="M99" s="354"/>
      <c r="N99" s="354"/>
      <c r="O99" s="354"/>
      <c r="P99" s="354"/>
      <c r="Q99" s="354"/>
      <c r="R99" s="354"/>
      <c r="S99" s="354"/>
      <c r="T99" s="354"/>
      <c r="U99" s="354"/>
      <c r="V99" s="354"/>
      <c r="W99" s="354"/>
      <c r="X99" s="354"/>
      <c r="Y99" s="354"/>
      <c r="Z99" s="354"/>
      <c r="AA99" s="354"/>
      <c r="AB99" s="354"/>
      <c r="AC99" s="354"/>
      <c r="AD99" s="354"/>
      <c r="AE99" s="354"/>
      <c r="AF99" s="354"/>
      <c r="AG99" s="354"/>
      <c r="AH99" s="354"/>
      <c r="AI99" s="354"/>
    </row>
    <row r="100" spans="2:35">
      <c r="B100" s="354"/>
      <c r="C100" s="354"/>
      <c r="D100" s="354"/>
      <c r="E100" s="354"/>
      <c r="F100" s="354"/>
      <c r="G100" s="354"/>
      <c r="H100" s="354"/>
      <c r="I100" s="354"/>
      <c r="J100" s="354"/>
      <c r="K100" s="354"/>
      <c r="L100" s="354"/>
      <c r="M100" s="354"/>
      <c r="N100" s="354"/>
      <c r="O100" s="354"/>
      <c r="P100" s="354"/>
      <c r="Q100" s="354"/>
      <c r="R100" s="354"/>
      <c r="S100" s="354"/>
      <c r="T100" s="354"/>
      <c r="U100" s="354"/>
      <c r="V100" s="354"/>
      <c r="W100" s="354"/>
      <c r="X100" s="354"/>
      <c r="Y100" s="354"/>
      <c r="Z100" s="354"/>
      <c r="AA100" s="354"/>
      <c r="AB100" s="354"/>
      <c r="AC100" s="354"/>
      <c r="AD100" s="354"/>
      <c r="AE100" s="354"/>
      <c r="AF100" s="354"/>
      <c r="AG100" s="354"/>
      <c r="AH100" s="354"/>
      <c r="AI100" s="354"/>
    </row>
    <row r="101" spans="2:35">
      <c r="B101" s="354"/>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4"/>
      <c r="Z101" s="354"/>
      <c r="AA101" s="354"/>
      <c r="AB101" s="354"/>
      <c r="AC101" s="354"/>
      <c r="AD101" s="354"/>
      <c r="AE101" s="354"/>
      <c r="AF101" s="354"/>
      <c r="AG101" s="354"/>
      <c r="AH101" s="354"/>
      <c r="AI101" s="354"/>
    </row>
    <row r="102" spans="2:35">
      <c r="B102" s="354"/>
      <c r="C102" s="354"/>
      <c r="D102" s="354"/>
      <c r="E102" s="354"/>
      <c r="F102" s="354"/>
      <c r="G102" s="354"/>
      <c r="H102" s="354"/>
      <c r="I102" s="354"/>
      <c r="J102" s="354"/>
      <c r="K102" s="354"/>
      <c r="L102" s="354"/>
      <c r="M102" s="354"/>
      <c r="N102" s="354"/>
      <c r="O102" s="354"/>
      <c r="P102" s="354"/>
      <c r="Q102" s="354"/>
      <c r="R102" s="354"/>
      <c r="S102" s="354"/>
      <c r="T102" s="354"/>
      <c r="U102" s="354"/>
      <c r="V102" s="354"/>
      <c r="W102" s="354"/>
      <c r="X102" s="354"/>
      <c r="Y102" s="354"/>
      <c r="Z102" s="354"/>
      <c r="AA102" s="354"/>
      <c r="AB102" s="354"/>
      <c r="AC102" s="354"/>
      <c r="AD102" s="354"/>
      <c r="AE102" s="354"/>
      <c r="AF102" s="354"/>
      <c r="AG102" s="354"/>
      <c r="AH102" s="354"/>
      <c r="AI102" s="354"/>
    </row>
    <row r="103" spans="2:35">
      <c r="B103" s="354"/>
      <c r="C103" s="354"/>
      <c r="D103" s="354"/>
      <c r="E103" s="354"/>
      <c r="F103" s="354"/>
      <c r="G103" s="354"/>
      <c r="H103" s="354"/>
      <c r="I103" s="354"/>
      <c r="J103" s="354"/>
      <c r="K103" s="354"/>
      <c r="L103" s="354"/>
      <c r="M103" s="354"/>
      <c r="N103" s="354"/>
      <c r="O103" s="354"/>
      <c r="P103" s="354"/>
      <c r="Q103" s="354"/>
      <c r="R103" s="354"/>
      <c r="S103" s="354"/>
      <c r="T103" s="354"/>
      <c r="U103" s="354"/>
      <c r="V103" s="354"/>
      <c r="W103" s="354"/>
      <c r="X103" s="354"/>
      <c r="Y103" s="354"/>
      <c r="Z103" s="354"/>
      <c r="AA103" s="354"/>
      <c r="AB103" s="354"/>
      <c r="AC103" s="354"/>
      <c r="AD103" s="354"/>
      <c r="AE103" s="354"/>
      <c r="AF103" s="354"/>
      <c r="AG103" s="354"/>
      <c r="AH103" s="354"/>
      <c r="AI103" s="354"/>
    </row>
    <row r="104" spans="2:35">
      <c r="B104" s="354"/>
      <c r="C104" s="354"/>
      <c r="D104" s="354"/>
      <c r="E104" s="354"/>
      <c r="F104" s="354"/>
      <c r="G104" s="354"/>
      <c r="H104" s="354"/>
      <c r="I104" s="354"/>
      <c r="J104" s="354"/>
      <c r="K104" s="354"/>
      <c r="L104" s="354"/>
      <c r="M104" s="354"/>
      <c r="N104" s="354"/>
      <c r="O104" s="354"/>
      <c r="P104" s="354"/>
      <c r="Q104" s="354"/>
      <c r="R104" s="354"/>
      <c r="S104" s="354"/>
      <c r="T104" s="354"/>
      <c r="U104" s="354"/>
      <c r="V104" s="354"/>
      <c r="W104" s="354"/>
      <c r="X104" s="354"/>
      <c r="Y104" s="354"/>
      <c r="Z104" s="354"/>
      <c r="AA104" s="354"/>
      <c r="AB104" s="354"/>
      <c r="AC104" s="354"/>
      <c r="AD104" s="354"/>
      <c r="AE104" s="354"/>
      <c r="AF104" s="354"/>
      <c r="AG104" s="354"/>
      <c r="AH104" s="354"/>
      <c r="AI104" s="354"/>
    </row>
    <row r="105" spans="2:35">
      <c r="B105" s="354"/>
      <c r="C105" s="354"/>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c r="AA105" s="354"/>
      <c r="AB105" s="354"/>
      <c r="AC105" s="354"/>
      <c r="AD105" s="354"/>
      <c r="AE105" s="354"/>
      <c r="AF105" s="354"/>
      <c r="AG105" s="354"/>
      <c r="AH105" s="354"/>
      <c r="AI105" s="354"/>
    </row>
    <row r="106" spans="2:35">
      <c r="B106" s="354"/>
      <c r="C106" s="354"/>
      <c r="D106" s="354"/>
      <c r="E106" s="354"/>
      <c r="F106" s="354"/>
      <c r="G106" s="354"/>
      <c r="H106" s="354"/>
      <c r="I106" s="354"/>
      <c r="J106" s="354"/>
      <c r="K106" s="354"/>
      <c r="L106" s="354"/>
      <c r="M106" s="354"/>
      <c r="N106" s="354"/>
      <c r="O106" s="354"/>
      <c r="P106" s="354"/>
      <c r="Q106" s="354"/>
      <c r="R106" s="354"/>
      <c r="S106" s="354"/>
      <c r="T106" s="354"/>
      <c r="U106" s="354"/>
      <c r="V106" s="354"/>
      <c r="W106" s="354"/>
      <c r="X106" s="354"/>
      <c r="Y106" s="354"/>
      <c r="Z106" s="354"/>
      <c r="AA106" s="354"/>
      <c r="AB106" s="354"/>
      <c r="AC106" s="354"/>
      <c r="AD106" s="354"/>
      <c r="AE106" s="354"/>
      <c r="AF106" s="354"/>
      <c r="AG106" s="354"/>
      <c r="AH106" s="354"/>
      <c r="AI106" s="354"/>
    </row>
    <row r="107" spans="2:35">
      <c r="B107" s="354"/>
      <c r="C107" s="354"/>
      <c r="D107" s="354"/>
      <c r="E107" s="354"/>
      <c r="F107" s="354"/>
      <c r="G107" s="354"/>
      <c r="H107" s="354"/>
      <c r="I107" s="354"/>
      <c r="J107" s="354"/>
      <c r="K107" s="354"/>
      <c r="L107" s="354"/>
      <c r="M107" s="354"/>
      <c r="N107" s="354"/>
      <c r="O107" s="354"/>
      <c r="P107" s="354"/>
      <c r="Q107" s="354"/>
      <c r="R107" s="354"/>
      <c r="S107" s="354"/>
      <c r="T107" s="354"/>
      <c r="U107" s="354"/>
      <c r="V107" s="354"/>
      <c r="W107" s="354"/>
      <c r="X107" s="354"/>
      <c r="Y107" s="354"/>
      <c r="Z107" s="354"/>
      <c r="AA107" s="354"/>
      <c r="AB107" s="354"/>
      <c r="AC107" s="354"/>
      <c r="AD107" s="354"/>
      <c r="AE107" s="354"/>
      <c r="AF107" s="354"/>
      <c r="AG107" s="354"/>
      <c r="AH107" s="354"/>
      <c r="AI107" s="354"/>
    </row>
    <row r="108" spans="2:35">
      <c r="B108" s="354"/>
      <c r="C108" s="354"/>
      <c r="D108" s="354"/>
      <c r="E108" s="354"/>
      <c r="F108" s="354"/>
      <c r="G108" s="354"/>
      <c r="H108" s="354"/>
      <c r="I108" s="354"/>
      <c r="J108" s="354"/>
      <c r="K108" s="354"/>
      <c r="L108" s="354"/>
      <c r="M108" s="354"/>
      <c r="N108" s="354"/>
      <c r="O108" s="354"/>
      <c r="P108" s="354"/>
      <c r="Q108" s="354"/>
      <c r="R108" s="354"/>
      <c r="S108" s="354"/>
      <c r="T108" s="354"/>
      <c r="U108" s="354"/>
      <c r="V108" s="354"/>
      <c r="W108" s="354"/>
      <c r="X108" s="354"/>
      <c r="Y108" s="354"/>
      <c r="Z108" s="354"/>
      <c r="AA108" s="354"/>
      <c r="AB108" s="354"/>
      <c r="AC108" s="354"/>
      <c r="AD108" s="354"/>
      <c r="AE108" s="354"/>
      <c r="AF108" s="354"/>
      <c r="AG108" s="354"/>
      <c r="AH108" s="354"/>
      <c r="AI108" s="354"/>
    </row>
    <row r="109" spans="2:35">
      <c r="B109" s="354"/>
      <c r="C109" s="354"/>
      <c r="D109" s="354"/>
      <c r="E109" s="354"/>
      <c r="F109" s="354"/>
      <c r="G109" s="354"/>
      <c r="H109" s="354"/>
      <c r="I109" s="354"/>
      <c r="J109" s="354"/>
      <c r="K109" s="354"/>
      <c r="L109" s="354"/>
      <c r="M109" s="354"/>
      <c r="N109" s="354"/>
      <c r="O109" s="354"/>
      <c r="P109" s="354"/>
      <c r="Q109" s="354"/>
      <c r="R109" s="354"/>
      <c r="S109" s="354"/>
      <c r="T109" s="354"/>
      <c r="U109" s="354"/>
      <c r="V109" s="354"/>
      <c r="W109" s="354"/>
      <c r="X109" s="354"/>
      <c r="Y109" s="354"/>
      <c r="Z109" s="354"/>
      <c r="AA109" s="354"/>
      <c r="AB109" s="354"/>
      <c r="AC109" s="354"/>
      <c r="AD109" s="354"/>
      <c r="AE109" s="354"/>
      <c r="AF109" s="354"/>
      <c r="AG109" s="354"/>
      <c r="AH109" s="354"/>
      <c r="AI109" s="354"/>
    </row>
    <row r="110" spans="2:35">
      <c r="B110" s="354"/>
      <c r="C110" s="354"/>
      <c r="D110" s="354"/>
      <c r="E110" s="354"/>
      <c r="F110" s="354"/>
      <c r="G110" s="354"/>
      <c r="H110" s="354"/>
      <c r="I110" s="354"/>
      <c r="J110" s="354"/>
      <c r="K110" s="354"/>
      <c r="L110" s="354"/>
      <c r="M110" s="354"/>
      <c r="N110" s="354"/>
      <c r="O110" s="354"/>
      <c r="P110" s="354"/>
      <c r="Q110" s="354"/>
      <c r="R110" s="354"/>
      <c r="S110" s="354"/>
      <c r="T110" s="354"/>
      <c r="U110" s="354"/>
      <c r="V110" s="354"/>
      <c r="W110" s="354"/>
      <c r="X110" s="354"/>
      <c r="Y110" s="354"/>
      <c r="Z110" s="354"/>
      <c r="AA110" s="354"/>
      <c r="AB110" s="354"/>
      <c r="AC110" s="354"/>
      <c r="AD110" s="354"/>
      <c r="AE110" s="354"/>
      <c r="AF110" s="354"/>
      <c r="AG110" s="354"/>
      <c r="AH110" s="354"/>
      <c r="AI110" s="354"/>
    </row>
    <row r="111" spans="2:35">
      <c r="B111" s="354"/>
      <c r="C111" s="354"/>
      <c r="D111" s="354"/>
      <c r="E111" s="354"/>
      <c r="F111" s="354"/>
      <c r="G111" s="354"/>
      <c r="H111" s="354"/>
      <c r="I111" s="354"/>
      <c r="J111" s="354"/>
      <c r="K111" s="354"/>
      <c r="L111" s="354"/>
      <c r="M111" s="354"/>
      <c r="N111" s="354"/>
      <c r="O111" s="354"/>
      <c r="P111" s="354"/>
      <c r="Q111" s="354"/>
      <c r="R111" s="354"/>
      <c r="S111" s="354"/>
      <c r="T111" s="354"/>
      <c r="U111" s="354"/>
      <c r="V111" s="354"/>
      <c r="W111" s="354"/>
      <c r="X111" s="354"/>
      <c r="Y111" s="354"/>
      <c r="Z111" s="354"/>
      <c r="AA111" s="354"/>
      <c r="AB111" s="354"/>
      <c r="AC111" s="354"/>
      <c r="AD111" s="354"/>
      <c r="AE111" s="354"/>
      <c r="AF111" s="354"/>
      <c r="AG111" s="354"/>
      <c r="AH111" s="354"/>
      <c r="AI111" s="354"/>
    </row>
    <row r="112" spans="2:35">
      <c r="B112" s="354"/>
      <c r="C112" s="354"/>
      <c r="D112" s="354"/>
      <c r="E112" s="354"/>
      <c r="F112" s="354"/>
      <c r="G112" s="354"/>
      <c r="H112" s="354"/>
      <c r="I112" s="354"/>
      <c r="J112" s="354"/>
      <c r="K112" s="354"/>
      <c r="L112" s="354"/>
      <c r="M112" s="354"/>
      <c r="N112" s="354"/>
      <c r="O112" s="354"/>
      <c r="P112" s="354"/>
      <c r="Q112" s="354"/>
      <c r="R112" s="354"/>
      <c r="S112" s="354"/>
      <c r="T112" s="354"/>
      <c r="U112" s="354"/>
      <c r="V112" s="354"/>
      <c r="W112" s="354"/>
      <c r="X112" s="354"/>
      <c r="Y112" s="354"/>
      <c r="Z112" s="354"/>
      <c r="AA112" s="354"/>
      <c r="AB112" s="354"/>
      <c r="AC112" s="354"/>
      <c r="AD112" s="354"/>
      <c r="AE112" s="354"/>
      <c r="AF112" s="354"/>
      <c r="AG112" s="354"/>
      <c r="AH112" s="354"/>
      <c r="AI112" s="354"/>
    </row>
    <row r="113" spans="2:35">
      <c r="B113" s="354"/>
      <c r="C113" s="354"/>
      <c r="D113" s="354"/>
      <c r="E113" s="354"/>
      <c r="F113" s="354"/>
      <c r="G113" s="354"/>
      <c r="H113" s="354"/>
      <c r="I113" s="354"/>
      <c r="J113" s="354"/>
      <c r="K113" s="354"/>
      <c r="L113" s="354"/>
      <c r="M113" s="354"/>
      <c r="N113" s="354"/>
      <c r="O113" s="354"/>
      <c r="P113" s="354"/>
      <c r="Q113" s="354"/>
      <c r="R113" s="354"/>
      <c r="S113" s="354"/>
      <c r="T113" s="354"/>
      <c r="U113" s="354"/>
      <c r="V113" s="354"/>
      <c r="W113" s="354"/>
      <c r="X113" s="354"/>
      <c r="Y113" s="354"/>
      <c r="Z113" s="354"/>
      <c r="AA113" s="354"/>
      <c r="AB113" s="354"/>
      <c r="AC113" s="354"/>
      <c r="AD113" s="354"/>
      <c r="AE113" s="354"/>
      <c r="AF113" s="354"/>
      <c r="AG113" s="354"/>
      <c r="AH113" s="354"/>
      <c r="AI113" s="354"/>
    </row>
    <row r="114" spans="2:35">
      <c r="B114" s="354"/>
      <c r="C114" s="354"/>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4"/>
      <c r="AA114" s="354"/>
      <c r="AB114" s="354"/>
      <c r="AC114" s="354"/>
      <c r="AD114" s="354"/>
      <c r="AE114" s="354"/>
      <c r="AF114" s="354"/>
      <c r="AG114" s="354"/>
      <c r="AH114" s="354"/>
      <c r="AI114" s="354"/>
    </row>
    <row r="115" spans="2:35">
      <c r="B115" s="354"/>
      <c r="C115" s="354"/>
      <c r="D115" s="354"/>
      <c r="E115" s="354"/>
      <c r="F115" s="354"/>
      <c r="G115" s="354"/>
      <c r="H115" s="354"/>
      <c r="I115" s="354"/>
      <c r="J115" s="354"/>
      <c r="K115" s="354"/>
      <c r="L115" s="354"/>
      <c r="M115" s="354"/>
      <c r="N115" s="354"/>
      <c r="O115" s="354"/>
      <c r="P115" s="354"/>
      <c r="Q115" s="354"/>
      <c r="R115" s="354"/>
      <c r="S115" s="354"/>
      <c r="T115" s="354"/>
      <c r="U115" s="354"/>
      <c r="V115" s="354"/>
      <c r="W115" s="354"/>
      <c r="X115" s="354"/>
      <c r="Y115" s="354"/>
      <c r="Z115" s="354"/>
      <c r="AA115" s="354"/>
      <c r="AB115" s="354"/>
      <c r="AC115" s="354"/>
      <c r="AD115" s="354"/>
      <c r="AE115" s="354"/>
      <c r="AF115" s="354"/>
      <c r="AG115" s="354"/>
      <c r="AH115" s="354"/>
      <c r="AI115" s="354"/>
    </row>
    <row r="116" spans="2:35">
      <c r="B116" s="354"/>
      <c r="C116" s="354"/>
      <c r="D116" s="354"/>
      <c r="E116" s="354"/>
      <c r="F116" s="354"/>
      <c r="G116" s="354"/>
      <c r="H116" s="354"/>
      <c r="I116" s="354"/>
      <c r="J116" s="354"/>
      <c r="K116" s="354"/>
      <c r="L116" s="354"/>
      <c r="M116" s="354"/>
      <c r="N116" s="354"/>
      <c r="O116" s="354"/>
      <c r="P116" s="354"/>
      <c r="Q116" s="354"/>
      <c r="R116" s="354"/>
      <c r="S116" s="354"/>
      <c r="T116" s="354"/>
      <c r="U116" s="354"/>
      <c r="V116" s="354"/>
      <c r="W116" s="354"/>
      <c r="X116" s="354"/>
      <c r="Y116" s="354"/>
      <c r="Z116" s="354"/>
      <c r="AA116" s="354"/>
      <c r="AB116" s="354"/>
      <c r="AC116" s="354"/>
      <c r="AD116" s="354"/>
      <c r="AE116" s="354"/>
      <c r="AF116" s="354"/>
      <c r="AG116" s="354"/>
      <c r="AH116" s="354"/>
      <c r="AI116" s="354"/>
    </row>
    <row r="117" spans="2:35">
      <c r="B117" s="354"/>
      <c r="C117" s="354"/>
      <c r="D117" s="354"/>
      <c r="E117" s="354"/>
      <c r="F117" s="354"/>
      <c r="G117" s="354"/>
      <c r="H117" s="354"/>
      <c r="I117" s="354"/>
      <c r="J117" s="354"/>
      <c r="K117" s="354"/>
      <c r="L117" s="354"/>
      <c r="M117" s="354"/>
      <c r="N117" s="354"/>
      <c r="O117" s="354"/>
      <c r="P117" s="354"/>
      <c r="Q117" s="354"/>
      <c r="R117" s="354"/>
      <c r="S117" s="354"/>
      <c r="T117" s="354"/>
      <c r="U117" s="354"/>
      <c r="V117" s="354"/>
      <c r="W117" s="354"/>
      <c r="X117" s="354"/>
      <c r="Y117" s="354"/>
      <c r="Z117" s="354"/>
      <c r="AA117" s="354"/>
      <c r="AB117" s="354"/>
      <c r="AC117" s="354"/>
      <c r="AD117" s="354"/>
      <c r="AE117" s="354"/>
      <c r="AF117" s="354"/>
      <c r="AG117" s="354"/>
      <c r="AH117" s="354"/>
      <c r="AI117" s="354"/>
    </row>
    <row r="118" spans="2:35">
      <c r="B118" s="354"/>
      <c r="C118" s="354"/>
      <c r="D118" s="354"/>
      <c r="E118" s="354"/>
      <c r="F118" s="354"/>
      <c r="G118" s="354"/>
      <c r="H118" s="354"/>
      <c r="I118" s="354"/>
      <c r="J118" s="354"/>
      <c r="K118" s="354"/>
      <c r="L118" s="354"/>
      <c r="M118" s="354"/>
      <c r="N118" s="354"/>
      <c r="O118" s="354"/>
      <c r="P118" s="354"/>
      <c r="Q118" s="354"/>
      <c r="R118" s="354"/>
      <c r="S118" s="354"/>
      <c r="T118" s="354"/>
      <c r="U118" s="354"/>
      <c r="V118" s="354"/>
      <c r="W118" s="354"/>
      <c r="X118" s="354"/>
      <c r="Y118" s="354"/>
      <c r="Z118" s="354"/>
      <c r="AA118" s="354"/>
      <c r="AB118" s="354"/>
      <c r="AC118" s="354"/>
      <c r="AD118" s="354"/>
      <c r="AE118" s="354"/>
      <c r="AF118" s="354"/>
      <c r="AG118" s="354"/>
      <c r="AH118" s="354"/>
      <c r="AI118" s="354"/>
    </row>
    <row r="119" spans="2:35">
      <c r="B119" s="354"/>
      <c r="C119" s="354"/>
      <c r="D119" s="354"/>
      <c r="E119" s="354"/>
      <c r="F119" s="354"/>
      <c r="G119" s="354"/>
      <c r="H119" s="354"/>
      <c r="I119" s="354"/>
      <c r="J119" s="354"/>
      <c r="K119" s="354"/>
      <c r="L119" s="354"/>
      <c r="M119" s="354"/>
      <c r="N119" s="354"/>
      <c r="O119" s="354"/>
      <c r="P119" s="354"/>
      <c r="Q119" s="354"/>
      <c r="R119" s="354"/>
      <c r="S119" s="354"/>
      <c r="T119" s="354"/>
      <c r="U119" s="354"/>
      <c r="V119" s="354"/>
      <c r="W119" s="354"/>
      <c r="X119" s="354"/>
      <c r="Y119" s="354"/>
      <c r="Z119" s="354"/>
      <c r="AA119" s="354"/>
      <c r="AB119" s="354"/>
      <c r="AC119" s="354"/>
      <c r="AD119" s="354"/>
      <c r="AE119" s="354"/>
      <c r="AF119" s="354"/>
      <c r="AG119" s="354"/>
      <c r="AH119" s="354"/>
      <c r="AI119" s="354"/>
    </row>
    <row r="120" spans="2:35">
      <c r="B120" s="354"/>
      <c r="C120" s="354"/>
      <c r="D120" s="354"/>
      <c r="E120" s="354"/>
      <c r="F120" s="354"/>
      <c r="G120" s="354"/>
      <c r="H120" s="354"/>
      <c r="I120" s="354"/>
      <c r="J120" s="354"/>
      <c r="K120" s="354"/>
      <c r="L120" s="354"/>
      <c r="M120" s="354"/>
      <c r="N120" s="354"/>
      <c r="O120" s="354"/>
      <c r="P120" s="354"/>
      <c r="Q120" s="354"/>
      <c r="R120" s="354"/>
      <c r="S120" s="354"/>
      <c r="T120" s="354"/>
      <c r="U120" s="354"/>
      <c r="V120" s="354"/>
      <c r="W120" s="354"/>
      <c r="X120" s="354"/>
      <c r="Y120" s="354"/>
      <c r="Z120" s="354"/>
      <c r="AA120" s="354"/>
      <c r="AB120" s="354"/>
      <c r="AC120" s="354"/>
      <c r="AD120" s="354"/>
      <c r="AE120" s="354"/>
      <c r="AF120" s="354"/>
      <c r="AG120" s="354"/>
      <c r="AH120" s="354"/>
      <c r="AI120" s="354"/>
    </row>
    <row r="121" spans="2:35">
      <c r="B121" s="354"/>
      <c r="C121" s="354"/>
      <c r="D121" s="354"/>
      <c r="E121" s="354"/>
      <c r="F121" s="354"/>
      <c r="G121" s="354"/>
      <c r="H121" s="354"/>
      <c r="I121" s="354"/>
      <c r="J121" s="354"/>
      <c r="K121" s="354"/>
      <c r="L121" s="354"/>
      <c r="M121" s="354"/>
      <c r="N121" s="354"/>
      <c r="O121" s="354"/>
      <c r="P121" s="354"/>
      <c r="Q121" s="354"/>
      <c r="R121" s="354"/>
      <c r="S121" s="354"/>
      <c r="T121" s="354"/>
      <c r="U121" s="354"/>
      <c r="V121" s="354"/>
      <c r="W121" s="354"/>
      <c r="X121" s="354"/>
      <c r="Y121" s="354"/>
      <c r="Z121" s="354"/>
      <c r="AA121" s="354"/>
      <c r="AB121" s="354"/>
      <c r="AC121" s="354"/>
      <c r="AD121" s="354"/>
      <c r="AE121" s="354"/>
      <c r="AF121" s="354"/>
      <c r="AG121" s="354"/>
      <c r="AH121" s="354"/>
      <c r="AI121" s="354"/>
    </row>
    <row r="122" spans="2:35">
      <c r="B122" s="354"/>
      <c r="C122" s="354"/>
      <c r="D122" s="354"/>
      <c r="E122" s="354"/>
      <c r="F122" s="354"/>
      <c r="G122" s="354"/>
      <c r="H122" s="354"/>
      <c r="I122" s="354"/>
      <c r="J122" s="354"/>
      <c r="K122" s="354"/>
      <c r="L122" s="354"/>
      <c r="M122" s="354"/>
      <c r="N122" s="354"/>
      <c r="O122" s="354"/>
      <c r="P122" s="354"/>
      <c r="Q122" s="354"/>
      <c r="R122" s="354"/>
      <c r="S122" s="354"/>
      <c r="T122" s="354"/>
      <c r="U122" s="354"/>
      <c r="V122" s="354"/>
      <c r="W122" s="354"/>
      <c r="X122" s="354"/>
      <c r="Y122" s="354"/>
      <c r="Z122" s="354"/>
      <c r="AA122" s="354"/>
      <c r="AB122" s="354"/>
      <c r="AC122" s="354"/>
      <c r="AD122" s="354"/>
      <c r="AE122" s="354"/>
      <c r="AF122" s="354"/>
      <c r="AG122" s="354"/>
      <c r="AH122" s="354"/>
      <c r="AI122" s="354"/>
    </row>
    <row r="123" spans="2:35">
      <c r="B123" s="354"/>
      <c r="C123" s="354"/>
      <c r="D123" s="354"/>
      <c r="E123" s="354"/>
      <c r="F123" s="354"/>
      <c r="G123" s="354"/>
      <c r="H123" s="354"/>
      <c r="I123" s="354"/>
      <c r="J123" s="354"/>
      <c r="K123" s="354"/>
      <c r="L123" s="354"/>
      <c r="M123" s="354"/>
      <c r="N123" s="354"/>
      <c r="O123" s="354"/>
      <c r="P123" s="354"/>
      <c r="Q123" s="354"/>
      <c r="R123" s="354"/>
      <c r="S123" s="354"/>
      <c r="T123" s="354"/>
      <c r="U123" s="354"/>
      <c r="V123" s="354"/>
      <c r="W123" s="354"/>
      <c r="X123" s="354"/>
      <c r="Y123" s="354"/>
      <c r="Z123" s="354"/>
      <c r="AA123" s="354"/>
      <c r="AB123" s="354"/>
      <c r="AC123" s="354"/>
      <c r="AD123" s="354"/>
      <c r="AE123" s="354"/>
      <c r="AF123" s="354"/>
      <c r="AG123" s="354"/>
      <c r="AH123" s="354"/>
      <c r="AI123" s="354"/>
    </row>
    <row r="124" spans="2:35">
      <c r="B124" s="354"/>
      <c r="C124" s="354"/>
      <c r="D124" s="354"/>
      <c r="E124" s="354"/>
      <c r="F124" s="354"/>
      <c r="G124" s="354"/>
      <c r="H124" s="354"/>
      <c r="I124" s="354"/>
      <c r="J124" s="354"/>
      <c r="K124" s="354"/>
      <c r="L124" s="354"/>
      <c r="M124" s="354"/>
      <c r="N124" s="354"/>
      <c r="O124" s="354"/>
      <c r="P124" s="354"/>
      <c r="Q124" s="354"/>
      <c r="R124" s="354"/>
      <c r="S124" s="354"/>
      <c r="T124" s="354"/>
      <c r="U124" s="354"/>
      <c r="V124" s="354"/>
      <c r="W124" s="354"/>
      <c r="X124" s="354"/>
      <c r="Y124" s="354"/>
      <c r="Z124" s="354"/>
      <c r="AA124" s="354"/>
      <c r="AB124" s="354"/>
      <c r="AC124" s="354"/>
      <c r="AD124" s="354"/>
      <c r="AE124" s="354"/>
      <c r="AF124" s="354"/>
      <c r="AG124" s="354"/>
      <c r="AH124" s="354"/>
      <c r="AI124" s="354"/>
    </row>
    <row r="125" spans="2:35">
      <c r="B125" s="354"/>
      <c r="C125" s="354"/>
      <c r="D125" s="354"/>
      <c r="E125" s="354"/>
      <c r="F125" s="354"/>
      <c r="G125" s="354"/>
      <c r="H125" s="354"/>
      <c r="I125" s="354"/>
      <c r="J125" s="354"/>
      <c r="K125" s="354"/>
      <c r="L125" s="354"/>
      <c r="M125" s="354"/>
      <c r="N125" s="354"/>
      <c r="O125" s="354"/>
      <c r="P125" s="354"/>
      <c r="Q125" s="354"/>
      <c r="R125" s="354"/>
      <c r="S125" s="354"/>
      <c r="T125" s="354"/>
      <c r="U125" s="354"/>
      <c r="V125" s="354"/>
      <c r="W125" s="354"/>
      <c r="X125" s="354"/>
      <c r="Y125" s="354"/>
      <c r="Z125" s="354"/>
      <c r="AA125" s="354"/>
      <c r="AB125" s="354"/>
      <c r="AC125" s="354"/>
      <c r="AD125" s="354"/>
      <c r="AE125" s="354"/>
      <c r="AF125" s="354"/>
      <c r="AG125" s="354"/>
      <c r="AH125" s="354"/>
      <c r="AI125" s="354"/>
    </row>
    <row r="126" spans="2:35">
      <c r="B126" s="354"/>
      <c r="C126" s="354"/>
      <c r="D126" s="354"/>
      <c r="E126" s="354"/>
      <c r="F126" s="354"/>
      <c r="G126" s="354"/>
      <c r="H126" s="354"/>
      <c r="I126" s="354"/>
      <c r="J126" s="354"/>
      <c r="K126" s="354"/>
      <c r="L126" s="354"/>
      <c r="M126" s="354"/>
      <c r="N126" s="354"/>
      <c r="O126" s="354"/>
      <c r="P126" s="354"/>
      <c r="Q126" s="354"/>
      <c r="R126" s="354"/>
      <c r="S126" s="354"/>
      <c r="T126" s="354"/>
      <c r="U126" s="354"/>
      <c r="V126" s="354"/>
      <c r="W126" s="354"/>
      <c r="X126" s="354"/>
      <c r="Y126" s="354"/>
      <c r="Z126" s="354"/>
      <c r="AA126" s="354"/>
      <c r="AB126" s="354"/>
      <c r="AC126" s="354"/>
      <c r="AD126" s="354"/>
      <c r="AE126" s="354"/>
      <c r="AF126" s="354"/>
      <c r="AG126" s="354"/>
      <c r="AH126" s="354"/>
      <c r="AI126" s="354"/>
    </row>
    <row r="127" spans="2:35">
      <c r="B127" s="354"/>
      <c r="C127" s="354"/>
      <c r="D127" s="354"/>
      <c r="E127" s="354"/>
      <c r="F127" s="354"/>
      <c r="G127" s="354"/>
      <c r="H127" s="354"/>
      <c r="I127" s="354"/>
      <c r="J127" s="354"/>
      <c r="K127" s="354"/>
      <c r="L127" s="354"/>
      <c r="M127" s="354"/>
      <c r="N127" s="354"/>
      <c r="O127" s="354"/>
      <c r="P127" s="354"/>
      <c r="Q127" s="354"/>
      <c r="R127" s="354"/>
      <c r="S127" s="354"/>
      <c r="T127" s="354"/>
      <c r="U127" s="354"/>
      <c r="V127" s="354"/>
      <c r="W127" s="354"/>
      <c r="X127" s="354"/>
      <c r="Y127" s="354"/>
      <c r="Z127" s="354"/>
      <c r="AA127" s="354"/>
      <c r="AB127" s="354"/>
      <c r="AC127" s="354"/>
      <c r="AD127" s="354"/>
      <c r="AE127" s="354"/>
      <c r="AF127" s="354"/>
      <c r="AG127" s="354"/>
      <c r="AH127" s="354"/>
      <c r="AI127" s="354"/>
    </row>
    <row r="128" spans="2:35">
      <c r="B128" s="354"/>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4"/>
      <c r="Z128" s="354"/>
      <c r="AA128" s="354"/>
      <c r="AB128" s="354"/>
      <c r="AC128" s="354"/>
      <c r="AD128" s="354"/>
      <c r="AE128" s="354"/>
      <c r="AF128" s="354"/>
      <c r="AG128" s="354"/>
      <c r="AH128" s="354"/>
      <c r="AI128" s="354"/>
    </row>
    <row r="129" spans="2:35">
      <c r="B129" s="354"/>
      <c r="C129" s="354"/>
      <c r="D129" s="354"/>
      <c r="E129" s="354"/>
      <c r="F129" s="354"/>
      <c r="G129" s="354"/>
      <c r="H129" s="354"/>
      <c r="I129" s="354"/>
      <c r="J129" s="354"/>
      <c r="K129" s="354"/>
      <c r="L129" s="354"/>
      <c r="M129" s="354"/>
      <c r="N129" s="354"/>
      <c r="O129" s="354"/>
      <c r="P129" s="354"/>
      <c r="Q129" s="354"/>
      <c r="R129" s="354"/>
      <c r="S129" s="354"/>
      <c r="T129" s="354"/>
      <c r="U129" s="354"/>
      <c r="V129" s="354"/>
      <c r="W129" s="354"/>
      <c r="X129" s="354"/>
      <c r="Y129" s="354"/>
      <c r="Z129" s="354"/>
      <c r="AA129" s="354"/>
      <c r="AB129" s="354"/>
      <c r="AC129" s="354"/>
      <c r="AD129" s="354"/>
      <c r="AE129" s="354"/>
      <c r="AF129" s="354"/>
      <c r="AG129" s="354"/>
      <c r="AH129" s="354"/>
      <c r="AI129" s="354"/>
    </row>
    <row r="130" spans="2:35">
      <c r="B130" s="354"/>
      <c r="C130" s="354"/>
      <c r="D130" s="354"/>
      <c r="E130" s="354"/>
      <c r="F130" s="354"/>
      <c r="G130" s="354"/>
      <c r="H130" s="354"/>
      <c r="I130" s="354"/>
      <c r="J130" s="354"/>
      <c r="K130" s="354"/>
      <c r="L130" s="354"/>
      <c r="M130" s="354"/>
      <c r="N130" s="354"/>
      <c r="O130" s="354"/>
      <c r="P130" s="354"/>
      <c r="Q130" s="354"/>
      <c r="R130" s="354"/>
      <c r="S130" s="354"/>
      <c r="T130" s="354"/>
      <c r="U130" s="354"/>
      <c r="V130" s="354"/>
      <c r="W130" s="354"/>
      <c r="X130" s="354"/>
      <c r="Y130" s="354"/>
      <c r="Z130" s="354"/>
      <c r="AA130" s="354"/>
      <c r="AB130" s="354"/>
      <c r="AC130" s="354"/>
      <c r="AD130" s="354"/>
      <c r="AE130" s="354"/>
      <c r="AF130" s="354"/>
      <c r="AG130" s="354"/>
      <c r="AH130" s="354"/>
      <c r="AI130" s="354"/>
    </row>
    <row r="131" spans="2:35">
      <c r="B131" s="354"/>
      <c r="C131" s="354"/>
      <c r="D131" s="354"/>
      <c r="E131" s="354"/>
      <c r="F131" s="354"/>
      <c r="G131" s="354"/>
      <c r="H131" s="354"/>
      <c r="I131" s="354"/>
      <c r="J131" s="354"/>
      <c r="K131" s="354"/>
      <c r="L131" s="354"/>
      <c r="M131" s="354"/>
      <c r="N131" s="354"/>
      <c r="O131" s="354"/>
      <c r="P131" s="354"/>
      <c r="Q131" s="354"/>
      <c r="R131" s="354"/>
      <c r="S131" s="354"/>
      <c r="T131" s="354"/>
      <c r="U131" s="354"/>
      <c r="V131" s="354"/>
      <c r="W131" s="354"/>
      <c r="X131" s="354"/>
      <c r="Y131" s="354"/>
      <c r="Z131" s="354"/>
      <c r="AA131" s="354"/>
      <c r="AB131" s="354"/>
      <c r="AC131" s="354"/>
      <c r="AD131" s="354"/>
      <c r="AE131" s="354"/>
      <c r="AF131" s="354"/>
      <c r="AG131" s="354"/>
      <c r="AH131" s="354"/>
      <c r="AI131" s="354"/>
    </row>
    <row r="132" spans="2:35">
      <c r="B132" s="354"/>
      <c r="C132" s="354"/>
      <c r="D132" s="354"/>
      <c r="E132" s="354"/>
      <c r="F132" s="354"/>
      <c r="G132" s="354"/>
      <c r="H132" s="354"/>
      <c r="I132" s="354"/>
      <c r="J132" s="354"/>
      <c r="K132" s="354"/>
      <c r="L132" s="354"/>
      <c r="M132" s="354"/>
      <c r="N132" s="354"/>
      <c r="O132" s="354"/>
      <c r="P132" s="354"/>
      <c r="Q132" s="354"/>
      <c r="R132" s="354"/>
      <c r="S132" s="354"/>
      <c r="T132" s="354"/>
      <c r="U132" s="354"/>
      <c r="V132" s="354"/>
      <c r="W132" s="354"/>
      <c r="X132" s="354"/>
      <c r="Y132" s="354"/>
      <c r="Z132" s="354"/>
      <c r="AA132" s="354"/>
      <c r="AB132" s="354"/>
      <c r="AC132" s="354"/>
      <c r="AD132" s="354"/>
      <c r="AE132" s="354"/>
      <c r="AF132" s="354"/>
      <c r="AG132" s="354"/>
      <c r="AH132" s="354"/>
      <c r="AI132" s="354"/>
    </row>
    <row r="133" spans="2:35">
      <c r="B133" s="354"/>
      <c r="C133" s="354"/>
      <c r="D133" s="354"/>
      <c r="E133" s="354"/>
      <c r="F133" s="354"/>
      <c r="G133" s="354"/>
      <c r="H133" s="354"/>
      <c r="I133" s="354"/>
      <c r="J133" s="354"/>
      <c r="K133" s="354"/>
      <c r="L133" s="354"/>
      <c r="M133" s="354"/>
      <c r="N133" s="354"/>
      <c r="O133" s="354"/>
      <c r="P133" s="354"/>
      <c r="Q133" s="354"/>
      <c r="R133" s="354"/>
      <c r="S133" s="354"/>
      <c r="T133" s="354"/>
      <c r="U133" s="354"/>
      <c r="V133" s="354"/>
      <c r="W133" s="354"/>
      <c r="X133" s="354"/>
      <c r="Y133" s="354"/>
      <c r="Z133" s="354"/>
      <c r="AA133" s="354"/>
      <c r="AB133" s="354"/>
      <c r="AC133" s="354"/>
      <c r="AD133" s="354"/>
      <c r="AE133" s="354"/>
      <c r="AF133" s="354"/>
      <c r="AG133" s="354"/>
      <c r="AH133" s="354"/>
      <c r="AI133" s="354"/>
    </row>
    <row r="134" spans="2:35">
      <c r="B134" s="354"/>
      <c r="C134" s="354"/>
      <c r="D134" s="354"/>
      <c r="E134" s="354"/>
      <c r="F134" s="354"/>
      <c r="G134" s="354"/>
      <c r="H134" s="354"/>
      <c r="I134" s="354"/>
      <c r="J134" s="354"/>
      <c r="K134" s="354"/>
      <c r="L134" s="354"/>
      <c r="M134" s="354"/>
      <c r="N134" s="354"/>
      <c r="O134" s="354"/>
      <c r="P134" s="354"/>
      <c r="Q134" s="354"/>
      <c r="R134" s="354"/>
      <c r="S134" s="354"/>
      <c r="T134" s="354"/>
      <c r="U134" s="354"/>
      <c r="V134" s="354"/>
      <c r="W134" s="354"/>
      <c r="X134" s="354"/>
      <c r="Y134" s="354"/>
      <c r="Z134" s="354"/>
      <c r="AA134" s="354"/>
      <c r="AB134" s="354"/>
      <c r="AC134" s="354"/>
      <c r="AD134" s="354"/>
      <c r="AE134" s="354"/>
      <c r="AF134" s="354"/>
      <c r="AG134" s="354"/>
      <c r="AH134" s="354"/>
      <c r="AI134" s="354"/>
    </row>
    <row r="135" spans="2:35">
      <c r="B135" s="354"/>
      <c r="C135" s="354"/>
      <c r="D135" s="354"/>
      <c r="E135" s="354"/>
      <c r="F135" s="354"/>
      <c r="G135" s="354"/>
      <c r="H135" s="354"/>
      <c r="I135" s="354"/>
      <c r="J135" s="354"/>
      <c r="K135" s="354"/>
      <c r="L135" s="354"/>
      <c r="M135" s="354"/>
      <c r="N135" s="354"/>
      <c r="O135" s="354"/>
      <c r="P135" s="354"/>
      <c r="Q135" s="354"/>
      <c r="R135" s="354"/>
      <c r="S135" s="354"/>
      <c r="T135" s="354"/>
      <c r="U135" s="354"/>
      <c r="V135" s="354"/>
      <c r="W135" s="354"/>
      <c r="X135" s="354"/>
      <c r="Y135" s="354"/>
      <c r="Z135" s="354"/>
      <c r="AA135" s="354"/>
      <c r="AB135" s="354"/>
      <c r="AC135" s="354"/>
      <c r="AD135" s="354"/>
      <c r="AE135" s="354"/>
      <c r="AF135" s="354"/>
      <c r="AG135" s="354"/>
      <c r="AH135" s="354"/>
      <c r="AI135" s="354"/>
    </row>
    <row r="136" spans="2:35">
      <c r="B136" s="354"/>
      <c r="C136" s="354"/>
      <c r="D136" s="354"/>
      <c r="E136" s="354"/>
      <c r="F136" s="354"/>
      <c r="G136" s="354"/>
      <c r="H136" s="354"/>
      <c r="I136" s="354"/>
      <c r="J136" s="354"/>
      <c r="K136" s="354"/>
      <c r="L136" s="354"/>
      <c r="M136" s="354"/>
      <c r="N136" s="354"/>
      <c r="O136" s="354"/>
      <c r="P136" s="354"/>
      <c r="Q136" s="354"/>
      <c r="R136" s="354"/>
      <c r="S136" s="354"/>
      <c r="T136" s="354"/>
      <c r="U136" s="354"/>
      <c r="V136" s="354"/>
      <c r="W136" s="354"/>
      <c r="X136" s="354"/>
      <c r="Y136" s="354"/>
      <c r="Z136" s="354"/>
      <c r="AA136" s="354"/>
      <c r="AB136" s="354"/>
      <c r="AC136" s="354"/>
      <c r="AD136" s="354"/>
      <c r="AE136" s="354"/>
      <c r="AF136" s="354"/>
      <c r="AG136" s="354"/>
      <c r="AH136" s="354"/>
      <c r="AI136" s="354"/>
    </row>
    <row r="137" spans="2:35">
      <c r="B137" s="354"/>
      <c r="C137" s="354"/>
      <c r="D137" s="354"/>
      <c r="E137" s="354"/>
      <c r="F137" s="354"/>
      <c r="G137" s="354"/>
      <c r="H137" s="354"/>
      <c r="I137" s="354"/>
      <c r="J137" s="354"/>
      <c r="K137" s="354"/>
      <c r="L137" s="354"/>
      <c r="M137" s="354"/>
      <c r="N137" s="354"/>
      <c r="O137" s="354"/>
      <c r="P137" s="354"/>
      <c r="Q137" s="354"/>
      <c r="R137" s="354"/>
      <c r="S137" s="354"/>
      <c r="T137" s="354"/>
      <c r="U137" s="354"/>
      <c r="V137" s="354"/>
      <c r="W137" s="354"/>
      <c r="X137" s="354"/>
      <c r="Y137" s="354"/>
      <c r="Z137" s="354"/>
      <c r="AA137" s="354"/>
      <c r="AB137" s="354"/>
      <c r="AC137" s="354"/>
      <c r="AD137" s="354"/>
      <c r="AE137" s="354"/>
      <c r="AF137" s="354"/>
      <c r="AG137" s="354"/>
      <c r="AH137" s="354"/>
      <c r="AI137" s="354"/>
    </row>
    <row r="138" spans="2:35">
      <c r="B138" s="354"/>
      <c r="C138" s="354"/>
      <c r="D138" s="354"/>
      <c r="E138" s="354"/>
      <c r="F138" s="354"/>
      <c r="G138" s="354"/>
      <c r="H138" s="354"/>
      <c r="I138" s="354"/>
      <c r="J138" s="354"/>
      <c r="K138" s="354"/>
      <c r="L138" s="354"/>
      <c r="M138" s="354"/>
      <c r="N138" s="354"/>
      <c r="O138" s="354"/>
      <c r="P138" s="354"/>
      <c r="Q138" s="354"/>
      <c r="R138" s="354"/>
      <c r="S138" s="354"/>
      <c r="T138" s="354"/>
      <c r="U138" s="354"/>
      <c r="V138" s="354"/>
      <c r="W138" s="354"/>
      <c r="X138" s="354"/>
      <c r="Y138" s="354"/>
      <c r="Z138" s="354"/>
      <c r="AA138" s="354"/>
      <c r="AB138" s="354"/>
      <c r="AC138" s="354"/>
      <c r="AD138" s="354"/>
      <c r="AE138" s="354"/>
      <c r="AF138" s="354"/>
      <c r="AG138" s="354"/>
      <c r="AH138" s="354"/>
      <c r="AI138" s="354"/>
    </row>
    <row r="139" spans="2:35">
      <c r="B139" s="354"/>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row>
    <row r="140" spans="2:35">
      <c r="B140" s="354"/>
      <c r="C140" s="354"/>
      <c r="D140" s="354"/>
      <c r="E140" s="354"/>
      <c r="F140" s="354"/>
      <c r="G140" s="354"/>
      <c r="H140" s="354"/>
      <c r="I140" s="354"/>
      <c r="J140" s="354"/>
      <c r="K140" s="354"/>
      <c r="L140" s="354"/>
      <c r="M140" s="354"/>
      <c r="N140" s="354"/>
      <c r="O140" s="354"/>
      <c r="P140" s="354"/>
      <c r="Q140" s="354"/>
      <c r="R140" s="354"/>
      <c r="S140" s="354"/>
      <c r="T140" s="354"/>
      <c r="U140" s="354"/>
      <c r="V140" s="354"/>
      <c r="W140" s="354"/>
      <c r="X140" s="354"/>
      <c r="Y140" s="354"/>
      <c r="Z140" s="354"/>
      <c r="AA140" s="354"/>
      <c r="AB140" s="354"/>
      <c r="AC140" s="354"/>
      <c r="AD140" s="354"/>
      <c r="AE140" s="354"/>
      <c r="AF140" s="354"/>
      <c r="AG140" s="354"/>
      <c r="AH140" s="354"/>
      <c r="AI140" s="354"/>
    </row>
    <row r="141" spans="2:35">
      <c r="B141" s="354"/>
      <c r="C141" s="354"/>
      <c r="D141" s="354"/>
      <c r="E141" s="354"/>
      <c r="F141" s="354"/>
      <c r="G141" s="354"/>
      <c r="H141" s="354"/>
      <c r="I141" s="354"/>
      <c r="J141" s="354"/>
      <c r="K141" s="354"/>
      <c r="L141" s="354"/>
      <c r="M141" s="354"/>
      <c r="N141" s="354"/>
      <c r="O141" s="354"/>
      <c r="P141" s="354"/>
      <c r="Q141" s="354"/>
      <c r="R141" s="354"/>
      <c r="S141" s="354"/>
      <c r="T141" s="354"/>
      <c r="U141" s="354"/>
      <c r="V141" s="354"/>
      <c r="W141" s="354"/>
      <c r="X141" s="354"/>
      <c r="Y141" s="354"/>
      <c r="Z141" s="354"/>
      <c r="AA141" s="354"/>
      <c r="AB141" s="354"/>
      <c r="AC141" s="354"/>
      <c r="AD141" s="354"/>
      <c r="AE141" s="354"/>
      <c r="AF141" s="354"/>
      <c r="AG141" s="354"/>
      <c r="AH141" s="354"/>
      <c r="AI141" s="354"/>
    </row>
    <row r="142" spans="2:35">
      <c r="B142" s="354"/>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Y142" s="354"/>
      <c r="Z142" s="354"/>
      <c r="AA142" s="354"/>
      <c r="AB142" s="354"/>
      <c r="AC142" s="354"/>
      <c r="AD142" s="354"/>
      <c r="AE142" s="354"/>
      <c r="AF142" s="354"/>
      <c r="AG142" s="354"/>
      <c r="AH142" s="354"/>
      <c r="AI142" s="354"/>
    </row>
    <row r="143" spans="2:35">
      <c r="B143" s="354"/>
      <c r="C143" s="354"/>
      <c r="D143" s="354"/>
      <c r="E143" s="354"/>
      <c r="F143" s="354"/>
      <c r="G143" s="354"/>
      <c r="H143" s="354"/>
      <c r="I143" s="354"/>
      <c r="J143" s="354"/>
      <c r="K143" s="354"/>
      <c r="L143" s="354"/>
      <c r="M143" s="354"/>
      <c r="N143" s="354"/>
      <c r="O143" s="354"/>
      <c r="P143" s="354"/>
      <c r="Q143" s="354"/>
      <c r="R143" s="354"/>
      <c r="S143" s="354"/>
      <c r="T143" s="354"/>
      <c r="U143" s="354"/>
      <c r="V143" s="354"/>
      <c r="W143" s="354"/>
      <c r="X143" s="354"/>
      <c r="Y143" s="354"/>
      <c r="Z143" s="354"/>
      <c r="AA143" s="354"/>
      <c r="AB143" s="354"/>
      <c r="AC143" s="354"/>
      <c r="AD143" s="354"/>
      <c r="AE143" s="354"/>
      <c r="AF143" s="354"/>
      <c r="AG143" s="354"/>
      <c r="AH143" s="354"/>
      <c r="AI143" s="354"/>
    </row>
    <row r="144" spans="2:35">
      <c r="B144" s="354"/>
      <c r="C144" s="354"/>
      <c r="D144" s="354"/>
      <c r="E144" s="354"/>
      <c r="F144" s="354"/>
      <c r="G144" s="354"/>
      <c r="H144" s="354"/>
      <c r="I144" s="354"/>
      <c r="J144" s="354"/>
      <c r="K144" s="354"/>
      <c r="L144" s="354"/>
      <c r="M144" s="354"/>
      <c r="N144" s="354"/>
      <c r="O144" s="354"/>
      <c r="P144" s="354"/>
      <c r="Q144" s="354"/>
      <c r="R144" s="354"/>
      <c r="S144" s="354"/>
      <c r="T144" s="354"/>
      <c r="U144" s="354"/>
      <c r="V144" s="354"/>
      <c r="W144" s="354"/>
      <c r="X144" s="354"/>
      <c r="Y144" s="354"/>
      <c r="Z144" s="354"/>
      <c r="AA144" s="354"/>
      <c r="AB144" s="354"/>
      <c r="AC144" s="354"/>
      <c r="AD144" s="354"/>
      <c r="AE144" s="354"/>
      <c r="AF144" s="354"/>
      <c r="AG144" s="354"/>
      <c r="AH144" s="354"/>
      <c r="AI144" s="354"/>
    </row>
    <row r="145" spans="2:35">
      <c r="B145" s="354"/>
      <c r="C145" s="354"/>
      <c r="D145" s="354"/>
      <c r="E145" s="354"/>
      <c r="F145" s="354"/>
      <c r="G145" s="354"/>
      <c r="H145" s="354"/>
      <c r="I145" s="354"/>
      <c r="J145" s="354"/>
      <c r="K145" s="354"/>
      <c r="L145" s="354"/>
      <c r="M145" s="354"/>
      <c r="N145" s="354"/>
      <c r="O145" s="354"/>
      <c r="P145" s="354"/>
      <c r="Q145" s="354"/>
      <c r="R145" s="354"/>
      <c r="S145" s="354"/>
      <c r="T145" s="354"/>
      <c r="U145" s="354"/>
      <c r="V145" s="354"/>
      <c r="W145" s="354"/>
      <c r="X145" s="354"/>
      <c r="Y145" s="354"/>
      <c r="Z145" s="354"/>
      <c r="AA145" s="354"/>
      <c r="AB145" s="354"/>
      <c r="AC145" s="354"/>
      <c r="AD145" s="354"/>
      <c r="AE145" s="354"/>
      <c r="AF145" s="354"/>
      <c r="AG145" s="354"/>
      <c r="AH145" s="354"/>
      <c r="AI145" s="354"/>
    </row>
    <row r="146" spans="2:35">
      <c r="B146" s="354"/>
      <c r="C146" s="354"/>
      <c r="D146" s="354"/>
      <c r="E146" s="354"/>
      <c r="F146" s="354"/>
      <c r="G146" s="354"/>
      <c r="H146" s="354"/>
      <c r="I146" s="354"/>
      <c r="J146" s="354"/>
      <c r="K146" s="354"/>
      <c r="L146" s="354"/>
      <c r="M146" s="354"/>
      <c r="N146" s="354"/>
      <c r="O146" s="354"/>
      <c r="P146" s="354"/>
      <c r="Q146" s="354"/>
      <c r="R146" s="354"/>
      <c r="S146" s="354"/>
      <c r="T146" s="354"/>
      <c r="U146" s="354"/>
      <c r="V146" s="354"/>
      <c r="W146" s="354"/>
      <c r="X146" s="354"/>
      <c r="Y146" s="354"/>
      <c r="Z146" s="354"/>
      <c r="AA146" s="354"/>
      <c r="AB146" s="354"/>
      <c r="AC146" s="354"/>
      <c r="AD146" s="354"/>
      <c r="AE146" s="354"/>
      <c r="AF146" s="354"/>
      <c r="AG146" s="354"/>
      <c r="AH146" s="354"/>
      <c r="AI146" s="354"/>
    </row>
    <row r="147" spans="2:35">
      <c r="B147" s="354"/>
      <c r="C147" s="354"/>
      <c r="D147" s="354"/>
      <c r="E147" s="354"/>
      <c r="F147" s="354"/>
      <c r="G147" s="354"/>
      <c r="H147" s="354"/>
      <c r="I147" s="354"/>
      <c r="J147" s="354"/>
      <c r="K147" s="354"/>
      <c r="L147" s="354"/>
      <c r="M147" s="354"/>
      <c r="N147" s="354"/>
      <c r="O147" s="354"/>
      <c r="P147" s="354"/>
      <c r="Q147" s="354"/>
      <c r="R147" s="354"/>
      <c r="S147" s="354"/>
      <c r="T147" s="354"/>
      <c r="U147" s="354"/>
      <c r="V147" s="354"/>
      <c r="W147" s="354"/>
      <c r="X147" s="354"/>
      <c r="Y147" s="354"/>
      <c r="Z147" s="354"/>
      <c r="AA147" s="354"/>
      <c r="AB147" s="354"/>
      <c r="AC147" s="354"/>
      <c r="AD147" s="354"/>
      <c r="AE147" s="354"/>
      <c r="AF147" s="354"/>
      <c r="AG147" s="354"/>
      <c r="AH147" s="354"/>
      <c r="AI147" s="354"/>
    </row>
    <row r="148" spans="2:35">
      <c r="B148" s="354"/>
      <c r="C148" s="354"/>
      <c r="D148" s="354"/>
      <c r="E148" s="354"/>
      <c r="F148" s="354"/>
      <c r="G148" s="354"/>
      <c r="H148" s="354"/>
      <c r="I148" s="354"/>
      <c r="J148" s="354"/>
      <c r="K148" s="354"/>
      <c r="L148" s="354"/>
      <c r="M148" s="354"/>
      <c r="N148" s="354"/>
      <c r="O148" s="354"/>
      <c r="P148" s="354"/>
      <c r="Q148" s="354"/>
      <c r="R148" s="354"/>
      <c r="S148" s="354"/>
      <c r="T148" s="354"/>
      <c r="U148" s="354"/>
      <c r="V148" s="354"/>
      <c r="W148" s="354"/>
      <c r="X148" s="354"/>
      <c r="Y148" s="354"/>
      <c r="Z148" s="354"/>
      <c r="AA148" s="354"/>
      <c r="AB148" s="354"/>
      <c r="AC148" s="354"/>
      <c r="AD148" s="354"/>
      <c r="AE148" s="354"/>
      <c r="AF148" s="354"/>
      <c r="AG148" s="354"/>
      <c r="AH148" s="354"/>
      <c r="AI148" s="354"/>
    </row>
    <row r="149" spans="2:35">
      <c r="B149" s="354"/>
      <c r="C149" s="354"/>
      <c r="D149" s="354"/>
      <c r="E149" s="354"/>
      <c r="F149" s="354"/>
      <c r="G149" s="354"/>
      <c r="H149" s="354"/>
      <c r="I149" s="354"/>
      <c r="J149" s="354"/>
      <c r="K149" s="354"/>
      <c r="L149" s="354"/>
      <c r="M149" s="354"/>
      <c r="N149" s="354"/>
      <c r="O149" s="354"/>
      <c r="P149" s="354"/>
      <c r="Q149" s="354"/>
      <c r="R149" s="354"/>
      <c r="S149" s="354"/>
      <c r="T149" s="354"/>
      <c r="U149" s="354"/>
      <c r="V149" s="354"/>
      <c r="W149" s="354"/>
      <c r="X149" s="354"/>
      <c r="Y149" s="354"/>
      <c r="Z149" s="354"/>
      <c r="AA149" s="354"/>
      <c r="AB149" s="354"/>
      <c r="AC149" s="354"/>
      <c r="AD149" s="354"/>
      <c r="AE149" s="354"/>
      <c r="AF149" s="354"/>
      <c r="AG149" s="354"/>
      <c r="AH149" s="354"/>
      <c r="AI149" s="354"/>
    </row>
    <row r="150" spans="2:35">
      <c r="B150" s="354"/>
      <c r="C150" s="354"/>
      <c r="D150" s="354"/>
      <c r="E150" s="354"/>
      <c r="F150" s="354"/>
      <c r="G150" s="354"/>
      <c r="H150" s="354"/>
      <c r="I150" s="354"/>
      <c r="J150" s="354"/>
      <c r="K150" s="354"/>
      <c r="L150" s="354"/>
      <c r="M150" s="354"/>
      <c r="N150" s="354"/>
      <c r="O150" s="354"/>
      <c r="P150" s="354"/>
      <c r="Q150" s="354"/>
      <c r="R150" s="354"/>
      <c r="S150" s="354"/>
      <c r="T150" s="354"/>
      <c r="U150" s="354"/>
      <c r="V150" s="354"/>
      <c r="W150" s="354"/>
      <c r="X150" s="354"/>
      <c r="Y150" s="354"/>
      <c r="Z150" s="354"/>
      <c r="AA150" s="354"/>
      <c r="AB150" s="354"/>
      <c r="AC150" s="354"/>
      <c r="AD150" s="354"/>
      <c r="AE150" s="354"/>
      <c r="AF150" s="354"/>
      <c r="AG150" s="354"/>
      <c r="AH150" s="354"/>
      <c r="AI150" s="354"/>
    </row>
    <row r="151" spans="2:35">
      <c r="B151" s="354"/>
      <c r="C151" s="354"/>
      <c r="D151" s="354"/>
      <c r="E151" s="354"/>
      <c r="F151" s="354"/>
      <c r="G151" s="354"/>
      <c r="H151" s="354"/>
      <c r="I151" s="354"/>
      <c r="J151" s="354"/>
      <c r="K151" s="354"/>
      <c r="L151" s="354"/>
      <c r="M151" s="354"/>
      <c r="N151" s="354"/>
      <c r="O151" s="354"/>
      <c r="P151" s="354"/>
      <c r="Q151" s="354"/>
      <c r="R151" s="354"/>
      <c r="S151" s="354"/>
      <c r="T151" s="354"/>
      <c r="U151" s="354"/>
      <c r="V151" s="354"/>
      <c r="W151" s="354"/>
      <c r="X151" s="354"/>
      <c r="Y151" s="354"/>
      <c r="Z151" s="354"/>
      <c r="AA151" s="354"/>
      <c r="AB151" s="354"/>
      <c r="AC151" s="354"/>
      <c r="AD151" s="354"/>
      <c r="AE151" s="354"/>
      <c r="AF151" s="354"/>
      <c r="AG151" s="354"/>
      <c r="AH151" s="354"/>
      <c r="AI151" s="354"/>
    </row>
    <row r="152" spans="2:35">
      <c r="B152" s="354"/>
      <c r="C152" s="354"/>
      <c r="D152" s="354"/>
      <c r="E152" s="354"/>
      <c r="F152" s="354"/>
      <c r="G152" s="354"/>
      <c r="H152" s="354"/>
      <c r="I152" s="354"/>
      <c r="J152" s="354"/>
      <c r="K152" s="354"/>
      <c r="L152" s="354"/>
      <c r="M152" s="354"/>
      <c r="N152" s="354"/>
      <c r="O152" s="354"/>
      <c r="P152" s="354"/>
      <c r="Q152" s="354"/>
      <c r="R152" s="354"/>
      <c r="S152" s="354"/>
      <c r="T152" s="354"/>
      <c r="U152" s="354"/>
      <c r="V152" s="354"/>
      <c r="W152" s="354"/>
      <c r="X152" s="354"/>
      <c r="Y152" s="354"/>
      <c r="Z152" s="354"/>
      <c r="AA152" s="354"/>
      <c r="AB152" s="354"/>
      <c r="AC152" s="354"/>
      <c r="AD152" s="354"/>
      <c r="AE152" s="354"/>
      <c r="AF152" s="354"/>
      <c r="AG152" s="354"/>
      <c r="AH152" s="354"/>
      <c r="AI152" s="354"/>
    </row>
    <row r="153" spans="2:35">
      <c r="B153" s="354"/>
      <c r="C153" s="354"/>
      <c r="D153" s="354"/>
      <c r="E153" s="354"/>
      <c r="F153" s="354"/>
      <c r="G153" s="354"/>
      <c r="H153" s="354"/>
      <c r="I153" s="354"/>
      <c r="J153" s="354"/>
      <c r="K153" s="354"/>
      <c r="L153" s="354"/>
      <c r="M153" s="354"/>
      <c r="N153" s="354"/>
      <c r="O153" s="354"/>
      <c r="P153" s="354"/>
      <c r="Q153" s="354"/>
      <c r="R153" s="354"/>
      <c r="S153" s="354"/>
      <c r="T153" s="354"/>
      <c r="U153" s="354"/>
      <c r="V153" s="354"/>
      <c r="W153" s="354"/>
      <c r="X153" s="354"/>
      <c r="Y153" s="354"/>
      <c r="Z153" s="354"/>
      <c r="AA153" s="354"/>
      <c r="AB153" s="354"/>
      <c r="AC153" s="354"/>
      <c r="AD153" s="354"/>
      <c r="AE153" s="354"/>
      <c r="AF153" s="354"/>
      <c r="AG153" s="354"/>
      <c r="AH153" s="354"/>
      <c r="AI153" s="354"/>
    </row>
    <row r="154" spans="2:35">
      <c r="B154" s="354"/>
      <c r="C154" s="354"/>
      <c r="D154" s="354"/>
      <c r="E154" s="354"/>
      <c r="F154" s="354"/>
      <c r="G154" s="354"/>
      <c r="H154" s="354"/>
      <c r="I154" s="354"/>
      <c r="J154" s="354"/>
      <c r="K154" s="354"/>
      <c r="L154" s="354"/>
      <c r="M154" s="354"/>
      <c r="N154" s="354"/>
      <c r="O154" s="354"/>
      <c r="P154" s="354"/>
      <c r="Q154" s="354"/>
      <c r="R154" s="354"/>
      <c r="S154" s="354"/>
      <c r="T154" s="354"/>
      <c r="U154" s="354"/>
      <c r="V154" s="354"/>
      <c r="W154" s="354"/>
      <c r="X154" s="354"/>
      <c r="Y154" s="354"/>
      <c r="Z154" s="354"/>
      <c r="AA154" s="354"/>
      <c r="AB154" s="354"/>
      <c r="AC154" s="354"/>
      <c r="AD154" s="354"/>
      <c r="AE154" s="354"/>
      <c r="AF154" s="354"/>
      <c r="AG154" s="354"/>
      <c r="AH154" s="354"/>
      <c r="AI154" s="354"/>
    </row>
    <row r="155" spans="2:35">
      <c r="B155" s="354"/>
      <c r="C155" s="354"/>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4"/>
      <c r="Z155" s="354"/>
      <c r="AA155" s="354"/>
      <c r="AB155" s="354"/>
      <c r="AC155" s="354"/>
      <c r="AD155" s="354"/>
      <c r="AE155" s="354"/>
      <c r="AF155" s="354"/>
      <c r="AG155" s="354"/>
      <c r="AH155" s="354"/>
      <c r="AI155" s="354"/>
    </row>
    <row r="156" spans="2:35">
      <c r="B156" s="354"/>
      <c r="C156" s="354"/>
      <c r="D156" s="354"/>
      <c r="E156" s="354"/>
      <c r="F156" s="354"/>
      <c r="G156" s="354"/>
      <c r="H156" s="354"/>
      <c r="I156" s="354"/>
      <c r="J156" s="354"/>
      <c r="K156" s="354"/>
      <c r="L156" s="354"/>
      <c r="M156" s="354"/>
      <c r="N156" s="354"/>
      <c r="O156" s="354"/>
      <c r="P156" s="354"/>
      <c r="Q156" s="354"/>
      <c r="R156" s="354"/>
      <c r="S156" s="354"/>
      <c r="T156" s="354"/>
      <c r="U156" s="354"/>
      <c r="V156" s="354"/>
      <c r="W156" s="354"/>
      <c r="X156" s="354"/>
      <c r="Y156" s="354"/>
      <c r="Z156" s="354"/>
      <c r="AA156" s="354"/>
      <c r="AB156" s="354"/>
      <c r="AC156" s="354"/>
      <c r="AD156" s="354"/>
      <c r="AE156" s="354"/>
      <c r="AF156" s="354"/>
      <c r="AG156" s="354"/>
      <c r="AH156" s="354"/>
      <c r="AI156" s="354"/>
    </row>
    <row r="157" spans="2:35">
      <c r="B157" s="354"/>
      <c r="C157" s="354"/>
      <c r="D157" s="354"/>
      <c r="E157" s="354"/>
      <c r="F157" s="354"/>
      <c r="G157" s="354"/>
      <c r="H157" s="354"/>
      <c r="I157" s="354"/>
      <c r="J157" s="354"/>
      <c r="K157" s="354"/>
      <c r="L157" s="354"/>
      <c r="M157" s="354"/>
      <c r="N157" s="354"/>
      <c r="O157" s="354"/>
      <c r="P157" s="354"/>
      <c r="Q157" s="354"/>
      <c r="R157" s="354"/>
      <c r="S157" s="354"/>
      <c r="T157" s="354"/>
      <c r="U157" s="354"/>
      <c r="V157" s="354"/>
      <c r="W157" s="354"/>
      <c r="X157" s="354"/>
      <c r="Y157" s="354"/>
      <c r="Z157" s="354"/>
      <c r="AA157" s="354"/>
      <c r="AB157" s="354"/>
      <c r="AC157" s="354"/>
      <c r="AD157" s="354"/>
      <c r="AE157" s="354"/>
      <c r="AF157" s="354"/>
      <c r="AG157" s="354"/>
      <c r="AH157" s="354"/>
      <c r="AI157" s="354"/>
    </row>
    <row r="158" spans="2:35">
      <c r="B158" s="354"/>
      <c r="C158" s="354"/>
      <c r="D158" s="354"/>
      <c r="E158" s="354"/>
      <c r="F158" s="354"/>
      <c r="G158" s="354"/>
      <c r="H158" s="354"/>
      <c r="I158" s="354"/>
      <c r="J158" s="354"/>
      <c r="K158" s="354"/>
      <c r="L158" s="354"/>
      <c r="M158" s="354"/>
      <c r="N158" s="354"/>
      <c r="O158" s="354"/>
      <c r="P158" s="354"/>
      <c r="Q158" s="354"/>
      <c r="R158" s="354"/>
      <c r="S158" s="354"/>
      <c r="T158" s="354"/>
      <c r="U158" s="354"/>
      <c r="V158" s="354"/>
      <c r="W158" s="354"/>
      <c r="X158" s="354"/>
      <c r="Y158" s="354"/>
      <c r="Z158" s="354"/>
      <c r="AA158" s="354"/>
      <c r="AB158" s="354"/>
      <c r="AC158" s="354"/>
      <c r="AD158" s="354"/>
      <c r="AE158" s="354"/>
      <c r="AF158" s="354"/>
      <c r="AG158" s="354"/>
      <c r="AH158" s="354"/>
      <c r="AI158" s="354"/>
    </row>
    <row r="159" spans="2:35">
      <c r="B159" s="354"/>
      <c r="C159" s="354"/>
      <c r="D159" s="354"/>
      <c r="E159" s="354"/>
      <c r="F159" s="354"/>
      <c r="G159" s="354"/>
      <c r="H159" s="354"/>
      <c r="I159" s="354"/>
      <c r="J159" s="354"/>
      <c r="K159" s="354"/>
      <c r="L159" s="354"/>
      <c r="M159" s="354"/>
      <c r="N159" s="354"/>
      <c r="O159" s="354"/>
      <c r="P159" s="354"/>
      <c r="Q159" s="354"/>
      <c r="R159" s="354"/>
      <c r="S159" s="354"/>
      <c r="T159" s="354"/>
      <c r="U159" s="354"/>
      <c r="V159" s="354"/>
      <c r="W159" s="354"/>
      <c r="X159" s="354"/>
      <c r="Y159" s="354"/>
      <c r="Z159" s="354"/>
      <c r="AA159" s="354"/>
      <c r="AB159" s="354"/>
      <c r="AC159" s="354"/>
      <c r="AD159" s="354"/>
      <c r="AE159" s="354"/>
      <c r="AF159" s="354"/>
      <c r="AG159" s="354"/>
      <c r="AH159" s="354"/>
      <c r="AI159" s="354"/>
    </row>
    <row r="160" spans="2:35">
      <c r="B160" s="354"/>
      <c r="C160" s="354"/>
      <c r="D160" s="354"/>
      <c r="E160" s="354"/>
      <c r="F160" s="354"/>
      <c r="G160" s="354"/>
      <c r="H160" s="354"/>
      <c r="I160" s="354"/>
      <c r="J160" s="354"/>
      <c r="K160" s="354"/>
      <c r="L160" s="354"/>
      <c r="M160" s="354"/>
      <c r="N160" s="354"/>
      <c r="O160" s="354"/>
      <c r="P160" s="354"/>
      <c r="Q160" s="354"/>
      <c r="R160" s="354"/>
      <c r="S160" s="354"/>
      <c r="T160" s="354"/>
      <c r="U160" s="354"/>
      <c r="V160" s="354"/>
      <c r="W160" s="354"/>
      <c r="X160" s="354"/>
      <c r="Y160" s="354"/>
      <c r="Z160" s="354"/>
      <c r="AA160" s="354"/>
      <c r="AB160" s="354"/>
      <c r="AC160" s="354"/>
      <c r="AD160" s="354"/>
      <c r="AE160" s="354"/>
      <c r="AF160" s="354"/>
      <c r="AG160" s="354"/>
      <c r="AH160" s="354"/>
      <c r="AI160" s="354"/>
    </row>
    <row r="161" spans="2:35">
      <c r="B161" s="354"/>
      <c r="C161" s="354"/>
      <c r="D161" s="354"/>
      <c r="E161" s="354"/>
      <c r="F161" s="354"/>
      <c r="G161" s="354"/>
      <c r="H161" s="354"/>
      <c r="I161" s="354"/>
      <c r="J161" s="354"/>
      <c r="K161" s="354"/>
      <c r="L161" s="354"/>
      <c r="M161" s="354"/>
      <c r="N161" s="354"/>
      <c r="O161" s="354"/>
      <c r="P161" s="354"/>
      <c r="Q161" s="354"/>
      <c r="R161" s="354"/>
      <c r="S161" s="354"/>
      <c r="T161" s="354"/>
      <c r="U161" s="354"/>
      <c r="V161" s="354"/>
      <c r="W161" s="354"/>
      <c r="X161" s="354"/>
      <c r="Y161" s="354"/>
      <c r="Z161" s="354"/>
      <c r="AA161" s="354"/>
      <c r="AB161" s="354"/>
      <c r="AC161" s="354"/>
      <c r="AD161" s="354"/>
      <c r="AE161" s="354"/>
      <c r="AF161" s="354"/>
      <c r="AG161" s="354"/>
      <c r="AH161" s="354"/>
      <c r="AI161" s="354"/>
    </row>
    <row r="162" spans="2:35">
      <c r="B162" s="354"/>
      <c r="C162" s="354"/>
      <c r="D162" s="354"/>
      <c r="E162" s="354"/>
      <c r="F162" s="354"/>
      <c r="G162" s="354"/>
      <c r="H162" s="354"/>
      <c r="I162" s="354"/>
      <c r="J162" s="354"/>
      <c r="K162" s="354"/>
      <c r="L162" s="354"/>
      <c r="M162" s="354"/>
      <c r="N162" s="354"/>
      <c r="O162" s="354"/>
      <c r="P162" s="354"/>
      <c r="Q162" s="354"/>
      <c r="R162" s="354"/>
      <c r="S162" s="354"/>
      <c r="T162" s="354"/>
      <c r="U162" s="354"/>
      <c r="V162" s="354"/>
      <c r="W162" s="354"/>
      <c r="X162" s="354"/>
      <c r="Y162" s="354"/>
      <c r="Z162" s="354"/>
      <c r="AA162" s="354"/>
      <c r="AB162" s="354"/>
      <c r="AC162" s="354"/>
      <c r="AD162" s="354"/>
      <c r="AE162" s="354"/>
      <c r="AF162" s="354"/>
      <c r="AG162" s="354"/>
      <c r="AH162" s="354"/>
      <c r="AI162" s="354"/>
    </row>
    <row r="163" spans="2:35">
      <c r="B163" s="354"/>
      <c r="C163" s="354"/>
      <c r="D163" s="354"/>
      <c r="E163" s="354"/>
      <c r="F163" s="354"/>
      <c r="G163" s="354"/>
      <c r="H163" s="354"/>
      <c r="I163" s="354"/>
      <c r="J163" s="354"/>
      <c r="K163" s="354"/>
      <c r="L163" s="354"/>
      <c r="M163" s="354"/>
      <c r="N163" s="354"/>
      <c r="O163" s="354"/>
      <c r="P163" s="354"/>
      <c r="Q163" s="354"/>
      <c r="R163" s="354"/>
      <c r="S163" s="354"/>
      <c r="T163" s="354"/>
      <c r="U163" s="354"/>
      <c r="V163" s="354"/>
      <c r="W163" s="354"/>
      <c r="X163" s="354"/>
      <c r="Y163" s="354"/>
      <c r="Z163" s="354"/>
      <c r="AA163" s="354"/>
      <c r="AB163" s="354"/>
      <c r="AC163" s="354"/>
      <c r="AD163" s="354"/>
      <c r="AE163" s="354"/>
      <c r="AF163" s="354"/>
      <c r="AG163" s="354"/>
      <c r="AH163" s="354"/>
      <c r="AI163" s="354"/>
    </row>
    <row r="164" spans="2:35">
      <c r="B164" s="354"/>
      <c r="C164" s="354"/>
      <c r="D164" s="354"/>
      <c r="E164" s="354"/>
      <c r="F164" s="354"/>
      <c r="G164" s="354"/>
      <c r="H164" s="354"/>
      <c r="I164" s="354"/>
      <c r="J164" s="354"/>
      <c r="K164" s="354"/>
      <c r="L164" s="354"/>
      <c r="M164" s="354"/>
      <c r="N164" s="354"/>
      <c r="O164" s="354"/>
      <c r="P164" s="354"/>
      <c r="Q164" s="354"/>
      <c r="R164" s="354"/>
      <c r="S164" s="354"/>
      <c r="T164" s="354"/>
      <c r="U164" s="354"/>
      <c r="V164" s="354"/>
      <c r="W164" s="354"/>
      <c r="X164" s="354"/>
      <c r="Y164" s="354"/>
      <c r="Z164" s="354"/>
      <c r="AA164" s="354"/>
      <c r="AB164" s="354"/>
      <c r="AC164" s="354"/>
      <c r="AD164" s="354"/>
      <c r="AE164" s="354"/>
      <c r="AF164" s="354"/>
      <c r="AG164" s="354"/>
      <c r="AH164" s="354"/>
      <c r="AI164" s="354"/>
    </row>
    <row r="165" spans="2:35">
      <c r="B165" s="354"/>
      <c r="C165" s="354"/>
      <c r="D165" s="354"/>
      <c r="E165" s="354"/>
      <c r="F165" s="354"/>
      <c r="G165" s="354"/>
      <c r="H165" s="354"/>
      <c r="I165" s="354"/>
      <c r="J165" s="354"/>
      <c r="K165" s="354"/>
      <c r="L165" s="354"/>
      <c r="M165" s="354"/>
      <c r="N165" s="354"/>
      <c r="O165" s="354"/>
      <c r="P165" s="354"/>
      <c r="Q165" s="354"/>
      <c r="R165" s="354"/>
      <c r="S165" s="354"/>
      <c r="T165" s="354"/>
      <c r="U165" s="354"/>
      <c r="V165" s="354"/>
      <c r="W165" s="354"/>
      <c r="X165" s="354"/>
      <c r="Y165" s="354"/>
      <c r="Z165" s="354"/>
      <c r="AA165" s="354"/>
      <c r="AB165" s="354"/>
      <c r="AC165" s="354"/>
      <c r="AD165" s="354"/>
      <c r="AE165" s="354"/>
      <c r="AF165" s="354"/>
      <c r="AG165" s="354"/>
      <c r="AH165" s="354"/>
      <c r="AI165" s="354"/>
    </row>
    <row r="166" spans="2:35">
      <c r="B166" s="354"/>
      <c r="C166" s="354"/>
      <c r="D166" s="354"/>
      <c r="E166" s="354"/>
      <c r="F166" s="354"/>
      <c r="G166" s="354"/>
      <c r="H166" s="354"/>
      <c r="I166" s="354"/>
      <c r="J166" s="354"/>
      <c r="K166" s="354"/>
      <c r="L166" s="354"/>
      <c r="M166" s="354"/>
      <c r="N166" s="354"/>
      <c r="O166" s="354"/>
      <c r="P166" s="354"/>
      <c r="Q166" s="354"/>
      <c r="R166" s="354"/>
      <c r="S166" s="354"/>
      <c r="T166" s="354"/>
      <c r="U166" s="354"/>
      <c r="V166" s="354"/>
      <c r="W166" s="354"/>
      <c r="X166" s="354"/>
      <c r="Y166" s="354"/>
      <c r="Z166" s="354"/>
      <c r="AA166" s="354"/>
      <c r="AB166" s="354"/>
      <c r="AC166" s="354"/>
      <c r="AD166" s="354"/>
      <c r="AE166" s="354"/>
      <c r="AF166" s="354"/>
      <c r="AG166" s="354"/>
      <c r="AH166" s="354"/>
      <c r="AI166" s="354"/>
    </row>
    <row r="167" spans="2:35">
      <c r="B167" s="354"/>
      <c r="C167" s="354"/>
      <c r="D167" s="354"/>
      <c r="E167" s="354"/>
      <c r="F167" s="354"/>
      <c r="G167" s="354"/>
      <c r="H167" s="354"/>
      <c r="I167" s="354"/>
      <c r="J167" s="354"/>
      <c r="K167" s="354"/>
      <c r="L167" s="354"/>
      <c r="M167" s="354"/>
      <c r="N167" s="354"/>
      <c r="O167" s="354"/>
      <c r="P167" s="354"/>
      <c r="Q167" s="354"/>
      <c r="R167" s="354"/>
      <c r="S167" s="354"/>
      <c r="T167" s="354"/>
      <c r="U167" s="354"/>
      <c r="V167" s="354"/>
      <c r="W167" s="354"/>
      <c r="X167" s="354"/>
      <c r="Y167" s="354"/>
      <c r="Z167" s="354"/>
      <c r="AA167" s="354"/>
      <c r="AB167" s="354"/>
      <c r="AC167" s="354"/>
      <c r="AD167" s="354"/>
      <c r="AE167" s="354"/>
      <c r="AF167" s="354"/>
      <c r="AG167" s="354"/>
      <c r="AH167" s="354"/>
      <c r="AI167" s="354"/>
    </row>
    <row r="168" spans="2:35">
      <c r="B168" s="354"/>
      <c r="C168" s="354"/>
      <c r="D168" s="354"/>
      <c r="E168" s="354"/>
      <c r="F168" s="354"/>
      <c r="G168" s="354"/>
      <c r="H168" s="354"/>
      <c r="I168" s="354"/>
      <c r="J168" s="354"/>
      <c r="K168" s="354"/>
      <c r="L168" s="354"/>
      <c r="M168" s="354"/>
      <c r="N168" s="354"/>
      <c r="O168" s="354"/>
      <c r="P168" s="354"/>
      <c r="Q168" s="354"/>
      <c r="R168" s="354"/>
      <c r="S168" s="354"/>
      <c r="T168" s="354"/>
      <c r="U168" s="354"/>
      <c r="V168" s="354"/>
      <c r="W168" s="354"/>
      <c r="X168" s="354"/>
      <c r="Y168" s="354"/>
      <c r="Z168" s="354"/>
      <c r="AA168" s="354"/>
      <c r="AB168" s="354"/>
      <c r="AC168" s="354"/>
      <c r="AD168" s="354"/>
      <c r="AE168" s="354"/>
      <c r="AF168" s="354"/>
      <c r="AG168" s="354"/>
      <c r="AH168" s="354"/>
      <c r="AI168" s="354"/>
    </row>
    <row r="169" spans="2:35">
      <c r="B169" s="354"/>
      <c r="C169" s="354"/>
      <c r="D169" s="354"/>
      <c r="E169" s="354"/>
      <c r="F169" s="354"/>
      <c r="G169" s="354"/>
      <c r="H169" s="354"/>
      <c r="I169" s="354"/>
      <c r="J169" s="354"/>
      <c r="K169" s="354"/>
      <c r="L169" s="354"/>
      <c r="M169" s="354"/>
      <c r="N169" s="354"/>
      <c r="O169" s="354"/>
      <c r="P169" s="354"/>
      <c r="Q169" s="354"/>
      <c r="R169" s="354"/>
      <c r="S169" s="354"/>
      <c r="T169" s="354"/>
      <c r="U169" s="354"/>
      <c r="V169" s="354"/>
      <c r="W169" s="354"/>
      <c r="X169" s="354"/>
      <c r="Y169" s="354"/>
      <c r="Z169" s="354"/>
      <c r="AA169" s="354"/>
      <c r="AB169" s="354"/>
      <c r="AC169" s="354"/>
      <c r="AD169" s="354"/>
      <c r="AE169" s="354"/>
      <c r="AF169" s="354"/>
      <c r="AG169" s="354"/>
      <c r="AH169" s="354"/>
      <c r="AI169" s="354"/>
    </row>
    <row r="170" spans="2:35">
      <c r="B170" s="354"/>
      <c r="C170" s="354"/>
      <c r="D170" s="354"/>
      <c r="E170" s="354"/>
      <c r="F170" s="354"/>
      <c r="G170" s="354"/>
      <c r="H170" s="354"/>
      <c r="I170" s="354"/>
      <c r="J170" s="354"/>
      <c r="K170" s="354"/>
      <c r="L170" s="354"/>
      <c r="M170" s="354"/>
      <c r="N170" s="354"/>
      <c r="O170" s="354"/>
      <c r="P170" s="354"/>
      <c r="Q170" s="354"/>
      <c r="R170" s="354"/>
      <c r="S170" s="354"/>
      <c r="T170" s="354"/>
      <c r="U170" s="354"/>
      <c r="V170" s="354"/>
      <c r="W170" s="354"/>
      <c r="X170" s="354"/>
      <c r="Y170" s="354"/>
      <c r="Z170" s="354"/>
      <c r="AA170" s="354"/>
      <c r="AB170" s="354"/>
      <c r="AC170" s="354"/>
      <c r="AD170" s="354"/>
      <c r="AE170" s="354"/>
      <c r="AF170" s="354"/>
      <c r="AG170" s="354"/>
      <c r="AH170" s="354"/>
      <c r="AI170" s="354"/>
    </row>
    <row r="171" spans="2:35">
      <c r="B171" s="354"/>
      <c r="C171" s="354"/>
      <c r="D171" s="354"/>
      <c r="E171" s="354"/>
      <c r="F171" s="354"/>
      <c r="G171" s="354"/>
      <c r="H171" s="354"/>
      <c r="I171" s="354"/>
      <c r="J171" s="354"/>
      <c r="K171" s="354"/>
      <c r="L171" s="354"/>
      <c r="M171" s="354"/>
      <c r="N171" s="354"/>
      <c r="O171" s="354"/>
      <c r="P171" s="354"/>
      <c r="Q171" s="354"/>
      <c r="R171" s="354"/>
      <c r="S171" s="354"/>
      <c r="T171" s="354"/>
      <c r="U171" s="354"/>
      <c r="V171" s="354"/>
      <c r="W171" s="354"/>
      <c r="X171" s="354"/>
      <c r="Y171" s="354"/>
      <c r="Z171" s="354"/>
      <c r="AA171" s="354"/>
      <c r="AB171" s="354"/>
      <c r="AC171" s="354"/>
      <c r="AD171" s="354"/>
      <c r="AE171" s="354"/>
      <c r="AF171" s="354"/>
      <c r="AG171" s="354"/>
      <c r="AH171" s="354"/>
      <c r="AI171" s="354"/>
    </row>
    <row r="172" spans="2:35">
      <c r="B172" s="354"/>
      <c r="C172" s="354"/>
      <c r="D172" s="354"/>
      <c r="E172" s="354"/>
      <c r="F172" s="354"/>
      <c r="G172" s="354"/>
      <c r="H172" s="354"/>
      <c r="I172" s="354"/>
      <c r="J172" s="354"/>
      <c r="K172" s="354"/>
      <c r="L172" s="354"/>
      <c r="M172" s="354"/>
      <c r="N172" s="354"/>
      <c r="O172" s="354"/>
      <c r="P172" s="354"/>
      <c r="Q172" s="354"/>
      <c r="R172" s="354"/>
      <c r="S172" s="354"/>
      <c r="T172" s="354"/>
      <c r="U172" s="354"/>
      <c r="V172" s="354"/>
      <c r="W172" s="354"/>
      <c r="X172" s="354"/>
      <c r="Y172" s="354"/>
      <c r="Z172" s="354"/>
      <c r="AA172" s="354"/>
      <c r="AB172" s="354"/>
      <c r="AC172" s="354"/>
      <c r="AD172" s="354"/>
      <c r="AE172" s="354"/>
      <c r="AF172" s="354"/>
      <c r="AG172" s="354"/>
      <c r="AH172" s="354"/>
      <c r="AI172" s="354"/>
    </row>
    <row r="173" spans="2:35">
      <c r="B173" s="354"/>
      <c r="C173" s="354"/>
      <c r="D173" s="354"/>
      <c r="E173" s="354"/>
      <c r="F173" s="354"/>
      <c r="G173" s="354"/>
      <c r="H173" s="354"/>
      <c r="I173" s="354"/>
      <c r="J173" s="354"/>
      <c r="K173" s="354"/>
      <c r="L173" s="354"/>
      <c r="M173" s="354"/>
      <c r="N173" s="354"/>
      <c r="O173" s="354"/>
      <c r="P173" s="354"/>
      <c r="Q173" s="354"/>
      <c r="R173" s="354"/>
      <c r="S173" s="354"/>
      <c r="T173" s="354"/>
      <c r="U173" s="354"/>
      <c r="V173" s="354"/>
      <c r="W173" s="354"/>
      <c r="X173" s="354"/>
      <c r="Y173" s="354"/>
      <c r="Z173" s="354"/>
      <c r="AA173" s="354"/>
      <c r="AB173" s="354"/>
      <c r="AC173" s="354"/>
      <c r="AD173" s="354"/>
      <c r="AE173" s="354"/>
      <c r="AF173" s="354"/>
      <c r="AG173" s="354"/>
      <c r="AH173" s="354"/>
      <c r="AI173" s="354"/>
    </row>
    <row r="174" spans="2:35">
      <c r="B174" s="354"/>
      <c r="C174" s="354"/>
      <c r="D174" s="354"/>
      <c r="E174" s="354"/>
      <c r="F174" s="354"/>
      <c r="G174" s="354"/>
      <c r="H174" s="354"/>
      <c r="I174" s="354"/>
      <c r="J174" s="354"/>
      <c r="K174" s="354"/>
      <c r="L174" s="354"/>
      <c r="M174" s="354"/>
      <c r="N174" s="354"/>
      <c r="O174" s="354"/>
      <c r="P174" s="354"/>
      <c r="Q174" s="354"/>
      <c r="R174" s="354"/>
      <c r="S174" s="354"/>
      <c r="T174" s="354"/>
      <c r="U174" s="354"/>
      <c r="V174" s="354"/>
      <c r="W174" s="354"/>
      <c r="X174" s="354"/>
      <c r="Y174" s="354"/>
      <c r="Z174" s="354"/>
      <c r="AA174" s="354"/>
      <c r="AB174" s="354"/>
      <c r="AC174" s="354"/>
      <c r="AD174" s="354"/>
      <c r="AE174" s="354"/>
      <c r="AF174" s="354"/>
      <c r="AG174" s="354"/>
      <c r="AH174" s="354"/>
      <c r="AI174" s="354"/>
    </row>
    <row r="175" spans="2:35">
      <c r="B175" s="354"/>
      <c r="C175" s="354"/>
      <c r="D175" s="354"/>
      <c r="E175" s="354"/>
      <c r="F175" s="354"/>
      <c r="G175" s="354"/>
      <c r="H175" s="354"/>
      <c r="I175" s="354"/>
      <c r="J175" s="354"/>
      <c r="K175" s="354"/>
      <c r="L175" s="354"/>
      <c r="M175" s="354"/>
      <c r="N175" s="354"/>
      <c r="O175" s="354"/>
      <c r="P175" s="354"/>
      <c r="Q175" s="354"/>
      <c r="R175" s="354"/>
      <c r="S175" s="354"/>
      <c r="T175" s="354"/>
      <c r="U175" s="354"/>
      <c r="V175" s="354"/>
      <c r="W175" s="354"/>
      <c r="X175" s="354"/>
      <c r="Y175" s="354"/>
      <c r="Z175" s="354"/>
      <c r="AA175" s="354"/>
      <c r="AB175" s="354"/>
      <c r="AC175" s="354"/>
      <c r="AD175" s="354"/>
      <c r="AE175" s="354"/>
      <c r="AF175" s="354"/>
      <c r="AG175" s="354"/>
      <c r="AH175" s="354"/>
      <c r="AI175" s="354"/>
    </row>
    <row r="176" spans="2:35">
      <c r="B176" s="354"/>
      <c r="C176" s="354"/>
      <c r="D176" s="354"/>
      <c r="E176" s="354"/>
      <c r="F176" s="354"/>
      <c r="G176" s="354"/>
      <c r="H176" s="354"/>
      <c r="I176" s="354"/>
      <c r="J176" s="354"/>
      <c r="K176" s="354"/>
      <c r="L176" s="354"/>
      <c r="M176" s="354"/>
      <c r="N176" s="354"/>
      <c r="O176" s="354"/>
      <c r="P176" s="354"/>
      <c r="Q176" s="354"/>
      <c r="R176" s="354"/>
      <c r="S176" s="354"/>
      <c r="T176" s="354"/>
      <c r="U176" s="354"/>
      <c r="V176" s="354"/>
      <c r="W176" s="354"/>
      <c r="X176" s="354"/>
      <c r="Y176" s="354"/>
      <c r="Z176" s="354"/>
      <c r="AA176" s="354"/>
      <c r="AB176" s="354"/>
      <c r="AC176" s="354"/>
      <c r="AD176" s="354"/>
      <c r="AE176" s="354"/>
      <c r="AF176" s="354"/>
      <c r="AG176" s="354"/>
      <c r="AH176" s="354"/>
      <c r="AI176" s="354"/>
    </row>
    <row r="177" spans="2:35">
      <c r="B177" s="354"/>
      <c r="C177" s="354"/>
      <c r="D177" s="354"/>
      <c r="E177" s="354"/>
      <c r="F177" s="354"/>
      <c r="G177" s="354"/>
      <c r="H177" s="354"/>
      <c r="I177" s="354"/>
      <c r="J177" s="354"/>
      <c r="K177" s="354"/>
      <c r="L177" s="354"/>
      <c r="M177" s="354"/>
      <c r="N177" s="354"/>
      <c r="O177" s="354"/>
      <c r="P177" s="354"/>
      <c r="Q177" s="354"/>
      <c r="R177" s="354"/>
      <c r="S177" s="354"/>
      <c r="T177" s="354"/>
      <c r="U177" s="354"/>
      <c r="V177" s="354"/>
      <c r="W177" s="354"/>
      <c r="X177" s="354"/>
      <c r="Y177" s="354"/>
      <c r="Z177" s="354"/>
      <c r="AA177" s="354"/>
      <c r="AB177" s="354"/>
      <c r="AC177" s="354"/>
      <c r="AD177" s="354"/>
      <c r="AE177" s="354"/>
      <c r="AF177" s="354"/>
      <c r="AG177" s="354"/>
      <c r="AH177" s="354"/>
      <c r="AI177" s="354"/>
    </row>
    <row r="178" spans="2:35">
      <c r="B178" s="354"/>
      <c r="C178" s="354"/>
      <c r="D178" s="354"/>
      <c r="E178" s="354"/>
      <c r="F178" s="354"/>
      <c r="G178" s="354"/>
      <c r="H178" s="354"/>
      <c r="I178" s="354"/>
      <c r="J178" s="354"/>
      <c r="K178" s="354"/>
      <c r="L178" s="354"/>
      <c r="M178" s="354"/>
      <c r="N178" s="354"/>
      <c r="O178" s="354"/>
      <c r="P178" s="354"/>
      <c r="Q178" s="354"/>
      <c r="R178" s="354"/>
      <c r="S178" s="354"/>
      <c r="T178" s="354"/>
      <c r="U178" s="354"/>
      <c r="V178" s="354"/>
      <c r="W178" s="354"/>
      <c r="X178" s="354"/>
      <c r="Y178" s="354"/>
      <c r="Z178" s="354"/>
      <c r="AA178" s="354"/>
      <c r="AB178" s="354"/>
      <c r="AC178" s="354"/>
      <c r="AD178" s="354"/>
      <c r="AE178" s="354"/>
      <c r="AF178" s="354"/>
      <c r="AG178" s="354"/>
      <c r="AH178" s="354"/>
      <c r="AI178" s="354"/>
    </row>
    <row r="179" spans="2:35">
      <c r="B179" s="354"/>
      <c r="C179" s="354"/>
      <c r="D179" s="354"/>
      <c r="E179" s="354"/>
      <c r="F179" s="354"/>
      <c r="G179" s="354"/>
      <c r="H179" s="354"/>
      <c r="I179" s="354"/>
      <c r="J179" s="354"/>
      <c r="K179" s="354"/>
      <c r="L179" s="354"/>
      <c r="M179" s="354"/>
      <c r="N179" s="354"/>
      <c r="O179" s="354"/>
      <c r="P179" s="354"/>
      <c r="Q179" s="354"/>
      <c r="R179" s="354"/>
      <c r="S179" s="354"/>
      <c r="T179" s="354"/>
      <c r="U179" s="354"/>
      <c r="V179" s="354"/>
      <c r="W179" s="354"/>
      <c r="X179" s="354"/>
      <c r="Y179" s="354"/>
      <c r="Z179" s="354"/>
      <c r="AA179" s="354"/>
      <c r="AB179" s="354"/>
      <c r="AC179" s="354"/>
      <c r="AD179" s="354"/>
      <c r="AE179" s="354"/>
      <c r="AF179" s="354"/>
      <c r="AG179" s="354"/>
      <c r="AH179" s="354"/>
      <c r="AI179" s="354"/>
    </row>
    <row r="180" spans="2:35">
      <c r="B180" s="354"/>
      <c r="C180" s="354"/>
      <c r="D180" s="354"/>
      <c r="E180" s="354"/>
      <c r="F180" s="354"/>
      <c r="G180" s="354"/>
      <c r="H180" s="354"/>
      <c r="I180" s="354"/>
      <c r="J180" s="354"/>
      <c r="K180" s="354"/>
      <c r="L180" s="354"/>
      <c r="M180" s="354"/>
      <c r="N180" s="354"/>
      <c r="O180" s="354"/>
      <c r="P180" s="354"/>
      <c r="Q180" s="354"/>
      <c r="R180" s="354"/>
      <c r="S180" s="354"/>
      <c r="T180" s="354"/>
      <c r="U180" s="354"/>
      <c r="V180" s="354"/>
      <c r="W180" s="354"/>
      <c r="X180" s="354"/>
      <c r="Y180" s="354"/>
      <c r="Z180" s="354"/>
      <c r="AA180" s="354"/>
      <c r="AB180" s="354"/>
      <c r="AC180" s="354"/>
      <c r="AD180" s="354"/>
      <c r="AE180" s="354"/>
      <c r="AF180" s="354"/>
      <c r="AG180" s="354"/>
      <c r="AH180" s="354"/>
      <c r="AI180" s="354"/>
    </row>
    <row r="181" spans="2:35">
      <c r="B181" s="354"/>
      <c r="C181" s="354"/>
      <c r="D181" s="354"/>
      <c r="E181" s="354"/>
      <c r="F181" s="354"/>
      <c r="G181" s="354"/>
      <c r="H181" s="354"/>
      <c r="I181" s="354"/>
      <c r="J181" s="354"/>
      <c r="K181" s="354"/>
      <c r="L181" s="354"/>
      <c r="M181" s="354"/>
      <c r="N181" s="354"/>
      <c r="O181" s="354"/>
      <c r="P181" s="354"/>
      <c r="Q181" s="354"/>
      <c r="R181" s="354"/>
      <c r="S181" s="354"/>
      <c r="T181" s="354"/>
      <c r="U181" s="354"/>
      <c r="V181" s="354"/>
      <c r="W181" s="354"/>
      <c r="X181" s="354"/>
      <c r="Y181" s="354"/>
      <c r="Z181" s="354"/>
      <c r="AA181" s="354"/>
      <c r="AB181" s="354"/>
      <c r="AC181" s="354"/>
      <c r="AD181" s="354"/>
      <c r="AE181" s="354"/>
      <c r="AF181" s="354"/>
      <c r="AG181" s="354"/>
      <c r="AH181" s="354"/>
      <c r="AI181" s="354"/>
    </row>
    <row r="182" spans="2:35">
      <c r="B182" s="354"/>
      <c r="C182" s="354"/>
      <c r="D182" s="354"/>
      <c r="E182" s="354"/>
      <c r="F182" s="354"/>
      <c r="G182" s="354"/>
      <c r="H182" s="354"/>
      <c r="I182" s="354"/>
      <c r="J182" s="354"/>
      <c r="K182" s="354"/>
      <c r="L182" s="354"/>
      <c r="M182" s="354"/>
      <c r="N182" s="354"/>
      <c r="O182" s="354"/>
      <c r="P182" s="354"/>
      <c r="Q182" s="354"/>
      <c r="R182" s="354"/>
      <c r="S182" s="354"/>
      <c r="T182" s="354"/>
      <c r="U182" s="354"/>
      <c r="V182" s="354"/>
      <c r="W182" s="354"/>
      <c r="X182" s="354"/>
      <c r="Y182" s="354"/>
      <c r="Z182" s="354"/>
      <c r="AA182" s="354"/>
      <c r="AB182" s="354"/>
      <c r="AC182" s="354"/>
      <c r="AD182" s="354"/>
      <c r="AE182" s="354"/>
      <c r="AF182" s="354"/>
      <c r="AG182" s="354"/>
      <c r="AH182" s="354"/>
      <c r="AI182" s="354"/>
    </row>
    <row r="183" spans="2:35">
      <c r="B183" s="354"/>
      <c r="C183" s="354"/>
      <c r="D183" s="354"/>
      <c r="E183" s="354"/>
      <c r="F183" s="354"/>
      <c r="G183" s="354"/>
      <c r="H183" s="354"/>
      <c r="I183" s="354"/>
      <c r="J183" s="354"/>
      <c r="K183" s="354"/>
      <c r="L183" s="354"/>
      <c r="M183" s="354"/>
      <c r="N183" s="354"/>
      <c r="O183" s="354"/>
      <c r="P183" s="354"/>
      <c r="Q183" s="354"/>
      <c r="R183" s="354"/>
      <c r="S183" s="354"/>
      <c r="T183" s="354"/>
      <c r="U183" s="354"/>
      <c r="V183" s="354"/>
      <c r="W183" s="354"/>
      <c r="X183" s="354"/>
      <c r="Y183" s="354"/>
      <c r="Z183" s="354"/>
      <c r="AA183" s="354"/>
      <c r="AB183" s="354"/>
      <c r="AC183" s="354"/>
      <c r="AD183" s="354"/>
      <c r="AE183" s="354"/>
      <c r="AF183" s="354"/>
      <c r="AG183" s="354"/>
      <c r="AH183" s="354"/>
      <c r="AI183" s="354"/>
    </row>
    <row r="184" spans="2:35">
      <c r="B184" s="354"/>
      <c r="C184" s="354"/>
      <c r="D184" s="354"/>
      <c r="E184" s="354"/>
      <c r="F184" s="354"/>
      <c r="G184" s="354"/>
      <c r="H184" s="354"/>
      <c r="I184" s="354"/>
      <c r="J184" s="354"/>
      <c r="K184" s="354"/>
      <c r="L184" s="354"/>
      <c r="M184" s="354"/>
      <c r="N184" s="354"/>
      <c r="O184" s="354"/>
      <c r="P184" s="354"/>
      <c r="Q184" s="354"/>
      <c r="R184" s="354"/>
      <c r="S184" s="354"/>
      <c r="T184" s="354"/>
      <c r="U184" s="354"/>
      <c r="V184" s="354"/>
      <c r="W184" s="354"/>
      <c r="X184" s="354"/>
      <c r="Y184" s="354"/>
      <c r="Z184" s="354"/>
      <c r="AA184" s="354"/>
      <c r="AB184" s="354"/>
      <c r="AC184" s="354"/>
      <c r="AD184" s="354"/>
      <c r="AE184" s="354"/>
      <c r="AF184" s="354"/>
      <c r="AG184" s="354"/>
      <c r="AH184" s="354"/>
      <c r="AI184" s="354"/>
    </row>
    <row r="185" spans="2:35">
      <c r="B185" s="354"/>
      <c r="C185" s="354"/>
      <c r="D185" s="354"/>
      <c r="E185" s="354"/>
      <c r="F185" s="354"/>
      <c r="G185" s="354"/>
      <c r="H185" s="354"/>
      <c r="I185" s="354"/>
      <c r="J185" s="354"/>
      <c r="K185" s="354"/>
      <c r="L185" s="354"/>
      <c r="M185" s="354"/>
      <c r="N185" s="354"/>
      <c r="O185" s="354"/>
      <c r="P185" s="354"/>
      <c r="Q185" s="354"/>
      <c r="R185" s="354"/>
      <c r="S185" s="354"/>
      <c r="T185" s="354"/>
      <c r="U185" s="354"/>
      <c r="V185" s="354"/>
      <c r="W185" s="354"/>
      <c r="X185" s="354"/>
      <c r="Y185" s="354"/>
      <c r="Z185" s="354"/>
      <c r="AA185" s="354"/>
      <c r="AB185" s="354"/>
      <c r="AC185" s="354"/>
      <c r="AD185" s="354"/>
      <c r="AE185" s="354"/>
      <c r="AF185" s="354"/>
      <c r="AG185" s="354"/>
      <c r="AH185" s="354"/>
      <c r="AI185" s="354"/>
    </row>
    <row r="186" spans="2:35">
      <c r="B186" s="354"/>
      <c r="C186" s="354"/>
      <c r="D186" s="354"/>
      <c r="E186" s="354"/>
      <c r="F186" s="354"/>
      <c r="G186" s="354"/>
      <c r="H186" s="354"/>
      <c r="I186" s="354"/>
      <c r="J186" s="354"/>
      <c r="K186" s="354"/>
      <c r="L186" s="354"/>
      <c r="M186" s="354"/>
      <c r="N186" s="354"/>
      <c r="O186" s="354"/>
      <c r="P186" s="354"/>
      <c r="Q186" s="354"/>
      <c r="R186" s="354"/>
      <c r="S186" s="354"/>
      <c r="T186" s="354"/>
      <c r="U186" s="354"/>
      <c r="V186" s="354"/>
      <c r="W186" s="354"/>
      <c r="X186" s="354"/>
      <c r="Y186" s="354"/>
      <c r="Z186" s="354"/>
      <c r="AA186" s="354"/>
      <c r="AB186" s="354"/>
      <c r="AC186" s="354"/>
      <c r="AD186" s="354"/>
      <c r="AE186" s="354"/>
      <c r="AF186" s="354"/>
      <c r="AG186" s="354"/>
      <c r="AH186" s="354"/>
      <c r="AI186" s="354"/>
    </row>
    <row r="187" spans="2:35">
      <c r="B187" s="354"/>
      <c r="C187" s="354"/>
      <c r="D187" s="354"/>
      <c r="E187" s="354"/>
      <c r="F187" s="354"/>
      <c r="G187" s="354"/>
      <c r="H187" s="354"/>
      <c r="I187" s="354"/>
      <c r="J187" s="354"/>
      <c r="K187" s="354"/>
      <c r="L187" s="354"/>
      <c r="M187" s="354"/>
      <c r="N187" s="354"/>
      <c r="O187" s="354"/>
      <c r="P187" s="354"/>
      <c r="Q187" s="354"/>
      <c r="R187" s="354"/>
      <c r="S187" s="354"/>
      <c r="T187" s="354"/>
      <c r="U187" s="354"/>
      <c r="V187" s="354"/>
      <c r="W187" s="354"/>
      <c r="X187" s="354"/>
      <c r="Y187" s="354"/>
      <c r="Z187" s="354"/>
      <c r="AA187" s="354"/>
      <c r="AB187" s="354"/>
      <c r="AC187" s="354"/>
      <c r="AD187" s="354"/>
      <c r="AE187" s="354"/>
      <c r="AF187" s="354"/>
      <c r="AG187" s="354"/>
      <c r="AH187" s="354"/>
      <c r="AI187" s="354"/>
    </row>
    <row r="188" spans="2:35">
      <c r="B188" s="354"/>
      <c r="C188" s="354"/>
      <c r="D188" s="354"/>
      <c r="E188" s="354"/>
      <c r="F188" s="354"/>
      <c r="G188" s="354"/>
      <c r="H188" s="354"/>
      <c r="I188" s="354"/>
      <c r="J188" s="354"/>
      <c r="K188" s="354"/>
      <c r="L188" s="354"/>
      <c r="M188" s="354"/>
      <c r="N188" s="354"/>
      <c r="O188" s="354"/>
      <c r="P188" s="354"/>
      <c r="Q188" s="354"/>
      <c r="R188" s="354"/>
      <c r="S188" s="354"/>
      <c r="T188" s="354"/>
      <c r="U188" s="354"/>
      <c r="V188" s="354"/>
      <c r="W188" s="354"/>
      <c r="X188" s="354"/>
      <c r="Y188" s="354"/>
      <c r="Z188" s="354"/>
      <c r="AA188" s="354"/>
      <c r="AB188" s="354"/>
      <c r="AC188" s="354"/>
      <c r="AD188" s="354"/>
      <c r="AE188" s="354"/>
      <c r="AF188" s="354"/>
      <c r="AG188" s="354"/>
      <c r="AH188" s="354"/>
      <c r="AI188" s="354"/>
    </row>
    <row r="189" spans="2:35">
      <c r="B189" s="354"/>
      <c r="C189" s="354"/>
      <c r="D189" s="354"/>
      <c r="E189" s="354"/>
      <c r="F189" s="354"/>
      <c r="G189" s="354"/>
      <c r="H189" s="354"/>
      <c r="I189" s="354"/>
      <c r="J189" s="354"/>
      <c r="K189" s="354"/>
      <c r="L189" s="354"/>
      <c r="M189" s="354"/>
      <c r="N189" s="354"/>
      <c r="O189" s="354"/>
      <c r="P189" s="354"/>
      <c r="Q189" s="354"/>
      <c r="R189" s="354"/>
      <c r="S189" s="354"/>
      <c r="T189" s="354"/>
      <c r="U189" s="354"/>
      <c r="V189" s="354"/>
      <c r="W189" s="354"/>
      <c r="X189" s="354"/>
      <c r="Y189" s="354"/>
      <c r="Z189" s="354"/>
      <c r="AA189" s="354"/>
      <c r="AB189" s="354"/>
      <c r="AC189" s="354"/>
      <c r="AD189" s="354"/>
      <c r="AE189" s="354"/>
      <c r="AF189" s="354"/>
      <c r="AG189" s="354"/>
      <c r="AH189" s="354"/>
      <c r="AI189" s="354"/>
    </row>
    <row r="190" spans="2:35">
      <c r="B190" s="354"/>
      <c r="C190" s="354"/>
      <c r="D190" s="354"/>
      <c r="E190" s="354"/>
      <c r="F190" s="354"/>
      <c r="G190" s="354"/>
      <c r="H190" s="354"/>
      <c r="I190" s="354"/>
      <c r="J190" s="354"/>
      <c r="K190" s="354"/>
      <c r="L190" s="354"/>
      <c r="M190" s="354"/>
      <c r="N190" s="354"/>
      <c r="O190" s="354"/>
      <c r="P190" s="354"/>
      <c r="Q190" s="354"/>
      <c r="R190" s="354"/>
      <c r="S190" s="354"/>
      <c r="T190" s="354"/>
      <c r="U190" s="354"/>
      <c r="V190" s="354"/>
      <c r="W190" s="354"/>
      <c r="X190" s="354"/>
      <c r="Y190" s="354"/>
      <c r="Z190" s="354"/>
      <c r="AA190" s="354"/>
      <c r="AB190" s="354"/>
      <c r="AC190" s="354"/>
      <c r="AD190" s="354"/>
      <c r="AE190" s="354"/>
      <c r="AF190" s="354"/>
      <c r="AG190" s="354"/>
      <c r="AH190" s="354"/>
      <c r="AI190" s="354"/>
    </row>
    <row r="191" spans="2:35">
      <c r="B191" s="354"/>
      <c r="C191" s="354"/>
      <c r="D191" s="354"/>
      <c r="E191" s="354"/>
      <c r="F191" s="354"/>
      <c r="G191" s="354"/>
      <c r="H191" s="354"/>
      <c r="I191" s="354"/>
      <c r="J191" s="354"/>
      <c r="K191" s="354"/>
      <c r="L191" s="354"/>
      <c r="M191" s="354"/>
      <c r="N191" s="354"/>
      <c r="O191" s="354"/>
      <c r="P191" s="354"/>
      <c r="Q191" s="354"/>
      <c r="R191" s="354"/>
      <c r="S191" s="354"/>
      <c r="T191" s="354"/>
      <c r="U191" s="354"/>
      <c r="V191" s="354"/>
      <c r="W191" s="354"/>
      <c r="X191" s="354"/>
      <c r="Y191" s="354"/>
      <c r="Z191" s="354"/>
      <c r="AA191" s="354"/>
      <c r="AB191" s="354"/>
      <c r="AC191" s="354"/>
      <c r="AD191" s="354"/>
      <c r="AE191" s="354"/>
      <c r="AF191" s="354"/>
      <c r="AG191" s="354"/>
      <c r="AH191" s="354"/>
      <c r="AI191" s="354"/>
    </row>
    <row r="192" spans="2:35">
      <c r="B192" s="354"/>
      <c r="C192" s="354"/>
      <c r="D192" s="354"/>
      <c r="E192" s="354"/>
      <c r="F192" s="354"/>
      <c r="G192" s="354"/>
      <c r="H192" s="354"/>
      <c r="I192" s="354"/>
      <c r="J192" s="354"/>
      <c r="K192" s="354"/>
      <c r="L192" s="354"/>
      <c r="M192" s="354"/>
      <c r="N192" s="354"/>
      <c r="O192" s="354"/>
      <c r="P192" s="354"/>
      <c r="Q192" s="354"/>
      <c r="R192" s="354"/>
      <c r="S192" s="354"/>
      <c r="T192" s="354"/>
      <c r="U192" s="354"/>
      <c r="V192" s="354"/>
      <c r="W192" s="354"/>
      <c r="X192" s="354"/>
      <c r="Y192" s="354"/>
      <c r="Z192" s="354"/>
      <c r="AA192" s="354"/>
      <c r="AB192" s="354"/>
      <c r="AC192" s="354"/>
      <c r="AD192" s="354"/>
      <c r="AE192" s="354"/>
      <c r="AF192" s="354"/>
      <c r="AG192" s="354"/>
      <c r="AH192" s="354"/>
      <c r="AI192" s="354"/>
    </row>
    <row r="193" spans="2:35">
      <c r="B193" s="354"/>
      <c r="C193" s="354"/>
      <c r="D193" s="354"/>
      <c r="E193" s="354"/>
      <c r="F193" s="354"/>
      <c r="G193" s="354"/>
      <c r="H193" s="354"/>
      <c r="I193" s="354"/>
      <c r="J193" s="354"/>
      <c r="K193" s="354"/>
      <c r="L193" s="354"/>
      <c r="M193" s="354"/>
      <c r="N193" s="354"/>
      <c r="O193" s="354"/>
      <c r="P193" s="354"/>
      <c r="Q193" s="354"/>
      <c r="R193" s="354"/>
      <c r="S193" s="354"/>
      <c r="T193" s="354"/>
      <c r="U193" s="354"/>
      <c r="V193" s="354"/>
      <c r="W193" s="354"/>
      <c r="X193" s="354"/>
      <c r="Y193" s="354"/>
      <c r="Z193" s="354"/>
      <c r="AA193" s="354"/>
      <c r="AB193" s="354"/>
      <c r="AC193" s="354"/>
      <c r="AD193" s="354"/>
      <c r="AE193" s="354"/>
      <c r="AF193" s="354"/>
      <c r="AG193" s="354"/>
      <c r="AH193" s="354"/>
      <c r="AI193" s="354"/>
    </row>
    <row r="194" spans="2:35">
      <c r="B194" s="354"/>
      <c r="C194" s="354"/>
      <c r="D194" s="354"/>
      <c r="E194" s="354"/>
      <c r="F194" s="354"/>
      <c r="G194" s="354"/>
      <c r="H194" s="354"/>
      <c r="I194" s="354"/>
      <c r="J194" s="354"/>
      <c r="K194" s="354"/>
      <c r="L194" s="354"/>
      <c r="M194" s="354"/>
      <c r="N194" s="354"/>
      <c r="O194" s="354"/>
      <c r="P194" s="354"/>
      <c r="Q194" s="354"/>
      <c r="R194" s="354"/>
      <c r="S194" s="354"/>
      <c r="T194" s="354"/>
      <c r="U194" s="354"/>
      <c r="V194" s="354"/>
      <c r="W194" s="354"/>
      <c r="X194" s="354"/>
      <c r="Y194" s="354"/>
      <c r="Z194" s="354"/>
      <c r="AA194" s="354"/>
      <c r="AB194" s="354"/>
      <c r="AC194" s="354"/>
      <c r="AD194" s="354"/>
      <c r="AE194" s="354"/>
      <c r="AF194" s="354"/>
      <c r="AG194" s="354"/>
      <c r="AH194" s="354"/>
      <c r="AI194" s="354"/>
    </row>
    <row r="195" spans="2:35">
      <c r="B195" s="354"/>
      <c r="C195" s="354"/>
      <c r="D195" s="354"/>
      <c r="E195" s="354"/>
      <c r="F195" s="354"/>
      <c r="G195" s="354"/>
      <c r="H195" s="354"/>
      <c r="I195" s="354"/>
      <c r="J195" s="354"/>
      <c r="K195" s="354"/>
      <c r="L195" s="354"/>
      <c r="M195" s="354"/>
      <c r="N195" s="354"/>
      <c r="O195" s="354"/>
      <c r="P195" s="354"/>
      <c r="Q195" s="354"/>
      <c r="R195" s="354"/>
      <c r="S195" s="354"/>
      <c r="T195" s="354"/>
      <c r="U195" s="354"/>
      <c r="V195" s="354"/>
      <c r="W195" s="354"/>
      <c r="X195" s="354"/>
      <c r="Y195" s="354"/>
      <c r="Z195" s="354"/>
      <c r="AA195" s="354"/>
      <c r="AB195" s="354"/>
      <c r="AC195" s="354"/>
      <c r="AD195" s="354"/>
      <c r="AE195" s="354"/>
      <c r="AF195" s="354"/>
      <c r="AG195" s="354"/>
      <c r="AH195" s="354"/>
      <c r="AI195" s="354"/>
    </row>
    <row r="196" spans="2:35">
      <c r="B196" s="354"/>
      <c r="C196" s="354"/>
      <c r="D196" s="354"/>
      <c r="E196" s="354"/>
      <c r="F196" s="354"/>
      <c r="G196" s="354"/>
      <c r="H196" s="354"/>
      <c r="I196" s="354"/>
      <c r="J196" s="354"/>
      <c r="K196" s="354"/>
      <c r="L196" s="354"/>
      <c r="M196" s="354"/>
      <c r="N196" s="354"/>
      <c r="O196" s="354"/>
      <c r="P196" s="354"/>
      <c r="Q196" s="354"/>
      <c r="R196" s="354"/>
      <c r="S196" s="354"/>
      <c r="T196" s="354"/>
      <c r="U196" s="354"/>
      <c r="V196" s="354"/>
      <c r="W196" s="354"/>
      <c r="X196" s="354"/>
      <c r="Y196" s="354"/>
      <c r="Z196" s="354"/>
      <c r="AA196" s="354"/>
      <c r="AB196" s="354"/>
      <c r="AC196" s="354"/>
      <c r="AD196" s="354"/>
      <c r="AE196" s="354"/>
      <c r="AF196" s="354"/>
      <c r="AG196" s="354"/>
      <c r="AH196" s="354"/>
      <c r="AI196" s="354"/>
    </row>
    <row r="197" spans="2:35">
      <c r="B197" s="354"/>
      <c r="C197" s="354"/>
      <c r="D197" s="354"/>
      <c r="E197" s="354"/>
      <c r="F197" s="354"/>
      <c r="G197" s="354"/>
      <c r="H197" s="354"/>
      <c r="I197" s="354"/>
      <c r="J197" s="354"/>
      <c r="K197" s="354"/>
      <c r="L197" s="354"/>
      <c r="M197" s="354"/>
      <c r="N197" s="354"/>
      <c r="O197" s="354"/>
      <c r="P197" s="354"/>
      <c r="Q197" s="354"/>
      <c r="R197" s="354"/>
      <c r="S197" s="354"/>
      <c r="T197" s="354"/>
      <c r="U197" s="354"/>
      <c r="V197" s="354"/>
      <c r="W197" s="354"/>
      <c r="X197" s="354"/>
      <c r="Y197" s="354"/>
      <c r="Z197" s="354"/>
      <c r="AA197" s="354"/>
      <c r="AB197" s="354"/>
      <c r="AC197" s="354"/>
      <c r="AD197" s="354"/>
      <c r="AE197" s="354"/>
      <c r="AF197" s="354"/>
      <c r="AG197" s="354"/>
      <c r="AH197" s="354"/>
      <c r="AI197" s="354"/>
    </row>
    <row r="198" spans="2:35">
      <c r="B198" s="354"/>
      <c r="C198" s="354"/>
      <c r="D198" s="354"/>
      <c r="E198" s="354"/>
      <c r="F198" s="354"/>
      <c r="G198" s="354"/>
      <c r="H198" s="354"/>
      <c r="I198" s="354"/>
      <c r="J198" s="354"/>
      <c r="K198" s="354"/>
      <c r="L198" s="354"/>
      <c r="M198" s="354"/>
      <c r="N198" s="354"/>
      <c r="O198" s="354"/>
      <c r="P198" s="354"/>
      <c r="Q198" s="354"/>
      <c r="R198" s="354"/>
      <c r="S198" s="354"/>
      <c r="T198" s="354"/>
      <c r="U198" s="354"/>
      <c r="V198" s="354"/>
      <c r="W198" s="354"/>
      <c r="X198" s="354"/>
      <c r="Y198" s="354"/>
      <c r="Z198" s="354"/>
      <c r="AA198" s="354"/>
      <c r="AB198" s="354"/>
      <c r="AC198" s="354"/>
      <c r="AD198" s="354"/>
      <c r="AE198" s="354"/>
      <c r="AF198" s="354"/>
      <c r="AG198" s="354"/>
      <c r="AH198" s="354"/>
      <c r="AI198" s="354"/>
    </row>
    <row r="199" spans="2:35">
      <c r="B199" s="354"/>
      <c r="C199" s="354"/>
      <c r="D199" s="354"/>
      <c r="E199" s="354"/>
      <c r="F199" s="354"/>
      <c r="G199" s="354"/>
      <c r="H199" s="354"/>
      <c r="I199" s="354"/>
      <c r="J199" s="354"/>
      <c r="K199" s="354"/>
      <c r="L199" s="354"/>
      <c r="M199" s="354"/>
      <c r="N199" s="354"/>
      <c r="O199" s="354"/>
      <c r="P199" s="354"/>
      <c r="Q199" s="354"/>
      <c r="R199" s="354"/>
      <c r="S199" s="354"/>
      <c r="T199" s="354"/>
      <c r="U199" s="354"/>
      <c r="V199" s="354"/>
      <c r="W199" s="354"/>
      <c r="X199" s="354"/>
      <c r="Y199" s="354"/>
      <c r="Z199" s="354"/>
      <c r="AA199" s="354"/>
      <c r="AB199" s="354"/>
      <c r="AC199" s="354"/>
      <c r="AD199" s="354"/>
      <c r="AE199" s="354"/>
      <c r="AF199" s="354"/>
      <c r="AG199" s="354"/>
      <c r="AH199" s="354"/>
      <c r="AI199" s="354"/>
    </row>
    <row r="200" spans="2:35">
      <c r="B200" s="354"/>
      <c r="C200" s="354"/>
      <c r="D200" s="354"/>
      <c r="E200" s="354"/>
      <c r="F200" s="354"/>
      <c r="G200" s="354"/>
      <c r="H200" s="354"/>
      <c r="I200" s="354"/>
      <c r="J200" s="354"/>
      <c r="K200" s="354"/>
      <c r="L200" s="354"/>
      <c r="M200" s="354"/>
      <c r="N200" s="354"/>
      <c r="O200" s="354"/>
      <c r="P200" s="354"/>
      <c r="Q200" s="354"/>
      <c r="R200" s="354"/>
      <c r="S200" s="354"/>
      <c r="T200" s="354"/>
      <c r="U200" s="354"/>
      <c r="V200" s="354"/>
      <c r="W200" s="354"/>
      <c r="X200" s="354"/>
      <c r="Y200" s="354"/>
      <c r="Z200" s="354"/>
      <c r="AA200" s="354"/>
      <c r="AB200" s="354"/>
      <c r="AC200" s="354"/>
      <c r="AD200" s="354"/>
      <c r="AE200" s="354"/>
      <c r="AF200" s="354"/>
      <c r="AG200" s="354"/>
      <c r="AH200" s="354"/>
      <c r="AI200" s="354"/>
    </row>
    <row r="201" spans="2:35">
      <c r="B201" s="354"/>
      <c r="C201" s="354"/>
      <c r="D201" s="354"/>
      <c r="E201" s="354"/>
      <c r="F201" s="354"/>
      <c r="G201" s="354"/>
      <c r="H201" s="354"/>
      <c r="I201" s="354"/>
      <c r="J201" s="354"/>
      <c r="K201" s="354"/>
      <c r="L201" s="354"/>
      <c r="M201" s="354"/>
      <c r="N201" s="354"/>
      <c r="O201" s="354"/>
      <c r="P201" s="354"/>
      <c r="Q201" s="354"/>
      <c r="R201" s="354"/>
      <c r="S201" s="354"/>
      <c r="T201" s="354"/>
      <c r="U201" s="354"/>
      <c r="V201" s="354"/>
      <c r="W201" s="354"/>
      <c r="X201" s="354"/>
      <c r="Y201" s="354"/>
      <c r="Z201" s="354"/>
      <c r="AA201" s="354"/>
      <c r="AB201" s="354"/>
      <c r="AC201" s="354"/>
      <c r="AD201" s="354"/>
      <c r="AE201" s="354"/>
      <c r="AF201" s="354"/>
      <c r="AG201" s="354"/>
      <c r="AH201" s="354"/>
      <c r="AI201" s="354"/>
    </row>
    <row r="202" spans="2:35">
      <c r="B202" s="354"/>
      <c r="C202" s="354"/>
      <c r="D202" s="354"/>
      <c r="E202" s="354"/>
      <c r="F202" s="354"/>
      <c r="G202" s="354"/>
      <c r="H202" s="354"/>
      <c r="I202" s="354"/>
      <c r="J202" s="354"/>
      <c r="K202" s="354"/>
      <c r="L202" s="354"/>
      <c r="M202" s="354"/>
      <c r="N202" s="354"/>
      <c r="O202" s="354"/>
      <c r="P202" s="354"/>
      <c r="Q202" s="354"/>
      <c r="R202" s="354"/>
      <c r="S202" s="354"/>
      <c r="T202" s="354"/>
      <c r="U202" s="354"/>
      <c r="V202" s="354"/>
      <c r="W202" s="354"/>
      <c r="X202" s="354"/>
      <c r="Y202" s="354"/>
      <c r="Z202" s="354"/>
      <c r="AA202" s="354"/>
      <c r="AB202" s="354"/>
      <c r="AC202" s="354"/>
      <c r="AD202" s="354"/>
      <c r="AE202" s="354"/>
      <c r="AF202" s="354"/>
      <c r="AG202" s="354"/>
      <c r="AH202" s="354"/>
      <c r="AI202" s="354"/>
    </row>
    <row r="203" spans="2:35">
      <c r="B203" s="354"/>
      <c r="C203" s="354"/>
      <c r="D203" s="354"/>
      <c r="E203" s="354"/>
      <c r="F203" s="354"/>
      <c r="G203" s="354"/>
      <c r="H203" s="354"/>
      <c r="I203" s="354"/>
      <c r="J203" s="354"/>
      <c r="K203" s="354"/>
      <c r="L203" s="354"/>
      <c r="M203" s="354"/>
      <c r="N203" s="354"/>
      <c r="O203" s="354"/>
      <c r="P203" s="354"/>
      <c r="Q203" s="354"/>
      <c r="R203" s="354"/>
      <c r="S203" s="354"/>
      <c r="T203" s="354"/>
      <c r="U203" s="354"/>
      <c r="V203" s="354"/>
      <c r="W203" s="354"/>
      <c r="X203" s="354"/>
      <c r="Y203" s="354"/>
      <c r="Z203" s="354"/>
      <c r="AA203" s="354"/>
      <c r="AB203" s="354"/>
      <c r="AC203" s="354"/>
      <c r="AD203" s="354"/>
      <c r="AE203" s="354"/>
      <c r="AF203" s="354"/>
      <c r="AG203" s="354"/>
      <c r="AH203" s="354"/>
      <c r="AI203" s="354"/>
    </row>
    <row r="204" spans="2:35">
      <c r="B204" s="354"/>
      <c r="C204" s="354"/>
      <c r="D204" s="354"/>
      <c r="E204" s="354"/>
      <c r="F204" s="354"/>
      <c r="G204" s="354"/>
      <c r="H204" s="354"/>
      <c r="I204" s="354"/>
      <c r="J204" s="354"/>
      <c r="K204" s="354"/>
      <c r="L204" s="354"/>
      <c r="M204" s="354"/>
      <c r="N204" s="354"/>
      <c r="O204" s="354"/>
      <c r="P204" s="354"/>
      <c r="Q204" s="354"/>
      <c r="R204" s="354"/>
      <c r="S204" s="354"/>
      <c r="T204" s="354"/>
      <c r="U204" s="354"/>
      <c r="V204" s="354"/>
      <c r="W204" s="354"/>
      <c r="X204" s="354"/>
      <c r="Y204" s="354"/>
      <c r="Z204" s="354"/>
      <c r="AA204" s="354"/>
      <c r="AB204" s="354"/>
      <c r="AC204" s="354"/>
      <c r="AD204" s="354"/>
      <c r="AE204" s="354"/>
      <c r="AF204" s="354"/>
      <c r="AG204" s="354"/>
      <c r="AH204" s="354"/>
      <c r="AI204" s="354"/>
    </row>
    <row r="205" spans="2:35">
      <c r="B205" s="354"/>
      <c r="C205" s="354"/>
      <c r="D205" s="354"/>
      <c r="E205" s="354"/>
      <c r="F205" s="354"/>
      <c r="G205" s="354"/>
      <c r="H205" s="354"/>
      <c r="I205" s="354"/>
      <c r="J205" s="354"/>
      <c r="K205" s="354"/>
      <c r="L205" s="354"/>
      <c r="M205" s="354"/>
      <c r="N205" s="354"/>
      <c r="O205" s="354"/>
      <c r="P205" s="354"/>
      <c r="Q205" s="354"/>
      <c r="R205" s="354"/>
      <c r="S205" s="354"/>
      <c r="T205" s="354"/>
      <c r="U205" s="354"/>
      <c r="V205" s="354"/>
      <c r="W205" s="354"/>
      <c r="X205" s="354"/>
      <c r="Y205" s="354"/>
      <c r="Z205" s="354"/>
      <c r="AA205" s="354"/>
      <c r="AB205" s="354"/>
      <c r="AC205" s="354"/>
      <c r="AD205" s="354"/>
      <c r="AE205" s="354"/>
      <c r="AF205" s="354"/>
      <c r="AG205" s="354"/>
      <c r="AH205" s="354"/>
      <c r="AI205" s="354"/>
    </row>
    <row r="206" spans="2:35">
      <c r="B206" s="354"/>
      <c r="C206" s="354"/>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c r="AA206" s="354"/>
      <c r="AB206" s="354"/>
      <c r="AC206" s="354"/>
      <c r="AD206" s="354"/>
      <c r="AE206" s="354"/>
      <c r="AF206" s="354"/>
      <c r="AG206" s="354"/>
      <c r="AH206" s="354"/>
      <c r="AI206" s="354"/>
    </row>
    <row r="207" spans="2:35">
      <c r="B207" s="354"/>
      <c r="C207" s="354"/>
      <c r="D207" s="354"/>
      <c r="E207" s="354"/>
      <c r="F207" s="354"/>
      <c r="G207" s="354"/>
      <c r="H207" s="354"/>
      <c r="I207" s="354"/>
      <c r="J207" s="354"/>
      <c r="K207" s="354"/>
      <c r="L207" s="354"/>
      <c r="M207" s="354"/>
      <c r="N207" s="354"/>
      <c r="O207" s="354"/>
      <c r="P207" s="354"/>
      <c r="Q207" s="354"/>
      <c r="R207" s="354"/>
      <c r="S207" s="354"/>
      <c r="T207" s="354"/>
      <c r="U207" s="354"/>
      <c r="V207" s="354"/>
      <c r="W207" s="354"/>
      <c r="X207" s="354"/>
      <c r="Y207" s="354"/>
      <c r="Z207" s="354"/>
      <c r="AA207" s="354"/>
      <c r="AB207" s="354"/>
      <c r="AC207" s="354"/>
      <c r="AD207" s="354"/>
      <c r="AE207" s="354"/>
      <c r="AF207" s="354"/>
      <c r="AG207" s="354"/>
      <c r="AH207" s="354"/>
      <c r="AI207" s="354"/>
    </row>
    <row r="208" spans="2:35">
      <c r="B208" s="354"/>
      <c r="C208" s="354"/>
      <c r="D208" s="354"/>
      <c r="E208" s="354"/>
      <c r="F208" s="354"/>
      <c r="G208" s="354"/>
      <c r="H208" s="354"/>
      <c r="I208" s="354"/>
      <c r="J208" s="354"/>
      <c r="K208" s="354"/>
      <c r="L208" s="354"/>
      <c r="M208" s="354"/>
      <c r="N208" s="354"/>
      <c r="O208" s="354"/>
      <c r="P208" s="354"/>
      <c r="Q208" s="354"/>
      <c r="R208" s="354"/>
      <c r="S208" s="354"/>
      <c r="T208" s="354"/>
      <c r="U208" s="354"/>
      <c r="V208" s="354"/>
      <c r="W208" s="354"/>
      <c r="X208" s="354"/>
      <c r="Y208" s="354"/>
      <c r="Z208" s="354"/>
      <c r="AA208" s="354"/>
      <c r="AB208" s="354"/>
      <c r="AC208" s="354"/>
      <c r="AD208" s="354"/>
      <c r="AE208" s="354"/>
      <c r="AF208" s="354"/>
      <c r="AG208" s="354"/>
      <c r="AH208" s="354"/>
      <c r="AI208" s="354"/>
    </row>
    <row r="209" spans="2:35">
      <c r="B209" s="354"/>
      <c r="C209" s="354"/>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row>
    <row r="210" spans="2:35">
      <c r="B210" s="354"/>
      <c r="C210" s="354"/>
      <c r="D210" s="354"/>
      <c r="E210" s="354"/>
      <c r="F210" s="354"/>
      <c r="G210" s="354"/>
      <c r="H210" s="354"/>
      <c r="I210" s="354"/>
      <c r="J210" s="354"/>
      <c r="K210" s="354"/>
      <c r="L210" s="354"/>
      <c r="M210" s="354"/>
      <c r="N210" s="354"/>
      <c r="O210" s="354"/>
      <c r="P210" s="354"/>
      <c r="Q210" s="354"/>
      <c r="R210" s="354"/>
      <c r="S210" s="354"/>
      <c r="T210" s="354"/>
      <c r="U210" s="354"/>
      <c r="V210" s="354"/>
      <c r="W210" s="354"/>
      <c r="X210" s="354"/>
      <c r="Y210" s="354"/>
      <c r="Z210" s="354"/>
      <c r="AA210" s="354"/>
      <c r="AB210" s="354"/>
      <c r="AC210" s="354"/>
      <c r="AD210" s="354"/>
      <c r="AE210" s="354"/>
      <c r="AF210" s="354"/>
      <c r="AG210" s="354"/>
      <c r="AH210" s="354"/>
      <c r="AI210" s="354"/>
    </row>
    <row r="211" spans="2:35">
      <c r="B211" s="354"/>
      <c r="C211" s="354"/>
      <c r="D211" s="354"/>
      <c r="E211" s="354"/>
      <c r="F211" s="354"/>
      <c r="G211" s="354"/>
      <c r="H211" s="354"/>
      <c r="I211" s="354"/>
      <c r="J211" s="354"/>
      <c r="K211" s="354"/>
      <c r="L211" s="354"/>
      <c r="M211" s="354"/>
      <c r="N211" s="354"/>
      <c r="O211" s="354"/>
      <c r="P211" s="354"/>
      <c r="Q211" s="354"/>
      <c r="R211" s="354"/>
      <c r="S211" s="354"/>
      <c r="T211" s="354"/>
      <c r="U211" s="354"/>
      <c r="V211" s="354"/>
      <c r="W211" s="354"/>
      <c r="X211" s="354"/>
      <c r="Y211" s="354"/>
      <c r="Z211" s="354"/>
      <c r="AA211" s="354"/>
      <c r="AB211" s="354"/>
      <c r="AC211" s="354"/>
      <c r="AD211" s="354"/>
      <c r="AE211" s="354"/>
      <c r="AF211" s="354"/>
      <c r="AG211" s="354"/>
      <c r="AH211" s="354"/>
      <c r="AI211" s="354"/>
    </row>
    <row r="212" spans="2:35">
      <c r="B212" s="354"/>
      <c r="C212" s="354"/>
      <c r="D212" s="354"/>
      <c r="E212" s="354"/>
      <c r="F212" s="354"/>
      <c r="G212" s="354"/>
      <c r="H212" s="354"/>
      <c r="I212" s="354"/>
      <c r="J212" s="354"/>
      <c r="K212" s="354"/>
      <c r="L212" s="354"/>
      <c r="M212" s="354"/>
      <c r="N212" s="354"/>
      <c r="O212" s="354"/>
      <c r="P212" s="354"/>
      <c r="Q212" s="354"/>
      <c r="R212" s="354"/>
      <c r="S212" s="354"/>
      <c r="T212" s="354"/>
      <c r="U212" s="354"/>
      <c r="V212" s="354"/>
      <c r="W212" s="354"/>
      <c r="X212" s="354"/>
      <c r="Y212" s="354"/>
      <c r="Z212" s="354"/>
      <c r="AA212" s="354"/>
      <c r="AB212" s="354"/>
      <c r="AC212" s="354"/>
      <c r="AD212" s="354"/>
      <c r="AE212" s="354"/>
      <c r="AF212" s="354"/>
      <c r="AG212" s="354"/>
      <c r="AH212" s="354"/>
      <c r="AI212" s="354"/>
    </row>
    <row r="213" spans="2:35">
      <c r="B213" s="354"/>
      <c r="C213" s="354"/>
      <c r="D213" s="354"/>
      <c r="E213" s="354"/>
      <c r="F213" s="354"/>
      <c r="G213" s="354"/>
      <c r="H213" s="354"/>
      <c r="I213" s="354"/>
      <c r="J213" s="354"/>
      <c r="K213" s="354"/>
      <c r="L213" s="354"/>
      <c r="M213" s="354"/>
      <c r="N213" s="354"/>
      <c r="O213" s="354"/>
      <c r="P213" s="354"/>
      <c r="Q213" s="354"/>
      <c r="R213" s="354"/>
      <c r="S213" s="354"/>
      <c r="T213" s="354"/>
      <c r="U213" s="354"/>
      <c r="V213" s="354"/>
      <c r="W213" s="354"/>
      <c r="X213" s="354"/>
      <c r="Y213" s="354"/>
      <c r="Z213" s="354"/>
      <c r="AA213" s="354"/>
      <c r="AB213" s="354"/>
      <c r="AC213" s="354"/>
      <c r="AD213" s="354"/>
      <c r="AE213" s="354"/>
      <c r="AF213" s="354"/>
      <c r="AG213" s="354"/>
      <c r="AH213" s="354"/>
      <c r="AI213" s="354"/>
    </row>
    <row r="214" spans="2:35">
      <c r="B214" s="354"/>
      <c r="C214" s="354"/>
      <c r="D214" s="354"/>
      <c r="E214" s="354"/>
      <c r="F214" s="354"/>
      <c r="G214" s="354"/>
      <c r="H214" s="354"/>
      <c r="I214" s="354"/>
      <c r="J214" s="354"/>
      <c r="K214" s="354"/>
      <c r="L214" s="354"/>
      <c r="M214" s="354"/>
      <c r="N214" s="354"/>
      <c r="O214" s="354"/>
      <c r="P214" s="354"/>
      <c r="Q214" s="354"/>
      <c r="R214" s="354"/>
      <c r="S214" s="354"/>
      <c r="T214" s="354"/>
      <c r="U214" s="354"/>
      <c r="V214" s="354"/>
      <c r="W214" s="354"/>
      <c r="X214" s="354"/>
      <c r="Y214" s="354"/>
      <c r="Z214" s="354"/>
      <c r="AA214" s="354"/>
      <c r="AB214" s="354"/>
      <c r="AC214" s="354"/>
      <c r="AD214" s="354"/>
      <c r="AE214" s="354"/>
      <c r="AF214" s="354"/>
      <c r="AG214" s="354"/>
      <c r="AH214" s="354"/>
      <c r="AI214" s="354"/>
    </row>
    <row r="215" spans="2:35">
      <c r="B215" s="354"/>
      <c r="C215" s="354"/>
      <c r="D215" s="354"/>
      <c r="E215" s="354"/>
      <c r="F215" s="354"/>
      <c r="G215" s="354"/>
      <c r="H215" s="354"/>
      <c r="I215" s="354"/>
      <c r="J215" s="354"/>
      <c r="K215" s="354"/>
      <c r="L215" s="354"/>
      <c r="M215" s="354"/>
      <c r="N215" s="354"/>
      <c r="O215" s="354"/>
      <c r="P215" s="354"/>
      <c r="Q215" s="354"/>
      <c r="R215" s="354"/>
      <c r="S215" s="354"/>
      <c r="T215" s="354"/>
      <c r="U215" s="354"/>
      <c r="V215" s="354"/>
      <c r="W215" s="354"/>
      <c r="X215" s="354"/>
      <c r="Y215" s="354"/>
      <c r="Z215" s="354"/>
      <c r="AA215" s="354"/>
      <c r="AB215" s="354"/>
      <c r="AC215" s="354"/>
      <c r="AD215" s="354"/>
      <c r="AE215" s="354"/>
      <c r="AF215" s="354"/>
      <c r="AG215" s="354"/>
      <c r="AH215" s="354"/>
      <c r="AI215" s="354"/>
    </row>
    <row r="216" spans="2:35">
      <c r="B216" s="354"/>
      <c r="C216" s="354"/>
      <c r="D216" s="354"/>
      <c r="E216" s="354"/>
      <c r="F216" s="354"/>
      <c r="G216" s="354"/>
      <c r="H216" s="354"/>
      <c r="I216" s="354"/>
      <c r="J216" s="354"/>
      <c r="K216" s="354"/>
      <c r="L216" s="354"/>
      <c r="M216" s="354"/>
      <c r="N216" s="354"/>
      <c r="O216" s="354"/>
      <c r="P216" s="354"/>
      <c r="Q216" s="354"/>
      <c r="R216" s="354"/>
      <c r="S216" s="354"/>
      <c r="T216" s="354"/>
      <c r="U216" s="354"/>
      <c r="V216" s="354"/>
      <c r="W216" s="354"/>
      <c r="X216" s="354"/>
      <c r="Y216" s="354"/>
      <c r="Z216" s="354"/>
      <c r="AA216" s="354"/>
      <c r="AB216" s="354"/>
      <c r="AC216" s="354"/>
      <c r="AD216" s="354"/>
      <c r="AE216" s="354"/>
      <c r="AF216" s="354"/>
      <c r="AG216" s="354"/>
      <c r="AH216" s="354"/>
      <c r="AI216" s="354"/>
    </row>
    <row r="217" spans="2:35">
      <c r="B217" s="354"/>
      <c r="C217" s="354"/>
      <c r="D217" s="354"/>
      <c r="E217" s="354"/>
      <c r="F217" s="354"/>
      <c r="G217" s="354"/>
      <c r="H217" s="354"/>
      <c r="I217" s="354"/>
      <c r="J217" s="354"/>
      <c r="K217" s="354"/>
      <c r="L217" s="354"/>
      <c r="M217" s="354"/>
      <c r="N217" s="354"/>
      <c r="O217" s="354"/>
      <c r="P217" s="354"/>
      <c r="Q217" s="354"/>
      <c r="R217" s="354"/>
      <c r="S217" s="354"/>
      <c r="T217" s="354"/>
      <c r="U217" s="354"/>
      <c r="V217" s="354"/>
      <c r="W217" s="354"/>
      <c r="X217" s="354"/>
      <c r="Y217" s="354"/>
      <c r="Z217" s="354"/>
      <c r="AA217" s="354"/>
      <c r="AB217" s="354"/>
      <c r="AC217" s="354"/>
      <c r="AD217" s="354"/>
      <c r="AE217" s="354"/>
      <c r="AF217" s="354"/>
      <c r="AG217" s="354"/>
      <c r="AH217" s="354"/>
      <c r="AI217" s="354"/>
    </row>
    <row r="218" spans="2:35">
      <c r="B218" s="354"/>
      <c r="C218" s="354"/>
      <c r="D218" s="354"/>
      <c r="E218" s="354"/>
      <c r="F218" s="354"/>
      <c r="G218" s="354"/>
      <c r="H218" s="354"/>
      <c r="I218" s="354"/>
      <c r="J218" s="354"/>
      <c r="K218" s="354"/>
      <c r="L218" s="354"/>
      <c r="M218" s="354"/>
      <c r="N218" s="354"/>
      <c r="O218" s="354"/>
      <c r="P218" s="354"/>
      <c r="Q218" s="354"/>
      <c r="R218" s="354"/>
      <c r="S218" s="354"/>
      <c r="T218" s="354"/>
      <c r="U218" s="354"/>
      <c r="V218" s="354"/>
      <c r="W218" s="354"/>
      <c r="X218" s="354"/>
      <c r="Y218" s="354"/>
      <c r="Z218" s="354"/>
      <c r="AA218" s="354"/>
      <c r="AB218" s="354"/>
      <c r="AC218" s="354"/>
      <c r="AD218" s="354"/>
      <c r="AE218" s="354"/>
      <c r="AF218" s="354"/>
      <c r="AG218" s="354"/>
      <c r="AH218" s="354"/>
      <c r="AI218" s="354"/>
    </row>
    <row r="219" spans="2:35">
      <c r="B219" s="354"/>
      <c r="C219" s="354"/>
      <c r="D219" s="354"/>
      <c r="E219" s="354"/>
      <c r="F219" s="354"/>
      <c r="G219" s="354"/>
      <c r="H219" s="354"/>
      <c r="I219" s="354"/>
      <c r="J219" s="354"/>
      <c r="K219" s="354"/>
      <c r="L219" s="354"/>
      <c r="M219" s="354"/>
      <c r="N219" s="354"/>
      <c r="O219" s="354"/>
      <c r="P219" s="354"/>
      <c r="Q219" s="354"/>
      <c r="R219" s="354"/>
      <c r="S219" s="354"/>
      <c r="T219" s="354"/>
      <c r="U219" s="354"/>
      <c r="V219" s="354"/>
      <c r="W219" s="354"/>
      <c r="X219" s="354"/>
      <c r="Y219" s="354"/>
      <c r="Z219" s="354"/>
      <c r="AA219" s="354"/>
      <c r="AB219" s="354"/>
      <c r="AC219" s="354"/>
      <c r="AD219" s="354"/>
      <c r="AE219" s="354"/>
      <c r="AF219" s="354"/>
      <c r="AG219" s="354"/>
      <c r="AH219" s="354"/>
      <c r="AI219" s="354"/>
    </row>
    <row r="220" spans="2:35">
      <c r="B220" s="354"/>
      <c r="C220" s="354"/>
      <c r="D220" s="354"/>
      <c r="E220" s="354"/>
      <c r="F220" s="354"/>
      <c r="G220" s="354"/>
      <c r="H220" s="354"/>
      <c r="I220" s="354"/>
      <c r="J220" s="354"/>
      <c r="K220" s="354"/>
      <c r="L220" s="354"/>
      <c r="M220" s="354"/>
      <c r="N220" s="354"/>
      <c r="O220" s="354"/>
      <c r="P220" s="354"/>
      <c r="Q220" s="354"/>
      <c r="R220" s="354"/>
      <c r="S220" s="354"/>
      <c r="T220" s="354"/>
      <c r="U220" s="354"/>
      <c r="V220" s="354"/>
      <c r="W220" s="354"/>
      <c r="X220" s="354"/>
      <c r="Y220" s="354"/>
      <c r="Z220" s="354"/>
      <c r="AA220" s="354"/>
      <c r="AB220" s="354"/>
      <c r="AC220" s="354"/>
      <c r="AD220" s="354"/>
      <c r="AE220" s="354"/>
      <c r="AF220" s="354"/>
      <c r="AG220" s="354"/>
      <c r="AH220" s="354"/>
      <c r="AI220" s="354"/>
    </row>
    <row r="221" spans="2:35">
      <c r="B221" s="354"/>
      <c r="C221" s="354"/>
      <c r="D221" s="354"/>
      <c r="E221" s="354"/>
      <c r="F221" s="354"/>
      <c r="G221" s="354"/>
      <c r="H221" s="354"/>
      <c r="I221" s="354"/>
      <c r="J221" s="354"/>
      <c r="K221" s="354"/>
      <c r="L221" s="354"/>
      <c r="M221" s="354"/>
      <c r="N221" s="354"/>
      <c r="O221" s="354"/>
      <c r="P221" s="354"/>
      <c r="Q221" s="354"/>
      <c r="R221" s="354"/>
      <c r="S221" s="354"/>
      <c r="T221" s="354"/>
      <c r="U221" s="354"/>
      <c r="V221" s="354"/>
      <c r="W221" s="354"/>
      <c r="X221" s="354"/>
      <c r="Y221" s="354"/>
      <c r="Z221" s="354"/>
      <c r="AA221" s="354"/>
      <c r="AB221" s="354"/>
      <c r="AC221" s="354"/>
      <c r="AD221" s="354"/>
      <c r="AE221" s="354"/>
      <c r="AF221" s="354"/>
      <c r="AG221" s="354"/>
      <c r="AH221" s="354"/>
      <c r="AI221" s="354"/>
    </row>
    <row r="222" spans="2:35">
      <c r="B222" s="354"/>
      <c r="C222" s="354"/>
      <c r="D222" s="354"/>
      <c r="E222" s="354"/>
      <c r="F222" s="354"/>
      <c r="G222" s="354"/>
      <c r="H222" s="354"/>
      <c r="I222" s="354"/>
      <c r="J222" s="354"/>
      <c r="K222" s="354"/>
      <c r="L222" s="354"/>
      <c r="M222" s="354"/>
      <c r="N222" s="354"/>
      <c r="O222" s="354"/>
      <c r="P222" s="354"/>
      <c r="Q222" s="354"/>
      <c r="R222" s="354"/>
      <c r="S222" s="354"/>
      <c r="T222" s="354"/>
      <c r="U222" s="354"/>
      <c r="V222" s="354"/>
      <c r="W222" s="354"/>
      <c r="X222" s="354"/>
      <c r="Y222" s="354"/>
      <c r="Z222" s="354"/>
      <c r="AA222" s="354"/>
      <c r="AB222" s="354"/>
      <c r="AC222" s="354"/>
      <c r="AD222" s="354"/>
      <c r="AE222" s="354"/>
      <c r="AF222" s="354"/>
      <c r="AG222" s="354"/>
      <c r="AH222" s="354"/>
      <c r="AI222" s="354"/>
    </row>
    <row r="223" spans="2:35">
      <c r="B223" s="354"/>
      <c r="C223" s="354"/>
      <c r="D223" s="354"/>
      <c r="E223" s="354"/>
      <c r="F223" s="354"/>
      <c r="G223" s="354"/>
      <c r="H223" s="354"/>
      <c r="I223" s="354"/>
      <c r="J223" s="354"/>
      <c r="K223" s="354"/>
      <c r="L223" s="354"/>
      <c r="M223" s="354"/>
      <c r="N223" s="354"/>
      <c r="O223" s="354"/>
      <c r="P223" s="354"/>
      <c r="Q223" s="354"/>
      <c r="R223" s="354"/>
      <c r="S223" s="354"/>
      <c r="T223" s="354"/>
      <c r="U223" s="354"/>
      <c r="V223" s="354"/>
      <c r="W223" s="354"/>
      <c r="X223" s="354"/>
      <c r="Y223" s="354"/>
      <c r="Z223" s="354"/>
      <c r="AA223" s="354"/>
      <c r="AB223" s="354"/>
      <c r="AC223" s="354"/>
      <c r="AD223" s="354"/>
      <c r="AE223" s="354"/>
      <c r="AF223" s="354"/>
      <c r="AG223" s="354"/>
      <c r="AH223" s="354"/>
      <c r="AI223" s="354"/>
    </row>
    <row r="224" spans="2:35">
      <c r="B224" s="354"/>
      <c r="C224" s="354"/>
      <c r="D224" s="354"/>
      <c r="E224" s="354"/>
      <c r="F224" s="354"/>
      <c r="G224" s="354"/>
      <c r="H224" s="354"/>
      <c r="I224" s="354"/>
      <c r="J224" s="354"/>
      <c r="K224" s="354"/>
      <c r="L224" s="354"/>
      <c r="M224" s="354"/>
      <c r="N224" s="354"/>
      <c r="O224" s="354"/>
      <c r="P224" s="354"/>
      <c r="Q224" s="354"/>
      <c r="R224" s="354"/>
      <c r="S224" s="354"/>
      <c r="T224" s="354"/>
      <c r="U224" s="354"/>
      <c r="V224" s="354"/>
      <c r="W224" s="354"/>
      <c r="X224" s="354"/>
      <c r="Y224" s="354"/>
      <c r="Z224" s="354"/>
      <c r="AA224" s="354"/>
      <c r="AB224" s="354"/>
      <c r="AC224" s="354"/>
      <c r="AD224" s="354"/>
      <c r="AE224" s="354"/>
      <c r="AF224" s="354"/>
      <c r="AG224" s="354"/>
      <c r="AH224" s="354"/>
      <c r="AI224" s="354"/>
    </row>
    <row r="225" spans="2:35">
      <c r="B225" s="354"/>
      <c r="C225" s="354"/>
      <c r="D225" s="354"/>
      <c r="E225" s="354"/>
      <c r="F225" s="354"/>
      <c r="G225" s="354"/>
      <c r="H225" s="354"/>
      <c r="I225" s="354"/>
      <c r="J225" s="354"/>
      <c r="K225" s="354"/>
      <c r="L225" s="354"/>
      <c r="M225" s="354"/>
      <c r="N225" s="354"/>
      <c r="O225" s="354"/>
      <c r="P225" s="354"/>
      <c r="Q225" s="354"/>
      <c r="R225" s="354"/>
      <c r="S225" s="354"/>
      <c r="T225" s="354"/>
      <c r="U225" s="354"/>
      <c r="V225" s="354"/>
      <c r="W225" s="354"/>
      <c r="X225" s="354"/>
      <c r="Y225" s="354"/>
      <c r="Z225" s="354"/>
      <c r="AA225" s="354"/>
      <c r="AB225" s="354"/>
      <c r="AC225" s="354"/>
      <c r="AD225" s="354"/>
      <c r="AE225" s="354"/>
      <c r="AF225" s="354"/>
      <c r="AG225" s="354"/>
      <c r="AH225" s="354"/>
      <c r="AI225" s="354"/>
    </row>
    <row r="226" spans="2:35">
      <c r="B226" s="354"/>
      <c r="C226" s="354"/>
      <c r="D226" s="354"/>
      <c r="E226" s="354"/>
      <c r="F226" s="354"/>
      <c r="G226" s="354"/>
      <c r="H226" s="354"/>
      <c r="I226" s="354"/>
      <c r="J226" s="354"/>
      <c r="K226" s="354"/>
      <c r="L226" s="354"/>
      <c r="M226" s="354"/>
      <c r="N226" s="354"/>
      <c r="O226" s="354"/>
      <c r="P226" s="354"/>
      <c r="Q226" s="354"/>
      <c r="R226" s="354"/>
      <c r="S226" s="354"/>
      <c r="T226" s="354"/>
      <c r="U226" s="354"/>
      <c r="V226" s="354"/>
      <c r="W226" s="354"/>
      <c r="X226" s="354"/>
      <c r="Y226" s="354"/>
      <c r="Z226" s="354"/>
      <c r="AA226" s="354"/>
      <c r="AB226" s="354"/>
      <c r="AC226" s="354"/>
      <c r="AD226" s="354"/>
      <c r="AE226" s="354"/>
      <c r="AF226" s="354"/>
      <c r="AG226" s="354"/>
      <c r="AH226" s="354"/>
      <c r="AI226" s="354"/>
    </row>
    <row r="227" spans="2:35">
      <c r="B227" s="354"/>
      <c r="C227" s="354"/>
      <c r="D227" s="354"/>
      <c r="E227" s="354"/>
      <c r="F227" s="354"/>
      <c r="G227" s="354"/>
      <c r="H227" s="354"/>
      <c r="I227" s="354"/>
      <c r="J227" s="354"/>
      <c r="K227" s="354"/>
      <c r="L227" s="354"/>
      <c r="M227" s="354"/>
      <c r="N227" s="354"/>
      <c r="O227" s="354"/>
      <c r="P227" s="354"/>
      <c r="Q227" s="354"/>
      <c r="R227" s="354"/>
      <c r="S227" s="354"/>
      <c r="T227" s="354"/>
      <c r="U227" s="354"/>
      <c r="V227" s="354"/>
      <c r="W227" s="354"/>
      <c r="X227" s="354"/>
      <c r="Y227" s="354"/>
      <c r="Z227" s="354"/>
      <c r="AA227" s="354"/>
      <c r="AB227" s="354"/>
      <c r="AC227" s="354"/>
      <c r="AD227" s="354"/>
      <c r="AE227" s="354"/>
      <c r="AF227" s="354"/>
      <c r="AG227" s="354"/>
      <c r="AH227" s="354"/>
      <c r="AI227" s="354"/>
    </row>
    <row r="228" spans="2:35">
      <c r="B228" s="354"/>
      <c r="C228" s="354"/>
      <c r="D228" s="354"/>
      <c r="E228" s="354"/>
      <c r="F228" s="354"/>
      <c r="G228" s="354"/>
      <c r="H228" s="354"/>
      <c r="I228" s="354"/>
      <c r="J228" s="354"/>
      <c r="K228" s="354"/>
      <c r="L228" s="354"/>
      <c r="M228" s="354"/>
      <c r="N228" s="354"/>
      <c r="O228" s="354"/>
      <c r="P228" s="354"/>
      <c r="Q228" s="354"/>
      <c r="R228" s="354"/>
      <c r="S228" s="354"/>
      <c r="T228" s="354"/>
      <c r="U228" s="354"/>
      <c r="V228" s="354"/>
      <c r="W228" s="354"/>
      <c r="X228" s="354"/>
      <c r="Y228" s="354"/>
      <c r="Z228" s="354"/>
      <c r="AA228" s="354"/>
      <c r="AB228" s="354"/>
      <c r="AC228" s="354"/>
      <c r="AD228" s="354"/>
      <c r="AE228" s="354"/>
      <c r="AF228" s="354"/>
      <c r="AG228" s="354"/>
      <c r="AH228" s="354"/>
      <c r="AI228" s="354"/>
    </row>
    <row r="229" spans="2:35">
      <c r="B229" s="354"/>
      <c r="C229" s="354"/>
      <c r="D229" s="354"/>
      <c r="E229" s="354"/>
      <c r="F229" s="354"/>
      <c r="G229" s="354"/>
      <c r="H229" s="354"/>
      <c r="I229" s="354"/>
      <c r="J229" s="354"/>
      <c r="K229" s="354"/>
      <c r="L229" s="354"/>
      <c r="M229" s="354"/>
      <c r="N229" s="354"/>
      <c r="O229" s="354"/>
      <c r="P229" s="354"/>
      <c r="Q229" s="354"/>
      <c r="R229" s="354"/>
      <c r="S229" s="354"/>
      <c r="T229" s="354"/>
      <c r="U229" s="354"/>
      <c r="V229" s="354"/>
      <c r="W229" s="354"/>
      <c r="X229" s="354"/>
      <c r="Y229" s="354"/>
      <c r="Z229" s="354"/>
      <c r="AA229" s="354"/>
      <c r="AB229" s="354"/>
      <c r="AC229" s="354"/>
      <c r="AD229" s="354"/>
      <c r="AE229" s="354"/>
      <c r="AF229" s="354"/>
      <c r="AG229" s="354"/>
      <c r="AH229" s="354"/>
      <c r="AI229" s="354"/>
    </row>
    <row r="230" spans="2:35">
      <c r="B230" s="354"/>
      <c r="C230" s="354"/>
      <c r="D230" s="354"/>
      <c r="E230" s="354"/>
      <c r="F230" s="354"/>
      <c r="G230" s="354"/>
      <c r="H230" s="354"/>
      <c r="I230" s="354"/>
      <c r="J230" s="354"/>
      <c r="K230" s="354"/>
      <c r="L230" s="354"/>
      <c r="M230" s="354"/>
      <c r="N230" s="354"/>
      <c r="O230" s="354"/>
      <c r="P230" s="354"/>
      <c r="Q230" s="354"/>
      <c r="R230" s="354"/>
      <c r="S230" s="354"/>
      <c r="T230" s="354"/>
      <c r="U230" s="354"/>
      <c r="V230" s="354"/>
      <c r="W230" s="354"/>
      <c r="X230" s="354"/>
      <c r="Y230" s="354"/>
      <c r="Z230" s="354"/>
      <c r="AA230" s="354"/>
      <c r="AB230" s="354"/>
      <c r="AC230" s="354"/>
      <c r="AD230" s="354"/>
      <c r="AE230" s="354"/>
      <c r="AF230" s="354"/>
      <c r="AG230" s="354"/>
      <c r="AH230" s="354"/>
      <c r="AI230" s="354"/>
    </row>
    <row r="231" spans="2:35">
      <c r="B231" s="354"/>
      <c r="C231" s="354"/>
      <c r="D231" s="354"/>
      <c r="E231" s="354"/>
      <c r="F231" s="354"/>
      <c r="G231" s="354"/>
      <c r="H231" s="354"/>
      <c r="I231" s="354"/>
      <c r="J231" s="354"/>
      <c r="K231" s="354"/>
      <c r="L231" s="354"/>
      <c r="M231" s="354"/>
      <c r="N231" s="354"/>
      <c r="O231" s="354"/>
      <c r="P231" s="354"/>
      <c r="Q231" s="354"/>
      <c r="R231" s="354"/>
      <c r="S231" s="354"/>
      <c r="T231" s="354"/>
      <c r="U231" s="354"/>
      <c r="V231" s="354"/>
      <c r="W231" s="354"/>
      <c r="X231" s="354"/>
      <c r="Y231" s="354"/>
      <c r="Z231" s="354"/>
      <c r="AA231" s="354"/>
      <c r="AB231" s="354"/>
      <c r="AC231" s="354"/>
      <c r="AD231" s="354"/>
      <c r="AE231" s="354"/>
      <c r="AF231" s="354"/>
      <c r="AG231" s="354"/>
      <c r="AH231" s="354"/>
      <c r="AI231" s="354"/>
    </row>
    <row r="232" spans="2:35">
      <c r="B232" s="354"/>
      <c r="C232" s="354"/>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c r="AA232" s="354"/>
      <c r="AB232" s="354"/>
      <c r="AC232" s="354"/>
      <c r="AD232" s="354"/>
      <c r="AE232" s="354"/>
      <c r="AF232" s="354"/>
      <c r="AG232" s="354"/>
      <c r="AH232" s="354"/>
      <c r="AI232" s="354"/>
    </row>
    <row r="233" spans="2:35">
      <c r="B233" s="354"/>
      <c r="C233" s="354"/>
      <c r="D233" s="354"/>
      <c r="E233" s="354"/>
      <c r="F233" s="354"/>
      <c r="G233" s="354"/>
      <c r="H233" s="354"/>
      <c r="I233" s="354"/>
      <c r="J233" s="354"/>
      <c r="K233" s="354"/>
      <c r="L233" s="354"/>
      <c r="M233" s="354"/>
      <c r="N233" s="354"/>
      <c r="O233" s="354"/>
      <c r="P233" s="354"/>
      <c r="Q233" s="354"/>
      <c r="R233" s="354"/>
      <c r="S233" s="354"/>
      <c r="T233" s="354"/>
      <c r="U233" s="354"/>
      <c r="V233" s="354"/>
      <c r="W233" s="354"/>
      <c r="X233" s="354"/>
      <c r="Y233" s="354"/>
      <c r="Z233" s="354"/>
      <c r="AA233" s="354"/>
      <c r="AB233" s="354"/>
      <c r="AC233" s="354"/>
      <c r="AD233" s="354"/>
      <c r="AE233" s="354"/>
      <c r="AF233" s="354"/>
      <c r="AG233" s="354"/>
      <c r="AH233" s="354"/>
      <c r="AI233" s="354"/>
    </row>
    <row r="234" spans="2:35">
      <c r="B234" s="354"/>
      <c r="C234" s="354"/>
      <c r="D234" s="354"/>
      <c r="E234" s="354"/>
      <c r="F234" s="354"/>
      <c r="G234" s="354"/>
      <c r="H234" s="354"/>
      <c r="I234" s="354"/>
      <c r="J234" s="354"/>
      <c r="K234" s="354"/>
      <c r="L234" s="354"/>
      <c r="M234" s="354"/>
      <c r="N234" s="354"/>
      <c r="O234" s="354"/>
      <c r="P234" s="354"/>
      <c r="Q234" s="354"/>
      <c r="R234" s="354"/>
      <c r="S234" s="354"/>
      <c r="T234" s="354"/>
      <c r="U234" s="354"/>
      <c r="V234" s="354"/>
      <c r="W234" s="354"/>
      <c r="X234" s="354"/>
      <c r="Y234" s="354"/>
      <c r="Z234" s="354"/>
      <c r="AA234" s="354"/>
      <c r="AB234" s="354"/>
      <c r="AC234" s="354"/>
      <c r="AD234" s="354"/>
      <c r="AE234" s="354"/>
      <c r="AF234" s="354"/>
      <c r="AG234" s="354"/>
      <c r="AH234" s="354"/>
      <c r="AI234" s="354"/>
    </row>
    <row r="235" spans="2:35">
      <c r="B235" s="354"/>
      <c r="C235" s="354"/>
      <c r="D235" s="354"/>
      <c r="E235" s="354"/>
      <c r="F235" s="354"/>
      <c r="G235" s="354"/>
      <c r="H235" s="354"/>
      <c r="I235" s="354"/>
      <c r="J235" s="354"/>
      <c r="K235" s="354"/>
      <c r="L235" s="354"/>
      <c r="M235" s="354"/>
      <c r="N235" s="354"/>
      <c r="O235" s="354"/>
      <c r="P235" s="354"/>
      <c r="Q235" s="354"/>
      <c r="R235" s="354"/>
      <c r="S235" s="354"/>
      <c r="T235" s="354"/>
      <c r="U235" s="354"/>
      <c r="V235" s="354"/>
      <c r="W235" s="354"/>
      <c r="X235" s="354"/>
      <c r="Y235" s="354"/>
      <c r="Z235" s="354"/>
      <c r="AA235" s="354"/>
      <c r="AB235" s="354"/>
      <c r="AC235" s="354"/>
      <c r="AD235" s="354"/>
      <c r="AE235" s="354"/>
      <c r="AF235" s="354"/>
      <c r="AG235" s="354"/>
      <c r="AH235" s="354"/>
      <c r="AI235" s="354"/>
    </row>
    <row r="236" spans="2:35">
      <c r="B236" s="354"/>
      <c r="C236" s="354"/>
      <c r="D236" s="354"/>
      <c r="E236" s="354"/>
      <c r="F236" s="354"/>
      <c r="G236" s="354"/>
      <c r="H236" s="354"/>
      <c r="I236" s="354"/>
      <c r="J236" s="354"/>
      <c r="K236" s="354"/>
      <c r="L236" s="354"/>
      <c r="M236" s="354"/>
      <c r="N236" s="354"/>
      <c r="O236" s="354"/>
      <c r="P236" s="354"/>
      <c r="Q236" s="354"/>
      <c r="R236" s="354"/>
      <c r="S236" s="354"/>
      <c r="T236" s="354"/>
      <c r="U236" s="354"/>
      <c r="V236" s="354"/>
      <c r="W236" s="354"/>
      <c r="X236" s="354"/>
      <c r="Y236" s="354"/>
      <c r="Z236" s="354"/>
      <c r="AA236" s="354"/>
      <c r="AB236" s="354"/>
      <c r="AC236" s="354"/>
      <c r="AD236" s="354"/>
      <c r="AE236" s="354"/>
      <c r="AF236" s="354"/>
      <c r="AG236" s="354"/>
      <c r="AH236" s="354"/>
      <c r="AI236" s="354"/>
    </row>
    <row r="237" spans="2:35">
      <c r="B237" s="354"/>
      <c r="C237" s="354"/>
      <c r="D237" s="354"/>
      <c r="E237" s="354"/>
      <c r="F237" s="354"/>
      <c r="G237" s="354"/>
      <c r="H237" s="354"/>
      <c r="I237" s="354"/>
      <c r="J237" s="354"/>
      <c r="K237" s="354"/>
      <c r="L237" s="354"/>
      <c r="M237" s="354"/>
      <c r="N237" s="354"/>
      <c r="O237" s="354"/>
      <c r="P237" s="354"/>
      <c r="Q237" s="354"/>
      <c r="R237" s="354"/>
      <c r="S237" s="354"/>
      <c r="T237" s="354"/>
      <c r="U237" s="354"/>
      <c r="V237" s="354"/>
      <c r="W237" s="354"/>
      <c r="X237" s="354"/>
      <c r="Y237" s="354"/>
      <c r="Z237" s="354"/>
      <c r="AA237" s="354"/>
      <c r="AB237" s="354"/>
      <c r="AC237" s="354"/>
      <c r="AD237" s="354"/>
      <c r="AE237" s="354"/>
      <c r="AF237" s="354"/>
      <c r="AG237" s="354"/>
      <c r="AH237" s="354"/>
      <c r="AI237" s="354"/>
    </row>
    <row r="238" spans="2:35">
      <c r="B238" s="354"/>
      <c r="C238" s="354"/>
      <c r="D238" s="354"/>
      <c r="E238" s="354"/>
      <c r="F238" s="354"/>
      <c r="G238" s="354"/>
      <c r="H238" s="354"/>
      <c r="I238" s="354"/>
      <c r="J238" s="354"/>
      <c r="K238" s="354"/>
      <c r="L238" s="354"/>
      <c r="M238" s="354"/>
      <c r="N238" s="354"/>
      <c r="O238" s="354"/>
      <c r="P238" s="354"/>
      <c r="Q238" s="354"/>
      <c r="R238" s="354"/>
      <c r="S238" s="354"/>
      <c r="T238" s="354"/>
      <c r="U238" s="354"/>
      <c r="V238" s="354"/>
      <c r="W238" s="354"/>
      <c r="X238" s="354"/>
      <c r="Y238" s="354"/>
      <c r="Z238" s="354"/>
      <c r="AA238" s="354"/>
      <c r="AB238" s="354"/>
      <c r="AC238" s="354"/>
      <c r="AD238" s="354"/>
      <c r="AE238" s="354"/>
      <c r="AF238" s="354"/>
      <c r="AG238" s="354"/>
      <c r="AH238" s="354"/>
      <c r="AI238" s="354"/>
    </row>
    <row r="239" spans="2:35">
      <c r="B239" s="354"/>
      <c r="C239" s="354"/>
      <c r="D239" s="354"/>
      <c r="E239" s="354"/>
      <c r="F239" s="354"/>
      <c r="G239" s="354"/>
      <c r="H239" s="354"/>
      <c r="I239" s="354"/>
      <c r="J239" s="354"/>
      <c r="K239" s="354"/>
      <c r="L239" s="354"/>
      <c r="M239" s="354"/>
      <c r="N239" s="354"/>
      <c r="O239" s="354"/>
      <c r="P239" s="354"/>
      <c r="Q239" s="354"/>
      <c r="R239" s="354"/>
      <c r="S239" s="354"/>
      <c r="T239" s="354"/>
      <c r="U239" s="354"/>
      <c r="V239" s="354"/>
      <c r="W239" s="354"/>
      <c r="X239" s="354"/>
      <c r="Y239" s="354"/>
      <c r="Z239" s="354"/>
      <c r="AA239" s="354"/>
      <c r="AB239" s="354"/>
      <c r="AC239" s="354"/>
      <c r="AD239" s="354"/>
      <c r="AE239" s="354"/>
      <c r="AF239" s="354"/>
      <c r="AG239" s="354"/>
      <c r="AH239" s="354"/>
      <c r="AI239" s="354"/>
    </row>
    <row r="240" spans="2:35">
      <c r="B240" s="354"/>
      <c r="C240" s="354"/>
      <c r="D240" s="354"/>
      <c r="E240" s="354"/>
      <c r="F240" s="354"/>
      <c r="G240" s="354"/>
      <c r="H240" s="354"/>
      <c r="I240" s="354"/>
      <c r="J240" s="354"/>
      <c r="K240" s="354"/>
      <c r="L240" s="354"/>
      <c r="M240" s="354"/>
      <c r="N240" s="354"/>
      <c r="O240" s="354"/>
      <c r="P240" s="354"/>
      <c r="Q240" s="354"/>
      <c r="R240" s="354"/>
      <c r="S240" s="354"/>
      <c r="T240" s="354"/>
      <c r="U240" s="354"/>
      <c r="V240" s="354"/>
      <c r="W240" s="354"/>
      <c r="X240" s="354"/>
      <c r="Y240" s="354"/>
      <c r="Z240" s="354"/>
      <c r="AA240" s="354"/>
      <c r="AB240" s="354"/>
      <c r="AC240" s="354"/>
      <c r="AD240" s="354"/>
      <c r="AE240" s="354"/>
      <c r="AF240" s="354"/>
      <c r="AG240" s="354"/>
      <c r="AH240" s="354"/>
      <c r="AI240" s="354"/>
    </row>
    <row r="241" spans="2:35">
      <c r="B241" s="354"/>
      <c r="C241" s="354"/>
      <c r="D241" s="354"/>
      <c r="E241" s="354"/>
      <c r="F241" s="354"/>
      <c r="G241" s="354"/>
      <c r="H241" s="354"/>
      <c r="I241" s="354"/>
      <c r="J241" s="354"/>
      <c r="K241" s="354"/>
      <c r="L241" s="354"/>
      <c r="M241" s="354"/>
      <c r="N241" s="354"/>
      <c r="O241" s="354"/>
      <c r="P241" s="354"/>
      <c r="Q241" s="354"/>
      <c r="R241" s="354"/>
      <c r="S241" s="354"/>
      <c r="T241" s="354"/>
      <c r="U241" s="354"/>
      <c r="V241" s="354"/>
      <c r="W241" s="354"/>
      <c r="X241" s="354"/>
      <c r="Y241" s="354"/>
      <c r="Z241" s="354"/>
      <c r="AA241" s="354"/>
      <c r="AB241" s="354"/>
      <c r="AC241" s="354"/>
      <c r="AD241" s="354"/>
      <c r="AE241" s="354"/>
      <c r="AF241" s="354"/>
      <c r="AG241" s="354"/>
      <c r="AH241" s="354"/>
      <c r="AI241" s="354"/>
    </row>
    <row r="242" spans="2:35">
      <c r="B242" s="354"/>
      <c r="C242" s="354"/>
      <c r="D242" s="354"/>
      <c r="E242" s="354"/>
      <c r="F242" s="354"/>
      <c r="G242" s="354"/>
      <c r="H242" s="354"/>
      <c r="I242" s="354"/>
      <c r="J242" s="354"/>
      <c r="K242" s="354"/>
      <c r="L242" s="354"/>
      <c r="M242" s="354"/>
      <c r="N242" s="354"/>
      <c r="O242" s="354"/>
      <c r="P242" s="354"/>
      <c r="Q242" s="354"/>
      <c r="R242" s="354"/>
      <c r="S242" s="354"/>
      <c r="T242" s="354"/>
      <c r="U242" s="354"/>
      <c r="V242" s="354"/>
      <c r="W242" s="354"/>
      <c r="X242" s="354"/>
      <c r="Y242" s="354"/>
      <c r="Z242" s="354"/>
      <c r="AA242" s="354"/>
      <c r="AB242" s="354"/>
      <c r="AC242" s="354"/>
      <c r="AD242" s="354"/>
      <c r="AE242" s="354"/>
      <c r="AF242" s="354"/>
      <c r="AG242" s="354"/>
      <c r="AH242" s="354"/>
      <c r="AI242" s="354"/>
    </row>
    <row r="243" spans="2:35">
      <c r="B243" s="354"/>
      <c r="C243" s="354"/>
      <c r="D243" s="354"/>
      <c r="E243" s="354"/>
      <c r="F243" s="354"/>
      <c r="G243" s="354"/>
      <c r="H243" s="354"/>
      <c r="I243" s="354"/>
      <c r="J243" s="354"/>
      <c r="K243" s="354"/>
      <c r="L243" s="354"/>
      <c r="M243" s="354"/>
      <c r="N243" s="354"/>
      <c r="O243" s="354"/>
      <c r="P243" s="354"/>
      <c r="Q243" s="354"/>
      <c r="R243" s="354"/>
      <c r="S243" s="354"/>
      <c r="T243" s="354"/>
      <c r="U243" s="354"/>
      <c r="V243" s="354"/>
      <c r="W243" s="354"/>
      <c r="X243" s="354"/>
      <c r="Y243" s="354"/>
      <c r="Z243" s="354"/>
      <c r="AA243" s="354"/>
      <c r="AB243" s="354"/>
      <c r="AC243" s="354"/>
      <c r="AD243" s="354"/>
      <c r="AE243" s="354"/>
      <c r="AF243" s="354"/>
      <c r="AG243" s="354"/>
      <c r="AH243" s="354"/>
      <c r="AI243" s="354"/>
    </row>
    <row r="244" spans="2:35">
      <c r="B244" s="354"/>
      <c r="C244" s="354"/>
      <c r="D244" s="354"/>
      <c r="E244" s="354"/>
      <c r="F244" s="354"/>
      <c r="G244" s="354"/>
      <c r="H244" s="354"/>
      <c r="I244" s="354"/>
      <c r="J244" s="354"/>
      <c r="K244" s="354"/>
      <c r="L244" s="354"/>
      <c r="M244" s="354"/>
      <c r="N244" s="354"/>
      <c r="O244" s="354"/>
      <c r="P244" s="354"/>
      <c r="Q244" s="354"/>
      <c r="R244" s="354"/>
      <c r="S244" s="354"/>
      <c r="T244" s="354"/>
      <c r="U244" s="354"/>
      <c r="V244" s="354"/>
      <c r="W244" s="354"/>
      <c r="X244" s="354"/>
      <c r="Y244" s="354"/>
      <c r="Z244" s="354"/>
      <c r="AA244" s="354"/>
      <c r="AB244" s="354"/>
      <c r="AC244" s="354"/>
      <c r="AD244" s="354"/>
      <c r="AE244" s="354"/>
      <c r="AF244" s="354"/>
      <c r="AG244" s="354"/>
      <c r="AH244" s="354"/>
      <c r="AI244" s="354"/>
    </row>
    <row r="245" spans="2:35">
      <c r="B245" s="354"/>
      <c r="C245" s="354"/>
      <c r="D245" s="354"/>
      <c r="E245" s="354"/>
      <c r="F245" s="354"/>
      <c r="G245" s="354"/>
      <c r="H245" s="354"/>
      <c r="I245" s="354"/>
      <c r="J245" s="354"/>
      <c r="K245" s="354"/>
      <c r="L245" s="354"/>
      <c r="M245" s="354"/>
      <c r="N245" s="354"/>
      <c r="O245" s="354"/>
      <c r="P245" s="354"/>
      <c r="Q245" s="354"/>
      <c r="R245" s="354"/>
      <c r="S245" s="354"/>
      <c r="T245" s="354"/>
      <c r="U245" s="354"/>
      <c r="V245" s="354"/>
      <c r="W245" s="354"/>
      <c r="X245" s="354"/>
      <c r="Y245" s="354"/>
      <c r="Z245" s="354"/>
      <c r="AA245" s="354"/>
      <c r="AB245" s="354"/>
      <c r="AC245" s="354"/>
      <c r="AD245" s="354"/>
      <c r="AE245" s="354"/>
      <c r="AF245" s="354"/>
      <c r="AG245" s="354"/>
      <c r="AH245" s="354"/>
      <c r="AI245" s="354"/>
    </row>
    <row r="246" spans="2:35">
      <c r="B246" s="354"/>
      <c r="C246" s="354"/>
      <c r="D246" s="354"/>
      <c r="E246" s="354"/>
      <c r="F246" s="354"/>
      <c r="G246" s="354"/>
      <c r="H246" s="354"/>
      <c r="I246" s="354"/>
      <c r="J246" s="354"/>
      <c r="K246" s="354"/>
      <c r="L246" s="354"/>
      <c r="M246" s="354"/>
      <c r="N246" s="354"/>
      <c r="O246" s="354"/>
      <c r="P246" s="354"/>
      <c r="Q246" s="354"/>
      <c r="R246" s="354"/>
      <c r="S246" s="354"/>
      <c r="T246" s="354"/>
      <c r="U246" s="354"/>
      <c r="V246" s="354"/>
      <c r="W246" s="354"/>
      <c r="X246" s="354"/>
      <c r="Y246" s="354"/>
      <c r="Z246" s="354"/>
      <c r="AA246" s="354"/>
      <c r="AB246" s="354"/>
      <c r="AC246" s="354"/>
      <c r="AD246" s="354"/>
      <c r="AE246" s="354"/>
      <c r="AF246" s="354"/>
      <c r="AG246" s="354"/>
      <c r="AH246" s="354"/>
      <c r="AI246" s="354"/>
    </row>
    <row r="247" spans="2:35">
      <c r="B247" s="354"/>
      <c r="C247" s="354"/>
      <c r="D247" s="354"/>
      <c r="E247" s="354"/>
      <c r="F247" s="354"/>
      <c r="G247" s="354"/>
      <c r="H247" s="354"/>
      <c r="I247" s="354"/>
      <c r="J247" s="354"/>
      <c r="K247" s="354"/>
      <c r="L247" s="354"/>
      <c r="M247" s="354"/>
      <c r="N247" s="354"/>
      <c r="O247" s="354"/>
      <c r="P247" s="354"/>
      <c r="Q247" s="354"/>
      <c r="R247" s="354"/>
      <c r="S247" s="354"/>
      <c r="T247" s="354"/>
      <c r="U247" s="354"/>
      <c r="V247" s="354"/>
      <c r="W247" s="354"/>
      <c r="X247" s="354"/>
      <c r="Y247" s="354"/>
      <c r="Z247" s="354"/>
      <c r="AA247" s="354"/>
      <c r="AB247" s="354"/>
      <c r="AC247" s="354"/>
      <c r="AD247" s="354"/>
      <c r="AE247" s="354"/>
      <c r="AF247" s="354"/>
      <c r="AG247" s="354"/>
      <c r="AH247" s="354"/>
      <c r="AI247" s="354"/>
    </row>
    <row r="248" spans="2:35">
      <c r="B248" s="354"/>
      <c r="C248" s="354"/>
      <c r="D248" s="354"/>
      <c r="E248" s="354"/>
      <c r="F248" s="354"/>
      <c r="G248" s="354"/>
      <c r="H248" s="354"/>
      <c r="I248" s="354"/>
      <c r="J248" s="354"/>
      <c r="K248" s="354"/>
      <c r="L248" s="354"/>
      <c r="M248" s="354"/>
      <c r="N248" s="354"/>
      <c r="O248" s="354"/>
      <c r="P248" s="354"/>
      <c r="Q248" s="354"/>
      <c r="R248" s="354"/>
      <c r="S248" s="354"/>
      <c r="T248" s="354"/>
      <c r="U248" s="354"/>
      <c r="V248" s="354"/>
      <c r="W248" s="354"/>
      <c r="X248" s="354"/>
      <c r="Y248" s="354"/>
      <c r="Z248" s="354"/>
      <c r="AA248" s="354"/>
      <c r="AB248" s="354"/>
      <c r="AC248" s="354"/>
      <c r="AD248" s="354"/>
      <c r="AE248" s="354"/>
      <c r="AF248" s="354"/>
      <c r="AG248" s="354"/>
      <c r="AH248" s="354"/>
      <c r="AI248" s="354"/>
    </row>
    <row r="249" spans="2:35">
      <c r="B249" s="354"/>
      <c r="C249" s="354"/>
      <c r="D249" s="354"/>
      <c r="E249" s="354"/>
      <c r="F249" s="354"/>
      <c r="G249" s="354"/>
      <c r="H249" s="354"/>
      <c r="I249" s="354"/>
      <c r="J249" s="354"/>
      <c r="K249" s="354"/>
      <c r="L249" s="354"/>
      <c r="M249" s="354"/>
      <c r="N249" s="354"/>
      <c r="O249" s="354"/>
      <c r="P249" s="354"/>
      <c r="Q249" s="354"/>
      <c r="R249" s="354"/>
      <c r="S249" s="354"/>
      <c r="T249" s="354"/>
      <c r="U249" s="354"/>
      <c r="V249" s="354"/>
      <c r="W249" s="354"/>
      <c r="X249" s="354"/>
      <c r="Y249" s="354"/>
      <c r="Z249" s="354"/>
      <c r="AA249" s="354"/>
      <c r="AB249" s="354"/>
      <c r="AC249" s="354"/>
      <c r="AD249" s="354"/>
      <c r="AE249" s="354"/>
      <c r="AF249" s="354"/>
      <c r="AG249" s="354"/>
      <c r="AH249" s="354"/>
      <c r="AI249" s="354"/>
    </row>
    <row r="250" spans="2:35">
      <c r="B250" s="354"/>
      <c r="C250" s="354"/>
      <c r="D250" s="354"/>
      <c r="E250" s="354"/>
      <c r="F250" s="354"/>
      <c r="G250" s="354"/>
      <c r="H250" s="354"/>
      <c r="I250" s="354"/>
      <c r="J250" s="354"/>
      <c r="K250" s="354"/>
      <c r="L250" s="354"/>
      <c r="M250" s="354"/>
      <c r="N250" s="354"/>
      <c r="O250" s="354"/>
      <c r="P250" s="354"/>
      <c r="Q250" s="354"/>
      <c r="R250" s="354"/>
      <c r="S250" s="354"/>
      <c r="T250" s="354"/>
      <c r="U250" s="354"/>
      <c r="V250" s="354"/>
      <c r="W250" s="354"/>
      <c r="X250" s="354"/>
      <c r="Y250" s="354"/>
      <c r="Z250" s="354"/>
      <c r="AA250" s="354"/>
      <c r="AB250" s="354"/>
      <c r="AC250" s="354"/>
      <c r="AD250" s="354"/>
      <c r="AE250" s="354"/>
      <c r="AF250" s="354"/>
      <c r="AG250" s="354"/>
      <c r="AH250" s="354"/>
      <c r="AI250" s="354"/>
    </row>
    <row r="251" spans="2:35">
      <c r="B251" s="354"/>
      <c r="C251" s="354"/>
      <c r="D251" s="354"/>
      <c r="E251" s="354"/>
      <c r="F251" s="354"/>
      <c r="G251" s="354"/>
      <c r="H251" s="354"/>
      <c r="I251" s="354"/>
      <c r="J251" s="354"/>
      <c r="K251" s="354"/>
      <c r="L251" s="354"/>
      <c r="M251" s="354"/>
      <c r="N251" s="354"/>
      <c r="O251" s="354"/>
      <c r="P251" s="354"/>
      <c r="Q251" s="354"/>
      <c r="R251" s="354"/>
      <c r="S251" s="354"/>
      <c r="T251" s="354"/>
      <c r="U251" s="354"/>
      <c r="V251" s="354"/>
      <c r="W251" s="354"/>
      <c r="X251" s="354"/>
      <c r="Y251" s="354"/>
      <c r="Z251" s="354"/>
      <c r="AA251" s="354"/>
      <c r="AB251" s="354"/>
      <c r="AC251" s="354"/>
      <c r="AD251" s="354"/>
      <c r="AE251" s="354"/>
      <c r="AF251" s="354"/>
      <c r="AG251" s="354"/>
      <c r="AH251" s="354"/>
      <c r="AI251" s="354"/>
    </row>
    <row r="252" spans="2:35">
      <c r="B252" s="354"/>
      <c r="C252" s="354"/>
      <c r="D252" s="354"/>
      <c r="E252" s="354"/>
      <c r="F252" s="354"/>
      <c r="G252" s="354"/>
      <c r="H252" s="354"/>
      <c r="I252" s="354"/>
      <c r="J252" s="354"/>
      <c r="K252" s="354"/>
      <c r="L252" s="354"/>
      <c r="M252" s="354"/>
      <c r="N252" s="354"/>
      <c r="O252" s="354"/>
      <c r="P252" s="354"/>
      <c r="Q252" s="354"/>
      <c r="R252" s="354"/>
      <c r="S252" s="354"/>
      <c r="T252" s="354"/>
      <c r="U252" s="354"/>
      <c r="V252" s="354"/>
      <c r="W252" s="354"/>
      <c r="X252" s="354"/>
      <c r="Y252" s="354"/>
      <c r="Z252" s="354"/>
      <c r="AA252" s="354"/>
      <c r="AB252" s="354"/>
      <c r="AC252" s="354"/>
      <c r="AD252" s="354"/>
      <c r="AE252" s="354"/>
      <c r="AF252" s="354"/>
      <c r="AG252" s="354"/>
      <c r="AH252" s="354"/>
      <c r="AI252" s="354"/>
    </row>
    <row r="253" spans="2:35">
      <c r="B253" s="354"/>
      <c r="C253" s="354"/>
      <c r="D253" s="354"/>
      <c r="E253" s="354"/>
      <c r="F253" s="354"/>
      <c r="G253" s="354"/>
      <c r="H253" s="354"/>
      <c r="I253" s="354"/>
      <c r="J253" s="354"/>
      <c r="K253" s="354"/>
      <c r="L253" s="354"/>
      <c r="M253" s="354"/>
      <c r="N253" s="354"/>
      <c r="O253" s="354"/>
      <c r="P253" s="354"/>
      <c r="Q253" s="354"/>
      <c r="R253" s="354"/>
      <c r="S253" s="354"/>
      <c r="T253" s="354"/>
      <c r="U253" s="354"/>
      <c r="V253" s="354"/>
      <c r="W253" s="354"/>
      <c r="X253" s="354"/>
      <c r="Y253" s="354"/>
      <c r="Z253" s="354"/>
      <c r="AA253" s="354"/>
      <c r="AB253" s="354"/>
      <c r="AC253" s="354"/>
      <c r="AD253" s="354"/>
      <c r="AE253" s="354"/>
      <c r="AF253" s="354"/>
      <c r="AG253" s="354"/>
      <c r="AH253" s="354"/>
      <c r="AI253" s="354"/>
    </row>
    <row r="254" spans="2:35">
      <c r="B254" s="354"/>
      <c r="C254" s="354"/>
      <c r="D254" s="354"/>
      <c r="E254" s="354"/>
      <c r="F254" s="354"/>
      <c r="G254" s="354"/>
      <c r="H254" s="354"/>
      <c r="I254" s="354"/>
      <c r="J254" s="354"/>
      <c r="K254" s="354"/>
      <c r="L254" s="354"/>
      <c r="M254" s="354"/>
      <c r="N254" s="354"/>
      <c r="O254" s="354"/>
      <c r="P254" s="354"/>
      <c r="Q254" s="354"/>
      <c r="R254" s="354"/>
      <c r="S254" s="354"/>
      <c r="T254" s="354"/>
      <c r="U254" s="354"/>
      <c r="V254" s="354"/>
      <c r="W254" s="354"/>
      <c r="X254" s="354"/>
      <c r="Y254" s="354"/>
      <c r="Z254" s="354"/>
      <c r="AA254" s="354"/>
      <c r="AB254" s="354"/>
      <c r="AC254" s="354"/>
      <c r="AD254" s="354"/>
      <c r="AE254" s="354"/>
      <c r="AF254" s="354"/>
      <c r="AG254" s="354"/>
      <c r="AH254" s="354"/>
      <c r="AI254" s="354"/>
    </row>
    <row r="255" spans="2:35">
      <c r="B255" s="354"/>
      <c r="C255" s="354"/>
      <c r="D255" s="354"/>
      <c r="E255" s="354"/>
      <c r="F255" s="354"/>
      <c r="G255" s="354"/>
      <c r="H255" s="354"/>
      <c r="I255" s="354"/>
      <c r="J255" s="354"/>
      <c r="K255" s="354"/>
      <c r="L255" s="354"/>
      <c r="M255" s="354"/>
      <c r="N255" s="354"/>
      <c r="O255" s="354"/>
      <c r="P255" s="354"/>
      <c r="Q255" s="354"/>
      <c r="R255" s="354"/>
      <c r="S255" s="354"/>
      <c r="T255" s="354"/>
      <c r="U255" s="354"/>
      <c r="V255" s="354"/>
      <c r="W255" s="354"/>
      <c r="X255" s="354"/>
      <c r="Y255" s="354"/>
      <c r="Z255" s="354"/>
      <c r="AA255" s="354"/>
      <c r="AB255" s="354"/>
      <c r="AC255" s="354"/>
      <c r="AD255" s="354"/>
      <c r="AE255" s="354"/>
      <c r="AF255" s="354"/>
      <c r="AG255" s="354"/>
      <c r="AH255" s="354"/>
      <c r="AI255" s="354"/>
    </row>
    <row r="256" spans="2:35">
      <c r="B256" s="354"/>
      <c r="C256" s="354"/>
      <c r="D256" s="354"/>
      <c r="E256" s="354"/>
      <c r="F256" s="354"/>
      <c r="G256" s="354"/>
      <c r="H256" s="354"/>
      <c r="I256" s="354"/>
      <c r="J256" s="354"/>
      <c r="K256" s="354"/>
      <c r="L256" s="354"/>
      <c r="M256" s="354"/>
      <c r="N256" s="354"/>
      <c r="O256" s="354"/>
      <c r="P256" s="354"/>
      <c r="Q256" s="354"/>
      <c r="R256" s="354"/>
      <c r="S256" s="354"/>
      <c r="T256" s="354"/>
      <c r="U256" s="354"/>
      <c r="V256" s="354"/>
      <c r="W256" s="354"/>
      <c r="X256" s="354"/>
      <c r="Y256" s="354"/>
      <c r="Z256" s="354"/>
      <c r="AA256" s="354"/>
      <c r="AB256" s="354"/>
      <c r="AC256" s="354"/>
      <c r="AD256" s="354"/>
      <c r="AE256" s="354"/>
      <c r="AF256" s="354"/>
      <c r="AG256" s="354"/>
      <c r="AH256" s="354"/>
      <c r="AI256" s="354"/>
    </row>
    <row r="257" spans="2:35">
      <c r="B257" s="354"/>
      <c r="C257" s="354"/>
      <c r="D257" s="354"/>
      <c r="E257" s="354"/>
      <c r="F257" s="354"/>
      <c r="G257" s="354"/>
      <c r="H257" s="354"/>
      <c r="I257" s="354"/>
      <c r="J257" s="354"/>
      <c r="K257" s="354"/>
      <c r="L257" s="354"/>
      <c r="M257" s="354"/>
      <c r="N257" s="354"/>
      <c r="O257" s="354"/>
      <c r="P257" s="354"/>
      <c r="Q257" s="354"/>
      <c r="R257" s="354"/>
      <c r="S257" s="354"/>
      <c r="T257" s="354"/>
      <c r="U257" s="354"/>
      <c r="V257" s="354"/>
      <c r="W257" s="354"/>
      <c r="X257" s="354"/>
      <c r="Y257" s="354"/>
      <c r="Z257" s="354"/>
      <c r="AA257" s="354"/>
      <c r="AB257" s="354"/>
      <c r="AC257" s="354"/>
      <c r="AD257" s="354"/>
      <c r="AE257" s="354"/>
      <c r="AF257" s="354"/>
      <c r="AG257" s="354"/>
      <c r="AH257" s="354"/>
      <c r="AI257" s="354"/>
    </row>
    <row r="258" spans="2:35">
      <c r="B258" s="354"/>
      <c r="C258" s="354"/>
      <c r="D258" s="354"/>
      <c r="E258" s="354"/>
      <c r="F258" s="354"/>
      <c r="G258" s="354"/>
      <c r="H258" s="354"/>
      <c r="I258" s="354"/>
      <c r="J258" s="354"/>
      <c r="K258" s="354"/>
      <c r="L258" s="354"/>
      <c r="M258" s="354"/>
      <c r="N258" s="354"/>
      <c r="O258" s="354"/>
      <c r="P258" s="354"/>
      <c r="Q258" s="354"/>
      <c r="R258" s="354"/>
      <c r="S258" s="354"/>
      <c r="T258" s="354"/>
      <c r="U258" s="354"/>
      <c r="V258" s="354"/>
      <c r="W258" s="354"/>
      <c r="X258" s="354"/>
      <c r="Y258" s="354"/>
      <c r="Z258" s="354"/>
      <c r="AA258" s="354"/>
      <c r="AB258" s="354"/>
      <c r="AC258" s="354"/>
      <c r="AD258" s="354"/>
      <c r="AE258" s="354"/>
      <c r="AF258" s="354"/>
      <c r="AG258" s="354"/>
      <c r="AH258" s="354"/>
      <c r="AI258" s="354"/>
    </row>
    <row r="259" spans="2:35">
      <c r="B259" s="354"/>
      <c r="C259" s="354"/>
      <c r="D259" s="354"/>
      <c r="E259" s="354"/>
      <c r="F259" s="354"/>
      <c r="G259" s="354"/>
      <c r="H259" s="354"/>
      <c r="I259" s="354"/>
      <c r="J259" s="354"/>
      <c r="K259" s="354"/>
      <c r="L259" s="354"/>
      <c r="M259" s="354"/>
      <c r="N259" s="354"/>
      <c r="O259" s="354"/>
      <c r="P259" s="354"/>
      <c r="Q259" s="354"/>
      <c r="R259" s="354"/>
      <c r="S259" s="354"/>
      <c r="T259" s="354"/>
      <c r="U259" s="354"/>
      <c r="V259" s="354"/>
      <c r="W259" s="354"/>
      <c r="X259" s="354"/>
      <c r="Y259" s="354"/>
      <c r="Z259" s="354"/>
      <c r="AA259" s="354"/>
      <c r="AB259" s="354"/>
      <c r="AC259" s="354"/>
      <c r="AD259" s="354"/>
      <c r="AE259" s="354"/>
      <c r="AF259" s="354"/>
      <c r="AG259" s="354"/>
      <c r="AH259" s="354"/>
      <c r="AI259" s="354"/>
    </row>
    <row r="260" spans="2:35">
      <c r="B260" s="354"/>
      <c r="C260" s="354"/>
      <c r="D260" s="354"/>
      <c r="E260" s="354"/>
      <c r="F260" s="354"/>
      <c r="G260" s="354"/>
      <c r="H260" s="354"/>
      <c r="I260" s="354"/>
      <c r="J260" s="354"/>
      <c r="K260" s="354"/>
      <c r="L260" s="354"/>
      <c r="M260" s="354"/>
      <c r="N260" s="354"/>
      <c r="O260" s="354"/>
      <c r="P260" s="354"/>
      <c r="Q260" s="354"/>
      <c r="R260" s="354"/>
      <c r="S260" s="354"/>
      <c r="T260" s="354"/>
      <c r="U260" s="354"/>
      <c r="V260" s="354"/>
      <c r="W260" s="354"/>
      <c r="X260" s="354"/>
      <c r="Y260" s="354"/>
      <c r="Z260" s="354"/>
      <c r="AA260" s="354"/>
      <c r="AB260" s="354"/>
      <c r="AC260" s="354"/>
      <c r="AD260" s="354"/>
      <c r="AE260" s="354"/>
      <c r="AF260" s="354"/>
      <c r="AG260" s="354"/>
      <c r="AH260" s="354"/>
      <c r="AI260" s="354"/>
    </row>
    <row r="261" spans="2:35">
      <c r="B261" s="354"/>
      <c r="C261" s="354"/>
      <c r="D261" s="354"/>
      <c r="E261" s="354"/>
      <c r="F261" s="354"/>
      <c r="G261" s="354"/>
      <c r="H261" s="354"/>
      <c r="I261" s="354"/>
      <c r="J261" s="354"/>
      <c r="K261" s="354"/>
      <c r="L261" s="354"/>
      <c r="M261" s="354"/>
      <c r="N261" s="354"/>
      <c r="O261" s="354"/>
      <c r="P261" s="354"/>
      <c r="Q261" s="354"/>
      <c r="R261" s="354"/>
      <c r="S261" s="354"/>
      <c r="T261" s="354"/>
      <c r="U261" s="354"/>
      <c r="V261" s="354"/>
      <c r="W261" s="354"/>
      <c r="X261" s="354"/>
      <c r="Y261" s="354"/>
      <c r="Z261" s="354"/>
      <c r="AA261" s="354"/>
      <c r="AB261" s="354"/>
      <c r="AC261" s="354"/>
      <c r="AD261" s="354"/>
      <c r="AE261" s="354"/>
      <c r="AF261" s="354"/>
      <c r="AG261" s="354"/>
      <c r="AH261" s="354"/>
      <c r="AI261" s="354"/>
    </row>
    <row r="262" spans="2:35">
      <c r="B262" s="354"/>
      <c r="C262" s="354"/>
      <c r="D262" s="354"/>
      <c r="E262" s="354"/>
      <c r="F262" s="354"/>
      <c r="G262" s="354"/>
      <c r="H262" s="354"/>
      <c r="I262" s="354"/>
      <c r="J262" s="354"/>
      <c r="K262" s="354"/>
      <c r="L262" s="354"/>
      <c r="M262" s="354"/>
      <c r="N262" s="354"/>
      <c r="O262" s="354"/>
      <c r="P262" s="354"/>
      <c r="Q262" s="354"/>
      <c r="R262" s="354"/>
      <c r="S262" s="354"/>
      <c r="T262" s="354"/>
      <c r="U262" s="354"/>
      <c r="V262" s="354"/>
      <c r="W262" s="354"/>
      <c r="X262" s="354"/>
      <c r="Y262" s="354"/>
      <c r="Z262" s="354"/>
      <c r="AA262" s="354"/>
      <c r="AB262" s="354"/>
      <c r="AC262" s="354"/>
      <c r="AD262" s="354"/>
      <c r="AE262" s="354"/>
      <c r="AF262" s="354"/>
      <c r="AG262" s="354"/>
      <c r="AH262" s="354"/>
      <c r="AI262" s="354"/>
    </row>
    <row r="263" spans="2:35">
      <c r="B263" s="354"/>
      <c r="C263" s="354"/>
      <c r="D263" s="354"/>
      <c r="E263" s="354"/>
      <c r="F263" s="354"/>
      <c r="G263" s="354"/>
      <c r="H263" s="354"/>
      <c r="I263" s="354"/>
      <c r="J263" s="354"/>
      <c r="K263" s="354"/>
      <c r="L263" s="354"/>
      <c r="M263" s="354"/>
      <c r="N263" s="354"/>
      <c r="O263" s="354"/>
      <c r="P263" s="354"/>
      <c r="Q263" s="354"/>
      <c r="R263" s="354"/>
      <c r="S263" s="354"/>
      <c r="T263" s="354"/>
      <c r="U263" s="354"/>
      <c r="V263" s="354"/>
      <c r="W263" s="354"/>
      <c r="X263" s="354"/>
      <c r="Y263" s="354"/>
      <c r="Z263" s="354"/>
      <c r="AA263" s="354"/>
      <c r="AB263" s="354"/>
      <c r="AC263" s="354"/>
      <c r="AD263" s="354"/>
      <c r="AE263" s="354"/>
      <c r="AF263" s="354"/>
      <c r="AG263" s="354"/>
      <c r="AH263" s="354"/>
      <c r="AI263" s="354"/>
    </row>
    <row r="264" spans="2:35">
      <c r="B264" s="354"/>
      <c r="C264" s="354"/>
      <c r="D264" s="354"/>
      <c r="E264" s="354"/>
      <c r="F264" s="354"/>
      <c r="G264" s="354"/>
      <c r="H264" s="354"/>
      <c r="I264" s="354"/>
      <c r="J264" s="354"/>
      <c r="K264" s="354"/>
      <c r="L264" s="354"/>
      <c r="M264" s="354"/>
      <c r="N264" s="354"/>
      <c r="O264" s="354"/>
      <c r="P264" s="354"/>
      <c r="Q264" s="354"/>
      <c r="R264" s="354"/>
      <c r="S264" s="354"/>
      <c r="T264" s="354"/>
      <c r="U264" s="354"/>
      <c r="V264" s="354"/>
      <c r="W264" s="354"/>
      <c r="X264" s="354"/>
      <c r="Y264" s="354"/>
      <c r="Z264" s="354"/>
      <c r="AA264" s="354"/>
      <c r="AB264" s="354"/>
      <c r="AC264" s="354"/>
      <c r="AD264" s="354"/>
      <c r="AE264" s="354"/>
      <c r="AF264" s="354"/>
      <c r="AG264" s="354"/>
      <c r="AH264" s="354"/>
      <c r="AI264" s="354"/>
    </row>
    <row r="265" spans="2:35">
      <c r="B265" s="354"/>
      <c r="C265" s="354"/>
      <c r="D265" s="354"/>
      <c r="E265" s="354"/>
      <c r="F265" s="354"/>
      <c r="G265" s="354"/>
      <c r="H265" s="354"/>
      <c r="I265" s="354"/>
      <c r="J265" s="354"/>
      <c r="K265" s="354"/>
      <c r="L265" s="354"/>
      <c r="M265" s="354"/>
      <c r="N265" s="354"/>
      <c r="O265" s="354"/>
      <c r="P265" s="354"/>
      <c r="Q265" s="354"/>
      <c r="R265" s="354"/>
      <c r="S265" s="354"/>
      <c r="T265" s="354"/>
      <c r="U265" s="354"/>
      <c r="V265" s="354"/>
      <c r="W265" s="354"/>
      <c r="X265" s="354"/>
      <c r="Y265" s="354"/>
      <c r="Z265" s="354"/>
      <c r="AA265" s="354"/>
      <c r="AB265" s="354"/>
      <c r="AC265" s="354"/>
      <c r="AD265" s="354"/>
      <c r="AE265" s="354"/>
      <c r="AF265" s="354"/>
      <c r="AG265" s="354"/>
      <c r="AH265" s="354"/>
      <c r="AI265" s="354"/>
    </row>
    <row r="266" spans="2:35">
      <c r="B266" s="354"/>
      <c r="C266" s="354"/>
      <c r="D266" s="354"/>
      <c r="E266" s="354"/>
      <c r="F266" s="354"/>
      <c r="G266" s="354"/>
      <c r="H266" s="354"/>
      <c r="I266" s="354"/>
      <c r="J266" s="354"/>
      <c r="K266" s="354"/>
      <c r="L266" s="354"/>
      <c r="M266" s="354"/>
      <c r="N266" s="354"/>
      <c r="O266" s="354"/>
      <c r="P266" s="354"/>
      <c r="Q266" s="354"/>
      <c r="R266" s="354"/>
      <c r="S266" s="354"/>
      <c r="T266" s="354"/>
      <c r="U266" s="354"/>
      <c r="V266" s="354"/>
      <c r="W266" s="354"/>
      <c r="X266" s="354"/>
      <c r="Y266" s="354"/>
      <c r="Z266" s="354"/>
      <c r="AA266" s="354"/>
      <c r="AB266" s="354"/>
      <c r="AC266" s="354"/>
      <c r="AD266" s="354"/>
      <c r="AE266" s="354"/>
      <c r="AF266" s="354"/>
      <c r="AG266" s="354"/>
      <c r="AH266" s="354"/>
      <c r="AI266" s="354"/>
    </row>
    <row r="267" spans="2:35">
      <c r="B267" s="354"/>
      <c r="C267" s="354"/>
      <c r="D267" s="354"/>
      <c r="E267" s="354"/>
      <c r="F267" s="354"/>
      <c r="G267" s="354"/>
      <c r="H267" s="354"/>
      <c r="I267" s="354"/>
      <c r="J267" s="354"/>
      <c r="K267" s="354"/>
      <c r="L267" s="354"/>
      <c r="M267" s="354"/>
      <c r="N267" s="354"/>
      <c r="O267" s="354"/>
      <c r="P267" s="354"/>
      <c r="Q267" s="354"/>
      <c r="R267" s="354"/>
      <c r="S267" s="354"/>
      <c r="T267" s="354"/>
      <c r="U267" s="354"/>
      <c r="V267" s="354"/>
      <c r="W267" s="354"/>
      <c r="X267" s="354"/>
      <c r="Y267" s="354"/>
      <c r="Z267" s="354"/>
      <c r="AA267" s="354"/>
      <c r="AB267" s="354"/>
      <c r="AC267" s="354"/>
      <c r="AD267" s="354"/>
      <c r="AE267" s="354"/>
      <c r="AF267" s="354"/>
      <c r="AG267" s="354"/>
      <c r="AH267" s="354"/>
      <c r="AI267" s="354"/>
    </row>
    <row r="268" spans="2:35">
      <c r="B268" s="354"/>
      <c r="C268" s="354"/>
      <c r="D268" s="354"/>
      <c r="E268" s="354"/>
      <c r="F268" s="354"/>
      <c r="G268" s="354"/>
      <c r="H268" s="354"/>
      <c r="I268" s="354"/>
      <c r="J268" s="354"/>
      <c r="K268" s="354"/>
      <c r="L268" s="354"/>
      <c r="M268" s="354"/>
      <c r="N268" s="354"/>
      <c r="O268" s="354"/>
      <c r="P268" s="354"/>
      <c r="Q268" s="354"/>
      <c r="R268" s="354"/>
      <c r="S268" s="354"/>
      <c r="T268" s="354"/>
      <c r="U268" s="354"/>
      <c r="V268" s="354"/>
      <c r="W268" s="354"/>
      <c r="X268" s="354"/>
      <c r="Y268" s="354"/>
      <c r="Z268" s="354"/>
      <c r="AA268" s="354"/>
      <c r="AB268" s="354"/>
      <c r="AC268" s="354"/>
      <c r="AD268" s="354"/>
      <c r="AE268" s="354"/>
      <c r="AF268" s="354"/>
      <c r="AG268" s="354"/>
      <c r="AH268" s="354"/>
      <c r="AI268" s="354"/>
    </row>
    <row r="269" spans="2:35">
      <c r="B269" s="354"/>
      <c r="C269" s="354"/>
      <c r="D269" s="354"/>
      <c r="E269" s="354"/>
      <c r="F269" s="354"/>
      <c r="G269" s="354"/>
      <c r="H269" s="354"/>
      <c r="I269" s="354"/>
      <c r="J269" s="354"/>
      <c r="K269" s="354"/>
      <c r="L269" s="354"/>
      <c r="M269" s="354"/>
      <c r="N269" s="354"/>
      <c r="O269" s="354"/>
      <c r="P269" s="354"/>
      <c r="Q269" s="354"/>
      <c r="R269" s="354"/>
      <c r="S269" s="354"/>
      <c r="T269" s="354"/>
      <c r="U269" s="354"/>
      <c r="V269" s="354"/>
      <c r="W269" s="354"/>
      <c r="X269" s="354"/>
      <c r="Y269" s="354"/>
      <c r="Z269" s="354"/>
      <c r="AA269" s="354"/>
      <c r="AB269" s="354"/>
      <c r="AC269" s="354"/>
      <c r="AD269" s="354"/>
      <c r="AE269" s="354"/>
      <c r="AF269" s="354"/>
      <c r="AG269" s="354"/>
      <c r="AH269" s="354"/>
      <c r="AI269" s="354"/>
    </row>
    <row r="270" spans="2:35">
      <c r="B270" s="354"/>
      <c r="C270" s="354"/>
      <c r="D270" s="354"/>
      <c r="E270" s="354"/>
      <c r="F270" s="354"/>
      <c r="G270" s="354"/>
      <c r="H270" s="354"/>
      <c r="I270" s="354"/>
      <c r="J270" s="354"/>
      <c r="K270" s="354"/>
      <c r="L270" s="354"/>
      <c r="M270" s="354"/>
      <c r="N270" s="354"/>
      <c r="O270" s="354"/>
      <c r="P270" s="354"/>
      <c r="Q270" s="354"/>
      <c r="R270" s="354"/>
      <c r="S270" s="354"/>
      <c r="T270" s="354"/>
      <c r="U270" s="354"/>
      <c r="V270" s="354"/>
      <c r="W270" s="354"/>
      <c r="X270" s="354"/>
      <c r="Y270" s="354"/>
      <c r="Z270" s="354"/>
      <c r="AA270" s="354"/>
      <c r="AB270" s="354"/>
      <c r="AC270" s="354"/>
      <c r="AD270" s="354"/>
      <c r="AE270" s="354"/>
      <c r="AF270" s="354"/>
      <c r="AG270" s="354"/>
      <c r="AH270" s="354"/>
      <c r="AI270" s="354"/>
    </row>
    <row r="271" spans="2:35">
      <c r="B271" s="354"/>
      <c r="C271" s="354"/>
      <c r="D271" s="354"/>
      <c r="E271" s="354"/>
      <c r="F271" s="354"/>
      <c r="G271" s="354"/>
      <c r="H271" s="354"/>
      <c r="I271" s="354"/>
      <c r="J271" s="354"/>
      <c r="K271" s="354"/>
      <c r="L271" s="354"/>
      <c r="M271" s="354"/>
      <c r="N271" s="354"/>
      <c r="O271" s="354"/>
      <c r="P271" s="354"/>
      <c r="Q271" s="354"/>
      <c r="R271" s="354"/>
      <c r="S271" s="354"/>
      <c r="T271" s="354"/>
      <c r="U271" s="354"/>
      <c r="V271" s="354"/>
      <c r="W271" s="354"/>
      <c r="X271" s="354"/>
      <c r="Y271" s="354"/>
      <c r="Z271" s="354"/>
      <c r="AA271" s="354"/>
      <c r="AB271" s="354"/>
      <c r="AC271" s="354"/>
      <c r="AD271" s="354"/>
      <c r="AE271" s="354"/>
      <c r="AF271" s="354"/>
      <c r="AG271" s="354"/>
      <c r="AH271" s="354"/>
      <c r="AI271" s="354"/>
    </row>
    <row r="272" spans="2:35">
      <c r="B272" s="354"/>
      <c r="C272" s="354"/>
      <c r="D272" s="354"/>
      <c r="E272" s="354"/>
      <c r="F272" s="354"/>
      <c r="G272" s="354"/>
      <c r="H272" s="354"/>
      <c r="I272" s="354"/>
      <c r="J272" s="354"/>
      <c r="K272" s="354"/>
      <c r="L272" s="354"/>
      <c r="M272" s="354"/>
      <c r="N272" s="354"/>
      <c r="O272" s="354"/>
      <c r="P272" s="354"/>
      <c r="Q272" s="354"/>
      <c r="R272" s="354"/>
      <c r="S272" s="354"/>
      <c r="T272" s="354"/>
      <c r="U272" s="354"/>
      <c r="V272" s="354"/>
      <c r="W272" s="354"/>
      <c r="X272" s="354"/>
      <c r="Y272" s="354"/>
      <c r="Z272" s="354"/>
      <c r="AA272" s="354"/>
      <c r="AB272" s="354"/>
      <c r="AC272" s="354"/>
      <c r="AD272" s="354"/>
      <c r="AE272" s="354"/>
      <c r="AF272" s="354"/>
      <c r="AG272" s="354"/>
      <c r="AH272" s="354"/>
      <c r="AI272" s="354"/>
    </row>
    <row r="273" spans="2:35">
      <c r="B273" s="354"/>
      <c r="C273" s="354"/>
      <c r="D273" s="354"/>
      <c r="E273" s="354"/>
      <c r="F273" s="354"/>
      <c r="G273" s="354"/>
      <c r="H273" s="354"/>
      <c r="I273" s="354"/>
      <c r="J273" s="354"/>
      <c r="K273" s="354"/>
      <c r="L273" s="354"/>
      <c r="M273" s="354"/>
      <c r="N273" s="354"/>
      <c r="O273" s="354"/>
      <c r="P273" s="354"/>
      <c r="Q273" s="354"/>
      <c r="R273" s="354"/>
      <c r="S273" s="354"/>
      <c r="T273" s="354"/>
      <c r="U273" s="354"/>
      <c r="V273" s="354"/>
      <c r="W273" s="354"/>
      <c r="X273" s="354"/>
      <c r="Y273" s="354"/>
      <c r="Z273" s="354"/>
      <c r="AA273" s="354"/>
      <c r="AB273" s="354"/>
      <c r="AC273" s="354"/>
      <c r="AD273" s="354"/>
      <c r="AE273" s="354"/>
      <c r="AF273" s="354"/>
      <c r="AG273" s="354"/>
      <c r="AH273" s="354"/>
      <c r="AI273" s="354"/>
    </row>
    <row r="274" spans="2:35">
      <c r="B274" s="354"/>
      <c r="C274" s="354"/>
      <c r="D274" s="354"/>
      <c r="E274" s="354"/>
      <c r="F274" s="354"/>
      <c r="G274" s="354"/>
      <c r="H274" s="354"/>
      <c r="I274" s="354"/>
      <c r="J274" s="354"/>
      <c r="K274" s="354"/>
      <c r="L274" s="354"/>
      <c r="M274" s="354"/>
      <c r="N274" s="354"/>
      <c r="O274" s="354"/>
      <c r="P274" s="354"/>
      <c r="Q274" s="354"/>
      <c r="R274" s="354"/>
      <c r="S274" s="354"/>
      <c r="T274" s="354"/>
      <c r="U274" s="354"/>
      <c r="V274" s="354"/>
      <c r="W274" s="354"/>
      <c r="X274" s="354"/>
      <c r="Y274" s="354"/>
      <c r="Z274" s="354"/>
      <c r="AA274" s="354"/>
      <c r="AB274" s="354"/>
      <c r="AC274" s="354"/>
      <c r="AD274" s="354"/>
      <c r="AE274" s="354"/>
      <c r="AF274" s="354"/>
      <c r="AG274" s="354"/>
      <c r="AH274" s="354"/>
      <c r="AI274" s="354"/>
    </row>
    <row r="275" spans="2:35">
      <c r="B275" s="354"/>
      <c r="C275" s="354"/>
      <c r="D275" s="354"/>
      <c r="E275" s="354"/>
      <c r="F275" s="354"/>
      <c r="G275" s="354"/>
      <c r="H275" s="354"/>
      <c r="I275" s="354"/>
      <c r="J275" s="354"/>
      <c r="K275" s="354"/>
      <c r="L275" s="354"/>
      <c r="M275" s="354"/>
      <c r="N275" s="354"/>
      <c r="O275" s="354"/>
      <c r="P275" s="354"/>
      <c r="Q275" s="354"/>
      <c r="R275" s="354"/>
      <c r="S275" s="354"/>
      <c r="T275" s="354"/>
      <c r="U275" s="354"/>
      <c r="V275" s="354"/>
      <c r="W275" s="354"/>
      <c r="X275" s="354"/>
      <c r="Y275" s="354"/>
      <c r="Z275" s="354"/>
      <c r="AA275" s="354"/>
      <c r="AB275" s="354"/>
      <c r="AC275" s="354"/>
      <c r="AD275" s="354"/>
      <c r="AE275" s="354"/>
      <c r="AF275" s="354"/>
      <c r="AG275" s="354"/>
      <c r="AH275" s="354"/>
      <c r="AI275" s="354"/>
    </row>
    <row r="276" spans="2:35">
      <c r="B276" s="354"/>
      <c r="C276" s="354"/>
      <c r="D276" s="354"/>
      <c r="E276" s="354"/>
      <c r="F276" s="354"/>
      <c r="G276" s="354"/>
      <c r="H276" s="354"/>
      <c r="I276" s="354"/>
      <c r="J276" s="354"/>
      <c r="K276" s="354"/>
      <c r="L276" s="354"/>
      <c r="M276" s="354"/>
      <c r="N276" s="354"/>
      <c r="O276" s="354"/>
      <c r="P276" s="354"/>
      <c r="Q276" s="354"/>
      <c r="R276" s="354"/>
      <c r="S276" s="354"/>
      <c r="T276" s="354"/>
      <c r="U276" s="354"/>
      <c r="V276" s="354"/>
      <c r="W276" s="354"/>
      <c r="X276" s="354"/>
      <c r="Y276" s="354"/>
      <c r="Z276" s="354"/>
      <c r="AA276" s="354"/>
      <c r="AB276" s="354"/>
      <c r="AC276" s="354"/>
      <c r="AD276" s="354"/>
      <c r="AE276" s="354"/>
      <c r="AF276" s="354"/>
      <c r="AG276" s="354"/>
      <c r="AH276" s="354"/>
      <c r="AI276" s="354"/>
    </row>
    <row r="277" spans="2:35">
      <c r="B277" s="354"/>
      <c r="C277" s="354"/>
      <c r="D277" s="354"/>
      <c r="E277" s="354"/>
      <c r="F277" s="354"/>
      <c r="G277" s="354"/>
      <c r="H277" s="354"/>
      <c r="I277" s="354"/>
      <c r="J277" s="354"/>
      <c r="K277" s="354"/>
      <c r="L277" s="354"/>
      <c r="M277" s="354"/>
      <c r="N277" s="354"/>
      <c r="O277" s="354"/>
      <c r="P277" s="354"/>
      <c r="Q277" s="354"/>
      <c r="R277" s="354"/>
      <c r="S277" s="354"/>
      <c r="T277" s="354"/>
      <c r="U277" s="354"/>
      <c r="V277" s="354"/>
      <c r="W277" s="354"/>
      <c r="X277" s="354"/>
      <c r="Y277" s="354"/>
      <c r="Z277" s="354"/>
      <c r="AA277" s="354"/>
      <c r="AB277" s="354"/>
      <c r="AC277" s="354"/>
      <c r="AD277" s="354"/>
      <c r="AE277" s="354"/>
      <c r="AF277" s="354"/>
      <c r="AG277" s="354"/>
      <c r="AH277" s="354"/>
      <c r="AI277" s="354"/>
    </row>
    <row r="278" spans="2:35">
      <c r="B278" s="354"/>
      <c r="C278" s="354"/>
      <c r="D278" s="354"/>
      <c r="E278" s="354"/>
      <c r="F278" s="354"/>
      <c r="G278" s="354"/>
      <c r="H278" s="354"/>
      <c r="I278" s="354"/>
      <c r="J278" s="354"/>
      <c r="K278" s="354"/>
      <c r="L278" s="354"/>
      <c r="M278" s="354"/>
      <c r="N278" s="354"/>
      <c r="O278" s="354"/>
      <c r="P278" s="354"/>
      <c r="Q278" s="354"/>
      <c r="R278" s="354"/>
      <c r="S278" s="354"/>
      <c r="T278" s="354"/>
      <c r="U278" s="354"/>
      <c r="V278" s="354"/>
      <c r="W278" s="354"/>
      <c r="X278" s="354"/>
      <c r="Y278" s="354"/>
      <c r="Z278" s="354"/>
      <c r="AA278" s="354"/>
      <c r="AB278" s="354"/>
      <c r="AC278" s="354"/>
      <c r="AD278" s="354"/>
      <c r="AE278" s="354"/>
      <c r="AF278" s="354"/>
      <c r="AG278" s="354"/>
      <c r="AH278" s="354"/>
      <c r="AI278" s="354"/>
    </row>
    <row r="279" spans="2:35">
      <c r="B279" s="354"/>
      <c r="C279" s="354"/>
      <c r="D279" s="354"/>
      <c r="E279" s="354"/>
      <c r="F279" s="354"/>
      <c r="G279" s="354"/>
      <c r="H279" s="354"/>
      <c r="I279" s="354"/>
      <c r="J279" s="354"/>
      <c r="K279" s="354"/>
      <c r="L279" s="354"/>
      <c r="M279" s="354"/>
      <c r="N279" s="354"/>
      <c r="O279" s="354"/>
      <c r="P279" s="354"/>
      <c r="Q279" s="354"/>
      <c r="R279" s="354"/>
      <c r="S279" s="354"/>
      <c r="T279" s="354"/>
      <c r="U279" s="354"/>
      <c r="V279" s="354"/>
      <c r="W279" s="354"/>
      <c r="X279" s="354"/>
      <c r="Y279" s="354"/>
      <c r="Z279" s="354"/>
      <c r="AA279" s="354"/>
      <c r="AB279" s="354"/>
      <c r="AC279" s="354"/>
      <c r="AD279" s="354"/>
      <c r="AE279" s="354"/>
      <c r="AF279" s="354"/>
      <c r="AG279" s="354"/>
      <c r="AH279" s="354"/>
      <c r="AI279" s="354"/>
    </row>
    <row r="280" spans="2:35">
      <c r="B280" s="354"/>
      <c r="C280" s="354"/>
      <c r="D280" s="354"/>
      <c r="E280" s="354"/>
      <c r="F280" s="354"/>
      <c r="G280" s="354"/>
      <c r="H280" s="354"/>
      <c r="I280" s="354"/>
      <c r="J280" s="354"/>
      <c r="K280" s="354"/>
      <c r="L280" s="354"/>
      <c r="M280" s="354"/>
      <c r="N280" s="354"/>
      <c r="O280" s="354"/>
      <c r="P280" s="354"/>
      <c r="Q280" s="354"/>
      <c r="R280" s="354"/>
      <c r="S280" s="354"/>
      <c r="T280" s="354"/>
      <c r="U280" s="354"/>
      <c r="V280" s="354"/>
      <c r="W280" s="354"/>
      <c r="X280" s="354"/>
      <c r="Y280" s="354"/>
      <c r="Z280" s="354"/>
      <c r="AA280" s="354"/>
      <c r="AB280" s="354"/>
      <c r="AC280" s="354"/>
      <c r="AD280" s="354"/>
      <c r="AE280" s="354"/>
      <c r="AF280" s="354"/>
      <c r="AG280" s="354"/>
      <c r="AH280" s="354"/>
      <c r="AI280" s="354"/>
    </row>
    <row r="281" spans="2:35">
      <c r="B281" s="354"/>
      <c r="C281" s="354"/>
      <c r="D281" s="354"/>
      <c r="E281" s="354"/>
      <c r="F281" s="354"/>
      <c r="G281" s="354"/>
      <c r="H281" s="354"/>
      <c r="I281" s="354"/>
      <c r="J281" s="354"/>
      <c r="K281" s="354"/>
      <c r="L281" s="354"/>
      <c r="M281" s="354"/>
      <c r="N281" s="354"/>
      <c r="O281" s="354"/>
      <c r="P281" s="354"/>
      <c r="Q281" s="354"/>
      <c r="R281" s="354"/>
      <c r="S281" s="354"/>
      <c r="T281" s="354"/>
      <c r="U281" s="354"/>
      <c r="V281" s="354"/>
      <c r="W281" s="354"/>
      <c r="X281" s="354"/>
      <c r="Y281" s="354"/>
      <c r="Z281" s="354"/>
      <c r="AA281" s="354"/>
      <c r="AB281" s="354"/>
      <c r="AC281" s="354"/>
      <c r="AD281" s="354"/>
      <c r="AE281" s="354"/>
      <c r="AF281" s="354"/>
      <c r="AG281" s="354"/>
      <c r="AH281" s="354"/>
      <c r="AI281" s="354"/>
    </row>
    <row r="282" spans="2:35">
      <c r="B282" s="354"/>
      <c r="C282" s="354"/>
      <c r="D282" s="354"/>
      <c r="E282" s="354"/>
      <c r="F282" s="354"/>
      <c r="G282" s="354"/>
      <c r="H282" s="354"/>
      <c r="I282" s="354"/>
      <c r="J282" s="354"/>
      <c r="K282" s="354"/>
      <c r="L282" s="354"/>
      <c r="M282" s="354"/>
      <c r="N282" s="354"/>
      <c r="O282" s="354"/>
      <c r="P282" s="354"/>
      <c r="Q282" s="354"/>
      <c r="R282" s="354"/>
      <c r="S282" s="354"/>
      <c r="T282" s="354"/>
      <c r="U282" s="354"/>
      <c r="V282" s="354"/>
      <c r="W282" s="354"/>
      <c r="X282" s="354"/>
      <c r="Y282" s="354"/>
      <c r="Z282" s="354"/>
      <c r="AA282" s="354"/>
      <c r="AB282" s="354"/>
      <c r="AC282" s="354"/>
      <c r="AD282" s="354"/>
      <c r="AE282" s="354"/>
      <c r="AF282" s="354"/>
      <c r="AG282" s="354"/>
      <c r="AH282" s="354"/>
      <c r="AI282" s="354"/>
    </row>
    <row r="283" spans="2:35">
      <c r="B283" s="354"/>
      <c r="C283" s="354"/>
      <c r="D283" s="354"/>
      <c r="E283" s="354"/>
      <c r="F283" s="354"/>
      <c r="G283" s="354"/>
      <c r="H283" s="354"/>
      <c r="I283" s="354"/>
      <c r="J283" s="354"/>
      <c r="K283" s="354"/>
      <c r="L283" s="354"/>
      <c r="M283" s="354"/>
      <c r="N283" s="354"/>
      <c r="O283" s="354"/>
      <c r="P283" s="354"/>
      <c r="Q283" s="354"/>
      <c r="R283" s="354"/>
      <c r="S283" s="354"/>
      <c r="T283" s="354"/>
      <c r="U283" s="354"/>
      <c r="V283" s="354"/>
      <c r="W283" s="354"/>
      <c r="X283" s="354"/>
      <c r="Y283" s="354"/>
      <c r="Z283" s="354"/>
      <c r="AA283" s="354"/>
      <c r="AB283" s="354"/>
      <c r="AC283" s="354"/>
      <c r="AD283" s="354"/>
      <c r="AE283" s="354"/>
      <c r="AF283" s="354"/>
      <c r="AG283" s="354"/>
      <c r="AH283" s="354"/>
      <c r="AI283" s="354"/>
    </row>
    <row r="284" spans="2:35">
      <c r="B284" s="354"/>
      <c r="C284" s="354"/>
      <c r="D284" s="354"/>
      <c r="E284" s="354"/>
      <c r="F284" s="354"/>
      <c r="G284" s="354"/>
      <c r="H284" s="354"/>
      <c r="I284" s="354"/>
      <c r="J284" s="354"/>
      <c r="K284" s="354"/>
      <c r="L284" s="354"/>
      <c r="M284" s="354"/>
      <c r="N284" s="354"/>
      <c r="O284" s="354"/>
      <c r="P284" s="354"/>
      <c r="Q284" s="354"/>
      <c r="R284" s="354"/>
      <c r="S284" s="354"/>
      <c r="T284" s="354"/>
      <c r="U284" s="354"/>
      <c r="V284" s="354"/>
      <c r="W284" s="354"/>
      <c r="X284" s="354"/>
      <c r="Y284" s="354"/>
      <c r="Z284" s="354"/>
      <c r="AA284" s="354"/>
      <c r="AB284" s="354"/>
      <c r="AC284" s="354"/>
      <c r="AD284" s="354"/>
      <c r="AE284" s="354"/>
      <c r="AF284" s="354"/>
      <c r="AG284" s="354"/>
      <c r="AH284" s="354"/>
      <c r="AI284" s="354"/>
    </row>
    <row r="285" spans="2:35">
      <c r="B285" s="354"/>
      <c r="C285" s="354"/>
      <c r="D285" s="354"/>
      <c r="E285" s="354"/>
      <c r="F285" s="354"/>
      <c r="G285" s="354"/>
      <c r="H285" s="354"/>
      <c r="I285" s="354"/>
      <c r="J285" s="354"/>
      <c r="K285" s="354"/>
      <c r="L285" s="354"/>
      <c r="M285" s="354"/>
      <c r="N285" s="354"/>
      <c r="O285" s="354"/>
      <c r="P285" s="354"/>
      <c r="Q285" s="354"/>
      <c r="R285" s="354"/>
      <c r="S285" s="354"/>
      <c r="T285" s="354"/>
      <c r="U285" s="354"/>
      <c r="V285" s="354"/>
      <c r="W285" s="354"/>
      <c r="X285" s="354"/>
      <c r="Y285" s="354"/>
      <c r="Z285" s="354"/>
      <c r="AA285" s="354"/>
      <c r="AB285" s="354"/>
      <c r="AC285" s="354"/>
      <c r="AD285" s="354"/>
      <c r="AE285" s="354"/>
      <c r="AF285" s="354"/>
      <c r="AG285" s="354"/>
      <c r="AH285" s="354"/>
      <c r="AI285" s="354"/>
    </row>
    <row r="286" spans="2:35">
      <c r="B286" s="354"/>
      <c r="C286" s="354"/>
      <c r="D286" s="354"/>
      <c r="E286" s="354"/>
      <c r="F286" s="354"/>
      <c r="G286" s="354"/>
      <c r="H286" s="354"/>
      <c r="I286" s="354"/>
      <c r="J286" s="354"/>
      <c r="K286" s="354"/>
      <c r="L286" s="354"/>
      <c r="M286" s="354"/>
      <c r="N286" s="354"/>
      <c r="O286" s="354"/>
      <c r="P286" s="354"/>
      <c r="Q286" s="354"/>
      <c r="R286" s="354"/>
      <c r="S286" s="354"/>
      <c r="T286" s="354"/>
      <c r="U286" s="354"/>
      <c r="V286" s="354"/>
      <c r="W286" s="354"/>
      <c r="X286" s="354"/>
      <c r="Y286" s="354"/>
      <c r="Z286" s="354"/>
      <c r="AA286" s="354"/>
      <c r="AB286" s="354"/>
      <c r="AC286" s="354"/>
      <c r="AD286" s="354"/>
      <c r="AE286" s="354"/>
      <c r="AF286" s="354"/>
      <c r="AG286" s="354"/>
      <c r="AH286" s="354"/>
      <c r="AI286" s="354"/>
    </row>
    <row r="287" spans="2:35">
      <c r="B287" s="354"/>
      <c r="C287" s="354"/>
      <c r="D287" s="354"/>
      <c r="E287" s="354"/>
      <c r="F287" s="354"/>
      <c r="G287" s="354"/>
      <c r="H287" s="354"/>
      <c r="I287" s="354"/>
      <c r="J287" s="354"/>
      <c r="K287" s="354"/>
      <c r="L287" s="354"/>
      <c r="M287" s="354"/>
      <c r="N287" s="354"/>
      <c r="O287" s="354"/>
      <c r="P287" s="354"/>
      <c r="Q287" s="354"/>
      <c r="R287" s="354"/>
      <c r="S287" s="354"/>
      <c r="T287" s="354"/>
      <c r="U287" s="354"/>
      <c r="V287" s="354"/>
      <c r="W287" s="354"/>
      <c r="X287" s="354"/>
      <c r="Y287" s="354"/>
      <c r="Z287" s="354"/>
      <c r="AA287" s="354"/>
      <c r="AB287" s="354"/>
      <c r="AC287" s="354"/>
      <c r="AD287" s="354"/>
      <c r="AE287" s="354"/>
      <c r="AF287" s="354"/>
      <c r="AG287" s="354"/>
      <c r="AH287" s="354"/>
      <c r="AI287" s="354"/>
    </row>
    <row r="288" spans="2:35">
      <c r="B288" s="354"/>
      <c r="C288" s="354"/>
      <c r="D288" s="354"/>
      <c r="E288" s="354"/>
      <c r="F288" s="354"/>
      <c r="G288" s="354"/>
      <c r="H288" s="354"/>
      <c r="I288" s="354"/>
      <c r="J288" s="354"/>
      <c r="K288" s="354"/>
      <c r="L288" s="354"/>
      <c r="M288" s="354"/>
      <c r="N288" s="354"/>
      <c r="O288" s="354"/>
      <c r="P288" s="354"/>
      <c r="Q288" s="354"/>
      <c r="R288" s="354"/>
      <c r="S288" s="354"/>
      <c r="T288" s="354"/>
      <c r="U288" s="354"/>
      <c r="V288" s="354"/>
      <c r="W288" s="354"/>
      <c r="X288" s="354"/>
      <c r="Y288" s="354"/>
      <c r="Z288" s="354"/>
      <c r="AA288" s="354"/>
      <c r="AB288" s="354"/>
      <c r="AC288" s="354"/>
      <c r="AD288" s="354"/>
      <c r="AE288" s="354"/>
      <c r="AF288" s="354"/>
      <c r="AG288" s="354"/>
      <c r="AH288" s="354"/>
      <c r="AI288" s="354"/>
    </row>
    <row r="289" spans="2:35">
      <c r="B289" s="354"/>
      <c r="C289" s="354"/>
      <c r="D289" s="354"/>
      <c r="E289" s="354"/>
      <c r="F289" s="354"/>
      <c r="G289" s="354"/>
      <c r="H289" s="354"/>
      <c r="I289" s="354"/>
      <c r="J289" s="354"/>
      <c r="K289" s="354"/>
      <c r="L289" s="354"/>
      <c r="M289" s="354"/>
      <c r="N289" s="354"/>
      <c r="O289" s="354"/>
      <c r="P289" s="354"/>
      <c r="Q289" s="354"/>
      <c r="R289" s="354"/>
      <c r="S289" s="354"/>
      <c r="T289" s="354"/>
      <c r="U289" s="354"/>
      <c r="V289" s="354"/>
      <c r="W289" s="354"/>
      <c r="X289" s="354"/>
      <c r="Y289" s="354"/>
      <c r="Z289" s="354"/>
      <c r="AA289" s="354"/>
      <c r="AB289" s="354"/>
      <c r="AC289" s="354"/>
      <c r="AD289" s="354"/>
      <c r="AE289" s="354"/>
      <c r="AF289" s="354"/>
      <c r="AG289" s="354"/>
      <c r="AH289" s="354"/>
      <c r="AI289" s="354"/>
    </row>
    <row r="290" spans="2:35">
      <c r="B290" s="354"/>
      <c r="C290" s="354"/>
      <c r="D290" s="354"/>
      <c r="E290" s="354"/>
      <c r="F290" s="354"/>
      <c r="G290" s="354"/>
      <c r="H290" s="354"/>
      <c r="I290" s="354"/>
      <c r="J290" s="354"/>
      <c r="K290" s="354"/>
      <c r="L290" s="354"/>
      <c r="M290" s="354"/>
      <c r="N290" s="354"/>
      <c r="O290" s="354"/>
      <c r="P290" s="354"/>
      <c r="Q290" s="354"/>
      <c r="R290" s="354"/>
      <c r="S290" s="354"/>
      <c r="T290" s="354"/>
      <c r="U290" s="354"/>
      <c r="V290" s="354"/>
      <c r="W290" s="354"/>
      <c r="X290" s="354"/>
      <c r="Y290" s="354"/>
      <c r="Z290" s="354"/>
      <c r="AA290" s="354"/>
      <c r="AB290" s="354"/>
      <c r="AC290" s="354"/>
      <c r="AD290" s="354"/>
      <c r="AE290" s="354"/>
      <c r="AF290" s="354"/>
      <c r="AG290" s="354"/>
      <c r="AH290" s="354"/>
      <c r="AI290" s="354"/>
    </row>
    <row r="291" spans="2:35">
      <c r="B291" s="354"/>
      <c r="C291" s="354"/>
      <c r="D291" s="354"/>
      <c r="E291" s="354"/>
      <c r="F291" s="354"/>
      <c r="G291" s="354"/>
      <c r="H291" s="354"/>
      <c r="I291" s="354"/>
      <c r="J291" s="354"/>
      <c r="K291" s="354"/>
      <c r="L291" s="354"/>
      <c r="M291" s="354"/>
      <c r="N291" s="354"/>
      <c r="O291" s="354"/>
      <c r="P291" s="354"/>
      <c r="Q291" s="354"/>
      <c r="R291" s="354"/>
      <c r="S291" s="354"/>
      <c r="T291" s="354"/>
      <c r="U291" s="354"/>
      <c r="V291" s="354"/>
      <c r="W291" s="354"/>
      <c r="X291" s="354"/>
      <c r="Y291" s="354"/>
      <c r="Z291" s="354"/>
      <c r="AA291" s="354"/>
      <c r="AB291" s="354"/>
      <c r="AC291" s="354"/>
      <c r="AD291" s="354"/>
      <c r="AE291" s="354"/>
      <c r="AF291" s="354"/>
      <c r="AG291" s="354"/>
      <c r="AH291" s="354"/>
      <c r="AI291" s="354"/>
    </row>
    <row r="292" spans="2:35">
      <c r="B292" s="354"/>
      <c r="C292" s="354"/>
      <c r="D292" s="354"/>
      <c r="E292" s="354"/>
      <c r="F292" s="354"/>
      <c r="G292" s="354"/>
      <c r="H292" s="354"/>
      <c r="I292" s="354"/>
      <c r="J292" s="354"/>
      <c r="K292" s="354"/>
      <c r="L292" s="354"/>
      <c r="M292" s="354"/>
      <c r="N292" s="354"/>
      <c r="O292" s="354"/>
      <c r="P292" s="354"/>
      <c r="Q292" s="354"/>
      <c r="R292" s="354"/>
      <c r="S292" s="354"/>
      <c r="T292" s="354"/>
      <c r="U292" s="354"/>
      <c r="V292" s="354"/>
      <c r="W292" s="354"/>
      <c r="X292" s="354"/>
      <c r="Y292" s="354"/>
      <c r="Z292" s="354"/>
      <c r="AA292" s="354"/>
      <c r="AB292" s="354"/>
      <c r="AC292" s="354"/>
      <c r="AD292" s="354"/>
      <c r="AE292" s="354"/>
      <c r="AF292" s="354"/>
      <c r="AG292" s="354"/>
      <c r="AH292" s="354"/>
      <c r="AI292" s="354"/>
    </row>
    <row r="293" spans="2:35">
      <c r="B293" s="354"/>
      <c r="C293" s="354"/>
      <c r="D293" s="354"/>
      <c r="E293" s="354"/>
      <c r="F293" s="354"/>
      <c r="G293" s="354"/>
      <c r="H293" s="354"/>
      <c r="I293" s="354"/>
      <c r="J293" s="354"/>
      <c r="K293" s="354"/>
      <c r="L293" s="354"/>
      <c r="M293" s="354"/>
      <c r="N293" s="354"/>
      <c r="O293" s="354"/>
      <c r="P293" s="354"/>
      <c r="Q293" s="354"/>
      <c r="R293" s="354"/>
      <c r="S293" s="354"/>
      <c r="T293" s="354"/>
      <c r="U293" s="354"/>
      <c r="V293" s="354"/>
      <c r="W293" s="354"/>
      <c r="X293" s="354"/>
      <c r="Y293" s="354"/>
      <c r="Z293" s="354"/>
      <c r="AA293" s="354"/>
      <c r="AB293" s="354"/>
      <c r="AC293" s="354"/>
      <c r="AD293" s="354"/>
      <c r="AE293" s="354"/>
      <c r="AF293" s="354"/>
      <c r="AG293" s="354"/>
      <c r="AH293" s="354"/>
      <c r="AI293" s="354"/>
    </row>
    <row r="294" spans="2:35">
      <c r="B294" s="354"/>
      <c r="C294" s="354"/>
      <c r="D294" s="354"/>
      <c r="E294" s="354"/>
      <c r="F294" s="354"/>
      <c r="G294" s="354"/>
      <c r="H294" s="354"/>
      <c r="I294" s="354"/>
      <c r="J294" s="354"/>
      <c r="K294" s="354"/>
      <c r="L294" s="354"/>
      <c r="M294" s="354"/>
      <c r="N294" s="354"/>
      <c r="O294" s="354"/>
      <c r="P294" s="354"/>
      <c r="Q294" s="354"/>
      <c r="R294" s="354"/>
      <c r="S294" s="354"/>
      <c r="T294" s="354"/>
      <c r="U294" s="354"/>
      <c r="V294" s="354"/>
      <c r="W294" s="354"/>
      <c r="X294" s="354"/>
      <c r="Y294" s="354"/>
      <c r="Z294" s="354"/>
      <c r="AA294" s="354"/>
      <c r="AB294" s="354"/>
      <c r="AC294" s="354"/>
      <c r="AD294" s="354"/>
      <c r="AE294" s="354"/>
      <c r="AF294" s="354"/>
      <c r="AG294" s="354"/>
      <c r="AH294" s="354"/>
      <c r="AI294" s="354"/>
    </row>
    <row r="295" spans="2:35">
      <c r="B295" s="354"/>
      <c r="C295" s="354"/>
      <c r="D295" s="354"/>
      <c r="E295" s="354"/>
      <c r="F295" s="354"/>
      <c r="G295" s="354"/>
      <c r="H295" s="354"/>
      <c r="I295" s="354"/>
      <c r="J295" s="354"/>
      <c r="K295" s="354"/>
      <c r="L295" s="354"/>
      <c r="M295" s="354"/>
      <c r="N295" s="354"/>
      <c r="O295" s="354"/>
      <c r="P295" s="354"/>
      <c r="Q295" s="354"/>
      <c r="R295" s="354"/>
      <c r="S295" s="354"/>
      <c r="T295" s="354"/>
      <c r="U295" s="354"/>
      <c r="V295" s="354"/>
      <c r="W295" s="354"/>
      <c r="X295" s="354"/>
      <c r="Y295" s="354"/>
      <c r="Z295" s="354"/>
      <c r="AA295" s="354"/>
      <c r="AB295" s="354"/>
      <c r="AC295" s="354"/>
      <c r="AD295" s="354"/>
      <c r="AE295" s="354"/>
      <c r="AF295" s="354"/>
      <c r="AG295" s="354"/>
      <c r="AH295" s="354"/>
      <c r="AI295" s="354"/>
    </row>
    <row r="296" spans="2:35">
      <c r="B296" s="354"/>
      <c r="C296" s="354"/>
      <c r="D296" s="354"/>
      <c r="E296" s="354"/>
      <c r="F296" s="354"/>
      <c r="G296" s="354"/>
      <c r="H296" s="354"/>
      <c r="I296" s="354"/>
      <c r="J296" s="354"/>
      <c r="K296" s="354"/>
      <c r="L296" s="354"/>
      <c r="M296" s="354"/>
      <c r="N296" s="354"/>
      <c r="O296" s="354"/>
      <c r="P296" s="354"/>
      <c r="Q296" s="354"/>
      <c r="R296" s="354"/>
      <c r="S296" s="354"/>
      <c r="T296" s="354"/>
      <c r="U296" s="354"/>
      <c r="V296" s="354"/>
      <c r="W296" s="354"/>
      <c r="X296" s="354"/>
      <c r="Y296" s="354"/>
      <c r="Z296" s="354"/>
      <c r="AA296" s="354"/>
      <c r="AB296" s="354"/>
      <c r="AC296" s="354"/>
      <c r="AD296" s="354"/>
      <c r="AE296" s="354"/>
      <c r="AF296" s="354"/>
      <c r="AG296" s="354"/>
      <c r="AH296" s="354"/>
      <c r="AI296" s="354"/>
    </row>
    <row r="297" spans="2:35">
      <c r="B297" s="354"/>
      <c r="C297" s="354"/>
      <c r="D297" s="354"/>
      <c r="E297" s="354"/>
      <c r="F297" s="354"/>
      <c r="G297" s="354"/>
      <c r="H297" s="354"/>
      <c r="I297" s="354"/>
      <c r="J297" s="354"/>
      <c r="K297" s="354"/>
      <c r="L297" s="354"/>
      <c r="M297" s="354"/>
      <c r="N297" s="354"/>
      <c r="O297" s="354"/>
      <c r="P297" s="354"/>
      <c r="Q297" s="354"/>
      <c r="R297" s="354"/>
      <c r="S297" s="354"/>
      <c r="T297" s="354"/>
      <c r="U297" s="354"/>
      <c r="V297" s="354"/>
      <c r="W297" s="354"/>
      <c r="X297" s="354"/>
      <c r="Y297" s="354"/>
      <c r="Z297" s="354"/>
      <c r="AA297" s="354"/>
      <c r="AB297" s="354"/>
      <c r="AC297" s="354"/>
      <c r="AD297" s="354"/>
      <c r="AE297" s="354"/>
      <c r="AF297" s="354"/>
      <c r="AG297" s="354"/>
      <c r="AH297" s="354"/>
      <c r="AI297" s="354"/>
    </row>
    <row r="298" spans="2:35">
      <c r="B298" s="354"/>
      <c r="C298" s="354"/>
      <c r="D298" s="354"/>
      <c r="E298" s="354"/>
      <c r="F298" s="354"/>
      <c r="G298" s="354"/>
      <c r="H298" s="354"/>
      <c r="I298" s="354"/>
      <c r="J298" s="354"/>
      <c r="K298" s="354"/>
      <c r="L298" s="354"/>
      <c r="M298" s="354"/>
      <c r="N298" s="354"/>
      <c r="O298" s="354"/>
      <c r="P298" s="354"/>
      <c r="Q298" s="354"/>
      <c r="R298" s="354"/>
      <c r="S298" s="354"/>
      <c r="T298" s="354"/>
      <c r="U298" s="354"/>
      <c r="V298" s="354"/>
      <c r="W298" s="354"/>
      <c r="X298" s="354"/>
      <c r="Y298" s="354"/>
      <c r="Z298" s="354"/>
      <c r="AA298" s="354"/>
      <c r="AB298" s="354"/>
      <c r="AC298" s="354"/>
      <c r="AD298" s="354"/>
      <c r="AE298" s="354"/>
      <c r="AF298" s="354"/>
      <c r="AG298" s="354"/>
      <c r="AH298" s="354"/>
      <c r="AI298" s="354"/>
    </row>
    <row r="299" spans="2:35">
      <c r="B299" s="354"/>
      <c r="C299" s="354"/>
      <c r="D299" s="354"/>
      <c r="E299" s="354"/>
      <c r="F299" s="354"/>
      <c r="G299" s="354"/>
      <c r="H299" s="354"/>
      <c r="I299" s="354"/>
      <c r="J299" s="354"/>
      <c r="K299" s="354"/>
      <c r="L299" s="354"/>
      <c r="M299" s="354"/>
      <c r="N299" s="354"/>
      <c r="O299" s="354"/>
      <c r="P299" s="354"/>
      <c r="Q299" s="354"/>
      <c r="R299" s="354"/>
      <c r="S299" s="354"/>
      <c r="T299" s="354"/>
      <c r="U299" s="354"/>
      <c r="V299" s="354"/>
      <c r="W299" s="354"/>
      <c r="X299" s="354"/>
      <c r="Y299" s="354"/>
      <c r="Z299" s="354"/>
      <c r="AA299" s="354"/>
      <c r="AB299" s="354"/>
      <c r="AC299" s="354"/>
      <c r="AD299" s="354"/>
      <c r="AE299" s="354"/>
      <c r="AF299" s="354"/>
      <c r="AG299" s="354"/>
      <c r="AH299" s="354"/>
      <c r="AI299" s="354"/>
    </row>
    <row r="300" spans="2:35">
      <c r="B300" s="354"/>
      <c r="C300" s="354"/>
      <c r="D300" s="354"/>
      <c r="E300" s="354"/>
      <c r="F300" s="354"/>
      <c r="G300" s="354"/>
      <c r="H300" s="354"/>
      <c r="I300" s="354"/>
      <c r="J300" s="354"/>
      <c r="K300" s="354"/>
      <c r="L300" s="354"/>
      <c r="M300" s="354"/>
      <c r="N300" s="354"/>
      <c r="O300" s="354"/>
      <c r="P300" s="354"/>
      <c r="Q300" s="354"/>
      <c r="R300" s="354"/>
      <c r="S300" s="354"/>
      <c r="T300" s="354"/>
      <c r="U300" s="354"/>
      <c r="V300" s="354"/>
      <c r="W300" s="354"/>
      <c r="X300" s="354"/>
      <c r="Y300" s="354"/>
      <c r="Z300" s="354"/>
      <c r="AA300" s="354"/>
      <c r="AB300" s="354"/>
      <c r="AC300" s="354"/>
      <c r="AD300" s="354"/>
      <c r="AE300" s="354"/>
      <c r="AF300" s="354"/>
      <c r="AG300" s="354"/>
      <c r="AH300" s="354"/>
      <c r="AI300" s="354"/>
    </row>
    <row r="301" spans="2:35">
      <c r="B301" s="354"/>
      <c r="C301" s="354"/>
      <c r="D301" s="354"/>
      <c r="E301" s="354"/>
      <c r="F301" s="354"/>
      <c r="G301" s="354"/>
      <c r="H301" s="354"/>
      <c r="I301" s="354"/>
      <c r="J301" s="354"/>
      <c r="K301" s="354"/>
      <c r="L301" s="354"/>
      <c r="M301" s="354"/>
      <c r="N301" s="354"/>
      <c r="O301" s="354"/>
      <c r="P301" s="354"/>
      <c r="Q301" s="354"/>
      <c r="R301" s="354"/>
      <c r="S301" s="354"/>
      <c r="T301" s="354"/>
      <c r="U301" s="354"/>
      <c r="V301" s="354"/>
      <c r="W301" s="354"/>
      <c r="X301" s="354"/>
      <c r="Y301" s="354"/>
      <c r="Z301" s="354"/>
      <c r="AA301" s="354"/>
      <c r="AB301" s="354"/>
      <c r="AC301" s="354"/>
      <c r="AD301" s="354"/>
      <c r="AE301" s="354"/>
      <c r="AF301" s="354"/>
      <c r="AG301" s="354"/>
      <c r="AH301" s="354"/>
      <c r="AI301" s="354"/>
    </row>
    <row r="302" spans="2:35">
      <c r="B302" s="354"/>
      <c r="C302" s="354"/>
      <c r="D302" s="354"/>
      <c r="E302" s="354"/>
      <c r="F302" s="354"/>
      <c r="G302" s="354"/>
      <c r="H302" s="354"/>
      <c r="I302" s="354"/>
      <c r="J302" s="354"/>
      <c r="K302" s="354"/>
      <c r="L302" s="354"/>
      <c r="M302" s="354"/>
      <c r="N302" s="354"/>
      <c r="O302" s="354"/>
      <c r="P302" s="354"/>
      <c r="Q302" s="354"/>
      <c r="R302" s="354"/>
      <c r="S302" s="354"/>
      <c r="T302" s="354"/>
      <c r="U302" s="354"/>
      <c r="V302" s="354"/>
      <c r="W302" s="354"/>
      <c r="X302" s="354"/>
      <c r="Y302" s="354"/>
      <c r="Z302" s="354"/>
      <c r="AA302" s="354"/>
      <c r="AB302" s="354"/>
      <c r="AC302" s="354"/>
      <c r="AD302" s="354"/>
      <c r="AE302" s="354"/>
      <c r="AF302" s="354"/>
      <c r="AG302" s="354"/>
      <c r="AH302" s="354"/>
      <c r="AI302" s="354"/>
    </row>
    <row r="303" spans="2:35">
      <c r="B303" s="354"/>
      <c r="C303" s="354"/>
      <c r="D303" s="354"/>
      <c r="E303" s="354"/>
      <c r="F303" s="354"/>
      <c r="G303" s="354"/>
      <c r="H303" s="354"/>
      <c r="I303" s="354"/>
      <c r="J303" s="354"/>
      <c r="K303" s="354"/>
      <c r="L303" s="354"/>
      <c r="M303" s="354"/>
      <c r="N303" s="354"/>
      <c r="O303" s="354"/>
      <c r="P303" s="354"/>
      <c r="Q303" s="354"/>
      <c r="R303" s="354"/>
      <c r="S303" s="354"/>
      <c r="T303" s="354"/>
      <c r="U303" s="354"/>
      <c r="V303" s="354"/>
      <c r="W303" s="354"/>
      <c r="X303" s="354"/>
      <c r="Y303" s="354"/>
      <c r="Z303" s="354"/>
      <c r="AA303" s="354"/>
      <c r="AB303" s="354"/>
      <c r="AC303" s="354"/>
      <c r="AD303" s="354"/>
      <c r="AE303" s="354"/>
      <c r="AF303" s="354"/>
      <c r="AG303" s="354"/>
      <c r="AH303" s="354"/>
      <c r="AI303" s="354"/>
    </row>
    <row r="304" spans="2:35">
      <c r="B304" s="354"/>
      <c r="C304" s="354"/>
      <c r="D304" s="354"/>
      <c r="E304" s="354"/>
      <c r="F304" s="354"/>
      <c r="G304" s="354"/>
      <c r="H304" s="354"/>
      <c r="I304" s="354"/>
      <c r="J304" s="354"/>
      <c r="K304" s="354"/>
      <c r="L304" s="354"/>
      <c r="M304" s="354"/>
      <c r="N304" s="354"/>
      <c r="O304" s="354"/>
      <c r="P304" s="354"/>
      <c r="Q304" s="354"/>
      <c r="R304" s="354"/>
      <c r="S304" s="354"/>
      <c r="T304" s="354"/>
      <c r="U304" s="354"/>
      <c r="V304" s="354"/>
      <c r="W304" s="354"/>
      <c r="X304" s="354"/>
      <c r="Y304" s="354"/>
      <c r="Z304" s="354"/>
      <c r="AA304" s="354"/>
      <c r="AB304" s="354"/>
      <c r="AC304" s="354"/>
      <c r="AD304" s="354"/>
      <c r="AE304" s="354"/>
      <c r="AF304" s="354"/>
      <c r="AG304" s="354"/>
      <c r="AH304" s="354"/>
      <c r="AI304" s="354"/>
    </row>
    <row r="305" spans="2:35">
      <c r="B305" s="354"/>
      <c r="C305" s="354"/>
      <c r="D305" s="354"/>
      <c r="E305" s="354"/>
      <c r="F305" s="354"/>
      <c r="G305" s="354"/>
      <c r="H305" s="354"/>
      <c r="I305" s="354"/>
      <c r="J305" s="354"/>
      <c r="K305" s="354"/>
      <c r="L305" s="354"/>
      <c r="M305" s="354"/>
      <c r="N305" s="354"/>
      <c r="O305" s="354"/>
      <c r="P305" s="354"/>
      <c r="Q305" s="354"/>
      <c r="R305" s="354"/>
      <c r="S305" s="354"/>
      <c r="T305" s="354"/>
      <c r="U305" s="354"/>
      <c r="V305" s="354"/>
      <c r="W305" s="354"/>
      <c r="X305" s="354"/>
      <c r="Y305" s="354"/>
      <c r="Z305" s="354"/>
      <c r="AA305" s="354"/>
      <c r="AB305" s="354"/>
      <c r="AC305" s="354"/>
      <c r="AD305" s="354"/>
      <c r="AE305" s="354"/>
      <c r="AF305" s="354"/>
      <c r="AG305" s="354"/>
      <c r="AH305" s="354"/>
      <c r="AI305" s="354"/>
    </row>
    <row r="306" spans="2:35">
      <c r="B306" s="354"/>
      <c r="C306" s="354"/>
      <c r="D306" s="354"/>
      <c r="E306" s="354"/>
      <c r="F306" s="354"/>
      <c r="G306" s="354"/>
      <c r="H306" s="354"/>
      <c r="I306" s="354"/>
      <c r="J306" s="354"/>
      <c r="K306" s="354"/>
      <c r="L306" s="354"/>
      <c r="M306" s="354"/>
      <c r="N306" s="354"/>
      <c r="O306" s="354"/>
      <c r="P306" s="354"/>
      <c r="Q306" s="354"/>
      <c r="R306" s="354"/>
      <c r="S306" s="354"/>
      <c r="T306" s="354"/>
      <c r="U306" s="354"/>
      <c r="V306" s="354"/>
      <c r="W306" s="354"/>
      <c r="X306" s="354"/>
      <c r="Y306" s="354"/>
      <c r="Z306" s="354"/>
      <c r="AA306" s="354"/>
      <c r="AB306" s="354"/>
      <c r="AC306" s="354"/>
      <c r="AD306" s="354"/>
      <c r="AE306" s="354"/>
      <c r="AF306" s="354"/>
      <c r="AG306" s="354"/>
      <c r="AH306" s="354"/>
      <c r="AI306" s="354"/>
    </row>
    <row r="307" spans="2:35">
      <c r="B307" s="354"/>
      <c r="C307" s="354"/>
      <c r="D307" s="354"/>
      <c r="E307" s="354"/>
      <c r="F307" s="354"/>
      <c r="G307" s="354"/>
      <c r="H307" s="354"/>
      <c r="I307" s="354"/>
      <c r="J307" s="354"/>
      <c r="K307" s="354"/>
      <c r="L307" s="354"/>
      <c r="M307" s="354"/>
      <c r="N307" s="354"/>
      <c r="O307" s="354"/>
      <c r="P307" s="354"/>
      <c r="Q307" s="354"/>
      <c r="R307" s="354"/>
      <c r="S307" s="354"/>
      <c r="T307" s="354"/>
      <c r="U307" s="354"/>
      <c r="V307" s="354"/>
      <c r="W307" s="354"/>
      <c r="X307" s="354"/>
      <c r="Y307" s="354"/>
      <c r="Z307" s="354"/>
      <c r="AA307" s="354"/>
      <c r="AB307" s="354"/>
      <c r="AC307" s="354"/>
      <c r="AD307" s="354"/>
      <c r="AE307" s="354"/>
      <c r="AF307" s="354"/>
      <c r="AG307" s="354"/>
      <c r="AH307" s="354"/>
      <c r="AI307" s="354"/>
    </row>
    <row r="308" spans="2:35">
      <c r="B308" s="354"/>
      <c r="C308" s="354"/>
      <c r="D308" s="354"/>
      <c r="E308" s="354"/>
      <c r="F308" s="354"/>
      <c r="G308" s="354"/>
      <c r="H308" s="354"/>
      <c r="I308" s="354"/>
      <c r="J308" s="354"/>
      <c r="K308" s="354"/>
      <c r="L308" s="354"/>
      <c r="M308" s="354"/>
      <c r="N308" s="354"/>
      <c r="O308" s="354"/>
      <c r="P308" s="354"/>
      <c r="Q308" s="354"/>
      <c r="R308" s="354"/>
      <c r="S308" s="354"/>
      <c r="T308" s="354"/>
      <c r="U308" s="354"/>
      <c r="V308" s="354"/>
      <c r="W308" s="354"/>
      <c r="X308" s="354"/>
      <c r="Y308" s="354"/>
      <c r="Z308" s="354"/>
      <c r="AA308" s="354"/>
      <c r="AB308" s="354"/>
      <c r="AC308" s="354"/>
      <c r="AD308" s="354"/>
      <c r="AE308" s="354"/>
      <c r="AF308" s="354"/>
      <c r="AG308" s="354"/>
      <c r="AH308" s="354"/>
      <c r="AI308" s="354"/>
    </row>
    <row r="309" spans="2:35">
      <c r="B309" s="354"/>
      <c r="C309" s="354"/>
      <c r="D309" s="354"/>
      <c r="E309" s="354"/>
      <c r="F309" s="354"/>
      <c r="G309" s="354"/>
      <c r="H309" s="354"/>
      <c r="I309" s="354"/>
      <c r="J309" s="354"/>
      <c r="K309" s="354"/>
      <c r="L309" s="354"/>
      <c r="M309" s="354"/>
      <c r="N309" s="354"/>
      <c r="O309" s="354"/>
      <c r="P309" s="354"/>
      <c r="Q309" s="354"/>
      <c r="R309" s="354"/>
      <c r="S309" s="354"/>
      <c r="T309" s="354"/>
      <c r="U309" s="354"/>
      <c r="V309" s="354"/>
      <c r="W309" s="354"/>
      <c r="X309" s="354"/>
      <c r="Y309" s="354"/>
      <c r="Z309" s="354"/>
      <c r="AA309" s="354"/>
      <c r="AB309" s="354"/>
      <c r="AC309" s="354"/>
      <c r="AD309" s="354"/>
      <c r="AE309" s="354"/>
      <c r="AF309" s="354"/>
      <c r="AG309" s="354"/>
      <c r="AH309" s="354"/>
      <c r="AI309" s="354"/>
    </row>
    <row r="310" spans="2:35">
      <c r="B310" s="354"/>
      <c r="C310" s="354"/>
      <c r="D310" s="354"/>
      <c r="E310" s="354"/>
      <c r="F310" s="354"/>
      <c r="G310" s="354"/>
      <c r="H310" s="354"/>
      <c r="I310" s="354"/>
      <c r="J310" s="354"/>
      <c r="K310" s="354"/>
      <c r="L310" s="354"/>
      <c r="M310" s="354"/>
      <c r="N310" s="354"/>
      <c r="O310" s="354"/>
      <c r="P310" s="354"/>
      <c r="Q310" s="354"/>
      <c r="R310" s="354"/>
      <c r="S310" s="354"/>
      <c r="T310" s="354"/>
      <c r="U310" s="354"/>
      <c r="V310" s="354"/>
      <c r="W310" s="354"/>
      <c r="X310" s="354"/>
      <c r="Y310" s="354"/>
      <c r="Z310" s="354"/>
      <c r="AA310" s="354"/>
      <c r="AB310" s="354"/>
      <c r="AC310" s="354"/>
      <c r="AD310" s="354"/>
      <c r="AE310" s="354"/>
      <c r="AF310" s="354"/>
      <c r="AG310" s="354"/>
      <c r="AH310" s="354"/>
      <c r="AI310" s="354"/>
    </row>
    <row r="311" spans="2:35">
      <c r="B311" s="354"/>
      <c r="C311" s="354"/>
      <c r="D311" s="354"/>
      <c r="E311" s="354"/>
      <c r="F311" s="354"/>
      <c r="G311" s="354"/>
      <c r="H311" s="354"/>
      <c r="I311" s="354"/>
      <c r="J311" s="354"/>
      <c r="K311" s="354"/>
      <c r="L311" s="354"/>
      <c r="M311" s="354"/>
      <c r="N311" s="354"/>
      <c r="O311" s="354"/>
      <c r="P311" s="354"/>
      <c r="Q311" s="354"/>
      <c r="R311" s="354"/>
      <c r="S311" s="354"/>
      <c r="T311" s="354"/>
      <c r="U311" s="354"/>
      <c r="V311" s="354"/>
      <c r="W311" s="354"/>
      <c r="X311" s="354"/>
      <c r="Y311" s="354"/>
      <c r="Z311" s="354"/>
      <c r="AA311" s="354"/>
      <c r="AB311" s="354"/>
      <c r="AC311" s="354"/>
      <c r="AD311" s="354"/>
      <c r="AE311" s="354"/>
      <c r="AF311" s="354"/>
      <c r="AG311" s="354"/>
      <c r="AH311" s="354"/>
      <c r="AI311" s="354"/>
    </row>
    <row r="312" spans="2:35">
      <c r="B312" s="354"/>
      <c r="C312" s="354"/>
      <c r="D312" s="354"/>
      <c r="E312" s="354"/>
      <c r="F312" s="354"/>
      <c r="G312" s="354"/>
      <c r="H312" s="354"/>
      <c r="I312" s="354"/>
      <c r="J312" s="354"/>
      <c r="K312" s="354"/>
      <c r="L312" s="354"/>
      <c r="M312" s="354"/>
      <c r="N312" s="354"/>
      <c r="O312" s="354"/>
      <c r="P312" s="354"/>
      <c r="Q312" s="354"/>
      <c r="R312" s="354"/>
      <c r="S312" s="354"/>
      <c r="T312" s="354"/>
      <c r="U312" s="354"/>
      <c r="V312" s="354"/>
      <c r="W312" s="354"/>
      <c r="X312" s="354"/>
      <c r="Y312" s="354"/>
      <c r="Z312" s="354"/>
      <c r="AA312" s="354"/>
      <c r="AB312" s="354"/>
      <c r="AC312" s="354"/>
      <c r="AD312" s="354"/>
      <c r="AE312" s="354"/>
      <c r="AF312" s="354"/>
      <c r="AG312" s="354"/>
      <c r="AH312" s="354"/>
      <c r="AI312" s="354"/>
    </row>
    <row r="313" spans="2:35">
      <c r="B313" s="354"/>
      <c r="C313" s="354"/>
      <c r="D313" s="354"/>
      <c r="E313" s="354"/>
      <c r="F313" s="354"/>
      <c r="G313" s="354"/>
      <c r="H313" s="354"/>
      <c r="I313" s="354"/>
      <c r="J313" s="354"/>
      <c r="K313" s="354"/>
      <c r="L313" s="354"/>
      <c r="M313" s="354"/>
      <c r="N313" s="354"/>
      <c r="O313" s="354"/>
      <c r="P313" s="354"/>
      <c r="Q313" s="354"/>
      <c r="R313" s="354"/>
      <c r="S313" s="354"/>
      <c r="T313" s="354"/>
      <c r="U313" s="354"/>
      <c r="V313" s="354"/>
      <c r="W313" s="354"/>
      <c r="X313" s="354"/>
      <c r="Y313" s="354"/>
      <c r="Z313" s="354"/>
      <c r="AA313" s="354"/>
      <c r="AB313" s="354"/>
      <c r="AC313" s="354"/>
      <c r="AD313" s="354"/>
      <c r="AE313" s="354"/>
      <c r="AF313" s="354"/>
      <c r="AG313" s="354"/>
      <c r="AH313" s="354"/>
      <c r="AI313" s="354"/>
    </row>
    <row r="314" spans="2:35">
      <c r="B314" s="354"/>
      <c r="C314" s="354"/>
      <c r="D314" s="354"/>
      <c r="E314" s="354"/>
      <c r="F314" s="354"/>
      <c r="G314" s="354"/>
      <c r="H314" s="354"/>
      <c r="I314" s="354"/>
      <c r="J314" s="354"/>
      <c r="K314" s="354"/>
      <c r="L314" s="354"/>
      <c r="M314" s="354"/>
      <c r="N314" s="354"/>
      <c r="O314" s="354"/>
      <c r="P314" s="354"/>
      <c r="Q314" s="354"/>
      <c r="R314" s="354"/>
      <c r="S314" s="354"/>
      <c r="T314" s="354"/>
      <c r="U314" s="354"/>
      <c r="V314" s="354"/>
      <c r="W314" s="354"/>
      <c r="X314" s="354"/>
      <c r="Y314" s="354"/>
      <c r="Z314" s="354"/>
      <c r="AA314" s="354"/>
      <c r="AB314" s="354"/>
      <c r="AC314" s="354"/>
      <c r="AD314" s="354"/>
      <c r="AE314" s="354"/>
      <c r="AF314" s="354"/>
      <c r="AG314" s="354"/>
      <c r="AH314" s="354"/>
      <c r="AI314" s="354"/>
    </row>
    <row r="315" spans="2:35">
      <c r="B315" s="354"/>
      <c r="C315" s="354"/>
      <c r="D315" s="354"/>
      <c r="E315" s="354"/>
      <c r="F315" s="354"/>
      <c r="G315" s="354"/>
      <c r="H315" s="354"/>
      <c r="I315" s="354"/>
      <c r="J315" s="354"/>
      <c r="K315" s="354"/>
      <c r="L315" s="354"/>
      <c r="M315" s="354"/>
      <c r="N315" s="354"/>
      <c r="O315" s="354"/>
      <c r="P315" s="354"/>
      <c r="Q315" s="354"/>
      <c r="R315" s="354"/>
      <c r="S315" s="354"/>
      <c r="T315" s="354"/>
      <c r="U315" s="354"/>
      <c r="V315" s="354"/>
      <c r="W315" s="354"/>
      <c r="X315" s="354"/>
      <c r="Y315" s="354"/>
      <c r="Z315" s="354"/>
      <c r="AA315" s="354"/>
      <c r="AB315" s="354"/>
      <c r="AC315" s="354"/>
      <c r="AD315" s="354"/>
      <c r="AE315" s="354"/>
      <c r="AF315" s="354"/>
      <c r="AG315" s="354"/>
      <c r="AH315" s="354"/>
      <c r="AI315" s="354"/>
    </row>
    <row r="316" spans="2:35">
      <c r="B316" s="354"/>
      <c r="C316" s="354"/>
      <c r="D316" s="354"/>
      <c r="E316" s="354"/>
      <c r="F316" s="354"/>
      <c r="G316" s="354"/>
      <c r="H316" s="354"/>
      <c r="I316" s="354"/>
      <c r="J316" s="354"/>
      <c r="K316" s="354"/>
      <c r="L316" s="354"/>
      <c r="M316" s="354"/>
      <c r="N316" s="354"/>
      <c r="O316" s="354"/>
      <c r="P316" s="354"/>
      <c r="Q316" s="354"/>
      <c r="R316" s="354"/>
      <c r="S316" s="354"/>
      <c r="T316" s="354"/>
      <c r="U316" s="354"/>
      <c r="V316" s="354"/>
      <c r="W316" s="354"/>
      <c r="X316" s="354"/>
      <c r="Y316" s="354"/>
      <c r="Z316" s="354"/>
      <c r="AA316" s="354"/>
      <c r="AB316" s="354"/>
      <c r="AC316" s="354"/>
      <c r="AD316" s="354"/>
      <c r="AE316" s="354"/>
      <c r="AF316" s="354"/>
      <c r="AG316" s="354"/>
      <c r="AH316" s="354"/>
      <c r="AI316" s="354"/>
    </row>
    <row r="317" spans="2:35">
      <c r="B317" s="354"/>
      <c r="C317" s="354"/>
      <c r="D317" s="354"/>
      <c r="E317" s="354"/>
      <c r="F317" s="354"/>
      <c r="G317" s="354"/>
      <c r="H317" s="354"/>
      <c r="I317" s="354"/>
      <c r="J317" s="354"/>
      <c r="K317" s="354"/>
      <c r="L317" s="354"/>
      <c r="M317" s="354"/>
      <c r="N317" s="354"/>
      <c r="O317" s="354"/>
      <c r="P317" s="354"/>
      <c r="Q317" s="354"/>
      <c r="R317" s="354"/>
      <c r="S317" s="354"/>
      <c r="T317" s="354"/>
      <c r="U317" s="354"/>
      <c r="V317" s="354"/>
      <c r="W317" s="354"/>
      <c r="X317" s="354"/>
      <c r="Y317" s="354"/>
      <c r="Z317" s="354"/>
      <c r="AA317" s="354"/>
      <c r="AB317" s="354"/>
      <c r="AC317" s="354"/>
      <c r="AD317" s="354"/>
      <c r="AE317" s="354"/>
      <c r="AF317" s="354"/>
      <c r="AG317" s="354"/>
      <c r="AH317" s="354"/>
      <c r="AI317" s="354"/>
    </row>
    <row r="318" spans="2:35">
      <c r="B318" s="354"/>
      <c r="C318" s="354"/>
      <c r="D318" s="354"/>
      <c r="E318" s="354"/>
      <c r="F318" s="354"/>
      <c r="G318" s="354"/>
      <c r="H318" s="354"/>
      <c r="I318" s="354"/>
      <c r="J318" s="354"/>
      <c r="K318" s="354"/>
      <c r="L318" s="354"/>
      <c r="M318" s="354"/>
      <c r="N318" s="354"/>
      <c r="O318" s="354"/>
      <c r="P318" s="354"/>
      <c r="Q318" s="354"/>
      <c r="R318" s="354"/>
      <c r="S318" s="354"/>
      <c r="T318" s="354"/>
      <c r="U318" s="354"/>
      <c r="V318" s="354"/>
      <c r="W318" s="354"/>
      <c r="X318" s="354"/>
      <c r="Y318" s="354"/>
      <c r="Z318" s="354"/>
      <c r="AA318" s="354"/>
      <c r="AB318" s="354"/>
      <c r="AC318" s="354"/>
      <c r="AD318" s="354"/>
      <c r="AE318" s="354"/>
      <c r="AF318" s="354"/>
      <c r="AG318" s="354"/>
      <c r="AH318" s="354"/>
      <c r="AI318" s="354"/>
    </row>
    <row r="319" spans="2:35">
      <c r="B319" s="354"/>
      <c r="C319" s="354"/>
      <c r="D319" s="354"/>
      <c r="E319" s="354"/>
      <c r="F319" s="354"/>
      <c r="G319" s="354"/>
      <c r="H319" s="354"/>
      <c r="I319" s="354"/>
      <c r="J319" s="354"/>
      <c r="K319" s="354"/>
      <c r="L319" s="354"/>
      <c r="M319" s="354"/>
      <c r="N319" s="354"/>
      <c r="O319" s="354"/>
      <c r="P319" s="354"/>
      <c r="Q319" s="354"/>
      <c r="R319" s="354"/>
      <c r="S319" s="354"/>
      <c r="T319" s="354"/>
      <c r="U319" s="354"/>
      <c r="V319" s="354"/>
      <c r="W319" s="354"/>
      <c r="X319" s="354"/>
      <c r="Y319" s="354"/>
      <c r="Z319" s="354"/>
      <c r="AA319" s="354"/>
      <c r="AB319" s="354"/>
      <c r="AC319" s="354"/>
      <c r="AD319" s="354"/>
      <c r="AE319" s="354"/>
      <c r="AF319" s="354"/>
      <c r="AG319" s="354"/>
      <c r="AH319" s="354"/>
      <c r="AI319" s="354"/>
    </row>
    <row r="320" spans="2:35">
      <c r="B320" s="354"/>
      <c r="C320" s="354"/>
      <c r="D320" s="354"/>
      <c r="E320" s="354"/>
      <c r="F320" s="354"/>
      <c r="G320" s="354"/>
      <c r="H320" s="354"/>
      <c r="I320" s="354"/>
      <c r="J320" s="354"/>
      <c r="K320" s="354"/>
      <c r="L320" s="354"/>
      <c r="M320" s="354"/>
      <c r="N320" s="354"/>
      <c r="O320" s="354"/>
      <c r="P320" s="354"/>
      <c r="Q320" s="354"/>
      <c r="R320" s="354"/>
      <c r="S320" s="354"/>
      <c r="T320" s="354"/>
      <c r="U320" s="354"/>
      <c r="V320" s="354"/>
      <c r="W320" s="354"/>
      <c r="X320" s="354"/>
      <c r="Y320" s="354"/>
      <c r="Z320" s="354"/>
      <c r="AA320" s="354"/>
      <c r="AB320" s="354"/>
      <c r="AC320" s="354"/>
      <c r="AD320" s="354"/>
      <c r="AE320" s="354"/>
      <c r="AF320" s="354"/>
      <c r="AG320" s="354"/>
      <c r="AH320" s="354"/>
      <c r="AI320" s="354"/>
    </row>
    <row r="321" spans="2:35">
      <c r="B321" s="354"/>
      <c r="C321" s="354"/>
      <c r="D321" s="354"/>
      <c r="E321" s="354"/>
      <c r="F321" s="354"/>
      <c r="G321" s="354"/>
      <c r="H321" s="354"/>
      <c r="I321" s="354"/>
      <c r="J321" s="354"/>
      <c r="K321" s="354"/>
      <c r="L321" s="354"/>
      <c r="M321" s="354"/>
      <c r="N321" s="354"/>
      <c r="O321" s="354"/>
      <c r="P321" s="354"/>
      <c r="Q321" s="354"/>
      <c r="R321" s="354"/>
      <c r="S321" s="354"/>
      <c r="T321" s="354"/>
      <c r="U321" s="354"/>
      <c r="V321" s="354"/>
      <c r="W321" s="354"/>
      <c r="X321" s="354"/>
      <c r="Y321" s="354"/>
      <c r="Z321" s="354"/>
      <c r="AA321" s="354"/>
      <c r="AB321" s="354"/>
      <c r="AC321" s="354"/>
      <c r="AD321" s="354"/>
      <c r="AE321" s="354"/>
      <c r="AF321" s="354"/>
      <c r="AG321" s="354"/>
      <c r="AH321" s="354"/>
      <c r="AI321" s="354"/>
    </row>
    <row r="322" spans="2:35">
      <c r="B322" s="354"/>
      <c r="C322" s="354"/>
      <c r="D322" s="354"/>
      <c r="E322" s="354"/>
      <c r="F322" s="354"/>
      <c r="G322" s="354"/>
      <c r="H322" s="354"/>
      <c r="I322" s="354"/>
      <c r="J322" s="354"/>
      <c r="K322" s="354"/>
      <c r="L322" s="354"/>
      <c r="M322" s="354"/>
      <c r="N322" s="354"/>
      <c r="O322" s="354"/>
      <c r="P322" s="354"/>
      <c r="Q322" s="354"/>
      <c r="R322" s="354"/>
      <c r="S322" s="354"/>
      <c r="T322" s="354"/>
      <c r="U322" s="354"/>
      <c r="V322" s="354"/>
      <c r="W322" s="354"/>
      <c r="X322" s="354"/>
      <c r="Y322" s="354"/>
      <c r="Z322" s="354"/>
      <c r="AA322" s="354"/>
      <c r="AB322" s="354"/>
      <c r="AC322" s="354"/>
      <c r="AD322" s="354"/>
      <c r="AE322" s="354"/>
      <c r="AF322" s="354"/>
      <c r="AG322" s="354"/>
      <c r="AH322" s="354"/>
      <c r="AI322" s="354"/>
    </row>
    <row r="323" spans="2:35">
      <c r="B323" s="354"/>
      <c r="C323" s="354"/>
      <c r="D323" s="354"/>
      <c r="E323" s="354"/>
      <c r="F323" s="354"/>
      <c r="G323" s="354"/>
      <c r="H323" s="354"/>
      <c r="I323" s="354"/>
      <c r="J323" s="354"/>
      <c r="K323" s="354"/>
      <c r="L323" s="354"/>
      <c r="M323" s="354"/>
      <c r="N323" s="354"/>
      <c r="O323" s="354"/>
      <c r="P323" s="354"/>
      <c r="Q323" s="354"/>
      <c r="R323" s="354"/>
      <c r="S323" s="354"/>
      <c r="T323" s="354"/>
      <c r="U323" s="354"/>
      <c r="V323" s="354"/>
      <c r="W323" s="354"/>
      <c r="X323" s="354"/>
      <c r="Y323" s="354"/>
      <c r="Z323" s="354"/>
      <c r="AA323" s="354"/>
      <c r="AB323" s="354"/>
      <c r="AC323" s="354"/>
      <c r="AD323" s="354"/>
      <c r="AE323" s="354"/>
      <c r="AF323" s="354"/>
      <c r="AG323" s="354"/>
      <c r="AH323" s="354"/>
      <c r="AI323" s="354"/>
    </row>
    <row r="324" spans="2:35">
      <c r="B324" s="354"/>
      <c r="C324" s="354"/>
      <c r="D324" s="354"/>
      <c r="E324" s="354"/>
      <c r="F324" s="354"/>
      <c r="G324" s="354"/>
      <c r="H324" s="354"/>
      <c r="I324" s="354"/>
      <c r="J324" s="354"/>
      <c r="K324" s="354"/>
      <c r="L324" s="354"/>
      <c r="M324" s="354"/>
      <c r="N324" s="354"/>
      <c r="O324" s="354"/>
      <c r="P324" s="354"/>
      <c r="Q324" s="354"/>
      <c r="R324" s="354"/>
      <c r="S324" s="354"/>
      <c r="T324" s="354"/>
      <c r="U324" s="354"/>
      <c r="V324" s="354"/>
      <c r="W324" s="354"/>
      <c r="X324" s="354"/>
      <c r="Y324" s="354"/>
      <c r="Z324" s="354"/>
      <c r="AA324" s="354"/>
      <c r="AB324" s="354"/>
      <c r="AC324" s="354"/>
      <c r="AD324" s="354"/>
      <c r="AE324" s="354"/>
      <c r="AF324" s="354"/>
      <c r="AG324" s="354"/>
      <c r="AH324" s="354"/>
      <c r="AI324" s="354"/>
    </row>
    <row r="325" spans="2:35">
      <c r="B325" s="354"/>
      <c r="C325" s="354"/>
      <c r="D325" s="354"/>
      <c r="E325" s="354"/>
      <c r="F325" s="354"/>
      <c r="G325" s="354"/>
      <c r="H325" s="354"/>
      <c r="I325" s="354"/>
      <c r="J325" s="354"/>
      <c r="K325" s="354"/>
      <c r="L325" s="354"/>
      <c r="M325" s="354"/>
      <c r="N325" s="354"/>
      <c r="O325" s="354"/>
      <c r="P325" s="354"/>
      <c r="Q325" s="354"/>
      <c r="R325" s="354"/>
      <c r="S325" s="354"/>
      <c r="T325" s="354"/>
      <c r="U325" s="354"/>
      <c r="V325" s="354"/>
      <c r="W325" s="354"/>
      <c r="X325" s="354"/>
      <c r="Y325" s="354"/>
      <c r="Z325" s="354"/>
      <c r="AA325" s="354"/>
      <c r="AB325" s="354"/>
      <c r="AC325" s="354"/>
      <c r="AD325" s="354"/>
      <c r="AE325" s="354"/>
      <c r="AF325" s="354"/>
      <c r="AG325" s="354"/>
      <c r="AH325" s="354"/>
      <c r="AI325" s="354"/>
    </row>
    <row r="326" spans="2:35">
      <c r="B326" s="354"/>
      <c r="C326" s="354"/>
      <c r="D326" s="354"/>
      <c r="E326" s="354"/>
      <c r="F326" s="354"/>
      <c r="G326" s="354"/>
      <c r="H326" s="354"/>
      <c r="I326" s="354"/>
      <c r="J326" s="354"/>
      <c r="K326" s="354"/>
      <c r="L326" s="354"/>
      <c r="M326" s="354"/>
      <c r="N326" s="354"/>
      <c r="O326" s="354"/>
      <c r="P326" s="354"/>
      <c r="Q326" s="354"/>
      <c r="R326" s="354"/>
      <c r="S326" s="354"/>
      <c r="T326" s="354"/>
      <c r="U326" s="354"/>
      <c r="V326" s="354"/>
      <c r="W326" s="354"/>
      <c r="X326" s="354"/>
      <c r="Y326" s="354"/>
      <c r="Z326" s="354"/>
      <c r="AA326" s="354"/>
      <c r="AB326" s="354"/>
      <c r="AC326" s="354"/>
      <c r="AD326" s="354"/>
      <c r="AE326" s="354"/>
      <c r="AF326" s="354"/>
      <c r="AG326" s="354"/>
      <c r="AH326" s="354"/>
      <c r="AI326" s="354"/>
    </row>
    <row r="327" spans="2:35">
      <c r="B327" s="354"/>
      <c r="C327" s="354"/>
      <c r="D327" s="354"/>
      <c r="E327" s="354"/>
      <c r="F327" s="354"/>
      <c r="G327" s="354"/>
      <c r="H327" s="354"/>
      <c r="I327" s="354"/>
      <c r="J327" s="354"/>
      <c r="K327" s="354"/>
      <c r="L327" s="354"/>
      <c r="M327" s="354"/>
      <c r="N327" s="354"/>
      <c r="O327" s="354"/>
      <c r="P327" s="354"/>
      <c r="Q327" s="354"/>
      <c r="R327" s="354"/>
      <c r="S327" s="354"/>
      <c r="T327" s="354"/>
      <c r="U327" s="354"/>
      <c r="V327" s="354"/>
      <c r="W327" s="354"/>
      <c r="X327" s="354"/>
      <c r="Y327" s="354"/>
      <c r="Z327" s="354"/>
      <c r="AA327" s="354"/>
      <c r="AB327" s="354"/>
      <c r="AC327" s="354"/>
      <c r="AD327" s="354"/>
      <c r="AE327" s="354"/>
      <c r="AF327" s="354"/>
      <c r="AG327" s="354"/>
      <c r="AH327" s="354"/>
      <c r="AI327" s="354"/>
    </row>
    <row r="328" spans="2:35">
      <c r="B328" s="354"/>
      <c r="C328" s="354"/>
      <c r="D328" s="354"/>
      <c r="E328" s="354"/>
      <c r="F328" s="354"/>
      <c r="G328" s="354"/>
      <c r="H328" s="354"/>
      <c r="I328" s="354"/>
      <c r="J328" s="354"/>
      <c r="K328" s="354"/>
      <c r="L328" s="354"/>
      <c r="M328" s="354"/>
      <c r="N328" s="354"/>
      <c r="O328" s="354"/>
      <c r="P328" s="354"/>
      <c r="Q328" s="354"/>
      <c r="R328" s="354"/>
      <c r="S328" s="354"/>
      <c r="T328" s="354"/>
      <c r="U328" s="354"/>
      <c r="V328" s="354"/>
      <c r="W328" s="354"/>
      <c r="X328" s="354"/>
      <c r="Y328" s="354"/>
      <c r="Z328" s="354"/>
      <c r="AA328" s="354"/>
      <c r="AB328" s="354"/>
      <c r="AC328" s="354"/>
      <c r="AD328" s="354"/>
      <c r="AE328" s="354"/>
      <c r="AF328" s="354"/>
      <c r="AG328" s="354"/>
      <c r="AH328" s="354"/>
      <c r="AI328" s="354"/>
    </row>
    <row r="329" spans="2:35">
      <c r="B329" s="354"/>
      <c r="C329" s="354"/>
      <c r="D329" s="354"/>
      <c r="E329" s="354"/>
      <c r="F329" s="354"/>
      <c r="G329" s="354"/>
      <c r="H329" s="354"/>
      <c r="I329" s="354"/>
      <c r="J329" s="354"/>
      <c r="K329" s="354"/>
      <c r="L329" s="354"/>
      <c r="M329" s="354"/>
      <c r="N329" s="354"/>
      <c r="O329" s="354"/>
      <c r="P329" s="354"/>
      <c r="Q329" s="354"/>
      <c r="R329" s="354"/>
      <c r="S329" s="354"/>
      <c r="T329" s="354"/>
      <c r="U329" s="354"/>
      <c r="V329" s="354"/>
      <c r="W329" s="354"/>
      <c r="X329" s="354"/>
      <c r="Y329" s="354"/>
      <c r="Z329" s="354"/>
      <c r="AA329" s="354"/>
      <c r="AB329" s="354"/>
      <c r="AC329" s="354"/>
      <c r="AD329" s="354"/>
      <c r="AE329" s="354"/>
      <c r="AF329" s="354"/>
      <c r="AG329" s="354"/>
      <c r="AH329" s="354"/>
      <c r="AI329" s="354"/>
    </row>
    <row r="330" spans="2:35">
      <c r="B330" s="354"/>
      <c r="C330" s="354"/>
      <c r="D330" s="354"/>
      <c r="E330" s="354"/>
      <c r="F330" s="354"/>
      <c r="G330" s="354"/>
      <c r="H330" s="354"/>
      <c r="I330" s="354"/>
      <c r="J330" s="354"/>
      <c r="K330" s="354"/>
      <c r="L330" s="354"/>
      <c r="M330" s="354"/>
      <c r="N330" s="354"/>
      <c r="O330" s="354"/>
      <c r="P330" s="354"/>
      <c r="Q330" s="354"/>
      <c r="R330" s="354"/>
      <c r="S330" s="354"/>
      <c r="T330" s="354"/>
      <c r="U330" s="354"/>
      <c r="V330" s="354"/>
      <c r="W330" s="354"/>
      <c r="X330" s="354"/>
      <c r="Y330" s="354"/>
      <c r="Z330" s="354"/>
      <c r="AA330" s="354"/>
      <c r="AB330" s="354"/>
      <c r="AC330" s="354"/>
      <c r="AD330" s="354"/>
      <c r="AE330" s="354"/>
      <c r="AF330" s="354"/>
      <c r="AG330" s="354"/>
      <c r="AH330" s="354"/>
      <c r="AI330" s="354"/>
    </row>
    <row r="331" spans="2:35">
      <c r="B331" s="354"/>
      <c r="C331" s="354"/>
      <c r="D331" s="354"/>
      <c r="E331" s="354"/>
      <c r="F331" s="354"/>
      <c r="G331" s="354"/>
      <c r="H331" s="354"/>
      <c r="I331" s="354"/>
      <c r="J331" s="354"/>
      <c r="K331" s="354"/>
      <c r="L331" s="354"/>
      <c r="M331" s="354"/>
      <c r="N331" s="354"/>
      <c r="O331" s="354"/>
      <c r="P331" s="354"/>
      <c r="Q331" s="354"/>
      <c r="R331" s="354"/>
      <c r="S331" s="354"/>
      <c r="T331" s="354"/>
      <c r="U331" s="354"/>
      <c r="V331" s="354"/>
      <c r="W331" s="354"/>
      <c r="X331" s="354"/>
      <c r="Y331" s="354"/>
      <c r="Z331" s="354"/>
      <c r="AA331" s="354"/>
      <c r="AB331" s="354"/>
      <c r="AC331" s="354"/>
      <c r="AD331" s="354"/>
      <c r="AE331" s="354"/>
      <c r="AF331" s="354"/>
      <c r="AG331" s="354"/>
      <c r="AH331" s="354"/>
      <c r="AI331" s="354"/>
    </row>
    <row r="332" spans="2:35">
      <c r="B332" s="354"/>
      <c r="C332" s="354"/>
      <c r="D332" s="354"/>
      <c r="E332" s="354"/>
      <c r="F332" s="354"/>
      <c r="G332" s="354"/>
      <c r="H332" s="354"/>
      <c r="I332" s="354"/>
      <c r="J332" s="354"/>
      <c r="K332" s="354"/>
      <c r="L332" s="354"/>
      <c r="M332" s="354"/>
      <c r="N332" s="354"/>
      <c r="O332" s="354"/>
      <c r="P332" s="354"/>
      <c r="Q332" s="354"/>
      <c r="R332" s="354"/>
      <c r="S332" s="354"/>
      <c r="T332" s="354"/>
      <c r="U332" s="354"/>
      <c r="V332" s="354"/>
      <c r="W332" s="354"/>
      <c r="X332" s="354"/>
      <c r="Y332" s="354"/>
      <c r="Z332" s="354"/>
      <c r="AA332" s="354"/>
      <c r="AB332" s="354"/>
      <c r="AC332" s="354"/>
      <c r="AD332" s="354"/>
      <c r="AE332" s="354"/>
      <c r="AF332" s="354"/>
      <c r="AG332" s="354"/>
      <c r="AH332" s="354"/>
      <c r="AI332" s="354"/>
    </row>
    <row r="333" spans="2:35">
      <c r="B333" s="354"/>
      <c r="C333" s="354"/>
      <c r="D333" s="354"/>
      <c r="E333" s="354"/>
      <c r="F333" s="354"/>
      <c r="G333" s="354"/>
      <c r="H333" s="354"/>
      <c r="I333" s="354"/>
      <c r="J333" s="354"/>
      <c r="K333" s="354"/>
      <c r="L333" s="354"/>
      <c r="M333" s="354"/>
      <c r="N333" s="354"/>
      <c r="O333" s="354"/>
      <c r="P333" s="354"/>
      <c r="Q333" s="354"/>
      <c r="R333" s="354"/>
      <c r="S333" s="354"/>
      <c r="T333" s="354"/>
      <c r="U333" s="354"/>
      <c r="V333" s="354"/>
      <c r="W333" s="354"/>
      <c r="X333" s="354"/>
      <c r="Y333" s="354"/>
      <c r="Z333" s="354"/>
      <c r="AA333" s="354"/>
      <c r="AB333" s="354"/>
      <c r="AC333" s="354"/>
      <c r="AD333" s="354"/>
      <c r="AE333" s="354"/>
      <c r="AF333" s="354"/>
      <c r="AG333" s="354"/>
      <c r="AH333" s="354"/>
      <c r="AI333" s="354"/>
    </row>
    <row r="334" spans="2:35">
      <c r="B334" s="354"/>
      <c r="C334" s="354"/>
      <c r="D334" s="354"/>
      <c r="E334" s="354"/>
      <c r="F334" s="354"/>
      <c r="G334" s="354"/>
      <c r="H334" s="354"/>
      <c r="I334" s="354"/>
      <c r="J334" s="354"/>
      <c r="K334" s="354"/>
      <c r="L334" s="354"/>
      <c r="M334" s="354"/>
      <c r="N334" s="354"/>
      <c r="O334" s="354"/>
      <c r="P334" s="354"/>
      <c r="Q334" s="354"/>
      <c r="R334" s="354"/>
      <c r="S334" s="354"/>
      <c r="T334" s="354"/>
      <c r="U334" s="354"/>
      <c r="V334" s="354"/>
      <c r="W334" s="354"/>
      <c r="X334" s="354"/>
      <c r="Y334" s="354"/>
      <c r="Z334" s="354"/>
      <c r="AA334" s="354"/>
      <c r="AB334" s="354"/>
      <c r="AC334" s="354"/>
      <c r="AD334" s="354"/>
      <c r="AE334" s="354"/>
      <c r="AF334" s="354"/>
      <c r="AG334" s="354"/>
      <c r="AH334" s="354"/>
      <c r="AI334" s="354"/>
    </row>
    <row r="335" spans="2:35">
      <c r="B335" s="354"/>
      <c r="C335" s="354"/>
      <c r="D335" s="354"/>
      <c r="E335" s="354"/>
      <c r="F335" s="354"/>
      <c r="G335" s="354"/>
      <c r="H335" s="354"/>
      <c r="I335" s="354"/>
      <c r="J335" s="354"/>
      <c r="K335" s="354"/>
      <c r="L335" s="354"/>
      <c r="M335" s="354"/>
      <c r="N335" s="354"/>
      <c r="O335" s="354"/>
      <c r="P335" s="354"/>
      <c r="Q335" s="354"/>
      <c r="R335" s="354"/>
      <c r="S335" s="354"/>
      <c r="T335" s="354"/>
      <c r="U335" s="354"/>
      <c r="V335" s="354"/>
      <c r="W335" s="354"/>
      <c r="X335" s="354"/>
      <c r="Y335" s="354"/>
      <c r="Z335" s="354"/>
      <c r="AA335" s="354"/>
      <c r="AB335" s="354"/>
      <c r="AC335" s="354"/>
      <c r="AD335" s="354"/>
      <c r="AE335" s="354"/>
      <c r="AF335" s="354"/>
      <c r="AG335" s="354"/>
      <c r="AH335" s="354"/>
      <c r="AI335" s="354"/>
    </row>
    <row r="336" spans="2:35">
      <c r="B336" s="354"/>
      <c r="C336" s="354"/>
      <c r="D336" s="354"/>
      <c r="E336" s="354"/>
      <c r="F336" s="354"/>
      <c r="G336" s="354"/>
      <c r="H336" s="354"/>
      <c r="I336" s="354"/>
      <c r="J336" s="354"/>
      <c r="K336" s="354"/>
      <c r="L336" s="354"/>
      <c r="M336" s="354"/>
      <c r="N336" s="354"/>
      <c r="O336" s="354"/>
      <c r="P336" s="354"/>
      <c r="Q336" s="354"/>
      <c r="R336" s="354"/>
      <c r="S336" s="354"/>
      <c r="T336" s="354"/>
      <c r="U336" s="354"/>
      <c r="V336" s="354"/>
      <c r="W336" s="354"/>
      <c r="X336" s="354"/>
      <c r="Y336" s="354"/>
      <c r="Z336" s="354"/>
      <c r="AA336" s="354"/>
      <c r="AB336" s="354"/>
      <c r="AC336" s="354"/>
      <c r="AD336" s="354"/>
      <c r="AE336" s="354"/>
      <c r="AF336" s="354"/>
      <c r="AG336" s="354"/>
      <c r="AH336" s="354"/>
      <c r="AI336" s="354"/>
    </row>
    <row r="337" spans="2:35">
      <c r="B337" s="354"/>
      <c r="C337" s="354"/>
      <c r="D337" s="354"/>
      <c r="E337" s="354"/>
      <c r="F337" s="354"/>
      <c r="G337" s="354"/>
      <c r="H337" s="354"/>
      <c r="I337" s="354"/>
      <c r="J337" s="354"/>
      <c r="K337" s="354"/>
      <c r="L337" s="354"/>
      <c r="M337" s="354"/>
      <c r="N337" s="354"/>
      <c r="O337" s="354"/>
      <c r="P337" s="354"/>
      <c r="Q337" s="354"/>
      <c r="R337" s="354"/>
      <c r="S337" s="354"/>
      <c r="T337" s="354"/>
      <c r="U337" s="354"/>
      <c r="V337" s="354"/>
      <c r="W337" s="354"/>
      <c r="X337" s="354"/>
      <c r="Y337" s="354"/>
      <c r="Z337" s="354"/>
      <c r="AA337" s="354"/>
      <c r="AB337" s="354"/>
      <c r="AC337" s="354"/>
      <c r="AD337" s="354"/>
      <c r="AE337" s="354"/>
      <c r="AF337" s="354"/>
      <c r="AG337" s="354"/>
      <c r="AH337" s="354"/>
      <c r="AI337" s="354"/>
    </row>
    <row r="338" spans="2:35">
      <c r="B338" s="354"/>
      <c r="C338" s="354"/>
      <c r="D338" s="354"/>
      <c r="E338" s="354"/>
      <c r="F338" s="354"/>
      <c r="G338" s="354"/>
      <c r="H338" s="354"/>
      <c r="I338" s="354"/>
      <c r="J338" s="354"/>
      <c r="K338" s="354"/>
      <c r="L338" s="354"/>
      <c r="M338" s="354"/>
      <c r="N338" s="354"/>
      <c r="O338" s="354"/>
      <c r="P338" s="354"/>
      <c r="Q338" s="354"/>
      <c r="R338" s="354"/>
      <c r="S338" s="354"/>
      <c r="T338" s="354"/>
      <c r="U338" s="354"/>
      <c r="V338" s="354"/>
      <c r="W338" s="354"/>
      <c r="X338" s="354"/>
      <c r="Y338" s="354"/>
      <c r="Z338" s="354"/>
      <c r="AA338" s="354"/>
      <c r="AB338" s="354"/>
      <c r="AC338" s="354"/>
      <c r="AD338" s="354"/>
      <c r="AE338" s="354"/>
      <c r="AF338" s="354"/>
      <c r="AG338" s="354"/>
      <c r="AH338" s="354"/>
      <c r="AI338" s="354"/>
    </row>
    <row r="339" spans="2:35">
      <c r="B339" s="354"/>
      <c r="C339" s="354"/>
      <c r="D339" s="354"/>
      <c r="E339" s="354"/>
      <c r="F339" s="354"/>
      <c r="G339" s="354"/>
      <c r="H339" s="354"/>
      <c r="I339" s="354"/>
      <c r="J339" s="354"/>
      <c r="K339" s="354"/>
      <c r="L339" s="354"/>
      <c r="M339" s="354"/>
      <c r="N339" s="354"/>
      <c r="O339" s="354"/>
      <c r="P339" s="354"/>
      <c r="Q339" s="354"/>
      <c r="R339" s="354"/>
      <c r="S339" s="354"/>
      <c r="T339" s="354"/>
      <c r="U339" s="354"/>
      <c r="V339" s="354"/>
      <c r="W339" s="354"/>
      <c r="X339" s="354"/>
      <c r="Y339" s="354"/>
      <c r="Z339" s="354"/>
      <c r="AA339" s="354"/>
      <c r="AB339" s="354"/>
      <c r="AC339" s="354"/>
      <c r="AD339" s="354"/>
      <c r="AE339" s="354"/>
      <c r="AF339" s="354"/>
      <c r="AG339" s="354"/>
      <c r="AH339" s="354"/>
      <c r="AI339" s="354"/>
    </row>
    <row r="340" spans="2:35">
      <c r="B340" s="354"/>
      <c r="C340" s="354"/>
      <c r="D340" s="354"/>
      <c r="E340" s="354"/>
      <c r="F340" s="354"/>
      <c r="G340" s="354"/>
      <c r="H340" s="354"/>
      <c r="I340" s="354"/>
      <c r="J340" s="354"/>
      <c r="K340" s="354"/>
      <c r="L340" s="354"/>
      <c r="M340" s="354"/>
      <c r="N340" s="354"/>
      <c r="O340" s="354"/>
      <c r="P340" s="354"/>
      <c r="Q340" s="354"/>
      <c r="R340" s="354"/>
      <c r="S340" s="354"/>
      <c r="T340" s="354"/>
      <c r="U340" s="354"/>
      <c r="V340" s="354"/>
      <c r="W340" s="354"/>
      <c r="X340" s="354"/>
      <c r="Y340" s="354"/>
      <c r="Z340" s="354"/>
      <c r="AA340" s="354"/>
      <c r="AB340" s="354"/>
      <c r="AC340" s="354"/>
      <c r="AD340" s="354"/>
      <c r="AE340" s="354"/>
      <c r="AF340" s="354"/>
      <c r="AG340" s="354"/>
      <c r="AH340" s="354"/>
      <c r="AI340" s="354"/>
    </row>
    <row r="341" spans="2:35">
      <c r="B341" s="354"/>
      <c r="C341" s="354"/>
      <c r="D341" s="354"/>
      <c r="E341" s="354"/>
      <c r="F341" s="354"/>
      <c r="G341" s="354"/>
      <c r="H341" s="354"/>
      <c r="I341" s="354"/>
      <c r="J341" s="354"/>
      <c r="K341" s="354"/>
      <c r="L341" s="354"/>
      <c r="M341" s="354"/>
      <c r="N341" s="354"/>
      <c r="O341" s="354"/>
      <c r="P341" s="354"/>
      <c r="Q341" s="354"/>
      <c r="R341" s="354"/>
      <c r="S341" s="354"/>
      <c r="T341" s="354"/>
      <c r="U341" s="354"/>
      <c r="V341" s="354"/>
      <c r="W341" s="354"/>
      <c r="X341" s="354"/>
      <c r="Y341" s="354"/>
      <c r="Z341" s="354"/>
      <c r="AA341" s="354"/>
      <c r="AB341" s="354"/>
      <c r="AC341" s="354"/>
      <c r="AD341" s="354"/>
      <c r="AE341" s="354"/>
      <c r="AF341" s="354"/>
      <c r="AG341" s="354"/>
      <c r="AH341" s="354"/>
      <c r="AI341" s="354"/>
    </row>
    <row r="342" spans="2:35">
      <c r="B342" s="354"/>
      <c r="C342" s="354"/>
      <c r="D342" s="354"/>
      <c r="E342" s="354"/>
      <c r="F342" s="354"/>
      <c r="G342" s="354"/>
      <c r="H342" s="354"/>
      <c r="I342" s="354"/>
      <c r="J342" s="354"/>
      <c r="K342" s="354"/>
      <c r="L342" s="354"/>
      <c r="M342" s="354"/>
      <c r="N342" s="354"/>
      <c r="O342" s="354"/>
      <c r="P342" s="354"/>
      <c r="Q342" s="354"/>
      <c r="R342" s="354"/>
      <c r="S342" s="354"/>
      <c r="T342" s="354"/>
      <c r="U342" s="354"/>
      <c r="V342" s="354"/>
      <c r="W342" s="354"/>
      <c r="X342" s="354"/>
      <c r="Y342" s="354"/>
      <c r="Z342" s="354"/>
      <c r="AA342" s="354"/>
      <c r="AB342" s="354"/>
      <c r="AC342" s="354"/>
      <c r="AD342" s="354"/>
      <c r="AE342" s="354"/>
      <c r="AF342" s="354"/>
      <c r="AG342" s="354"/>
      <c r="AH342" s="354"/>
      <c r="AI342" s="354"/>
    </row>
    <row r="343" spans="2:35">
      <c r="B343" s="354"/>
      <c r="C343" s="354"/>
      <c r="D343" s="354"/>
      <c r="E343" s="354"/>
      <c r="F343" s="354"/>
      <c r="G343" s="354"/>
      <c r="H343" s="354"/>
      <c r="I343" s="354"/>
      <c r="J343" s="354"/>
      <c r="K343" s="354"/>
      <c r="L343" s="354"/>
      <c r="M343" s="354"/>
      <c r="N343" s="354"/>
      <c r="O343" s="354"/>
      <c r="P343" s="354"/>
      <c r="Q343" s="354"/>
      <c r="R343" s="354"/>
      <c r="S343" s="354"/>
      <c r="T343" s="354"/>
      <c r="U343" s="354"/>
      <c r="V343" s="354"/>
      <c r="W343" s="354"/>
      <c r="X343" s="354"/>
      <c r="Y343" s="354"/>
      <c r="Z343" s="354"/>
      <c r="AA343" s="354"/>
      <c r="AB343" s="354"/>
      <c r="AC343" s="354"/>
      <c r="AD343" s="354"/>
      <c r="AE343" s="354"/>
      <c r="AF343" s="354"/>
      <c r="AG343" s="354"/>
      <c r="AH343" s="354"/>
      <c r="AI343" s="354"/>
    </row>
    <row r="344" spans="2:35">
      <c r="B344" s="354"/>
      <c r="C344" s="354"/>
      <c r="D344" s="354"/>
      <c r="E344" s="354"/>
      <c r="F344" s="354"/>
      <c r="G344" s="354"/>
      <c r="H344" s="354"/>
      <c r="I344" s="354"/>
      <c r="J344" s="354"/>
      <c r="K344" s="354"/>
      <c r="L344" s="354"/>
      <c r="M344" s="354"/>
      <c r="N344" s="354"/>
      <c r="O344" s="354"/>
      <c r="P344" s="354"/>
      <c r="Q344" s="354"/>
      <c r="R344" s="354"/>
      <c r="S344" s="354"/>
      <c r="T344" s="354"/>
      <c r="U344" s="354"/>
      <c r="V344" s="354"/>
      <c r="W344" s="354"/>
      <c r="X344" s="354"/>
      <c r="Y344" s="354"/>
      <c r="Z344" s="354"/>
      <c r="AA344" s="354"/>
      <c r="AB344" s="354"/>
      <c r="AC344" s="354"/>
      <c r="AD344" s="354"/>
      <c r="AE344" s="354"/>
      <c r="AF344" s="354"/>
      <c r="AG344" s="354"/>
      <c r="AH344" s="354"/>
      <c r="AI344" s="354"/>
    </row>
    <row r="345" spans="2:35">
      <c r="B345" s="354"/>
      <c r="C345" s="354"/>
      <c r="D345" s="354"/>
      <c r="E345" s="354"/>
      <c r="F345" s="354"/>
      <c r="G345" s="354"/>
      <c r="H345" s="354"/>
      <c r="I345" s="354"/>
      <c r="J345" s="354"/>
      <c r="K345" s="354"/>
      <c r="L345" s="354"/>
      <c r="M345" s="354"/>
      <c r="N345" s="354"/>
      <c r="O345" s="354"/>
      <c r="P345" s="354"/>
      <c r="Q345" s="354"/>
      <c r="R345" s="354"/>
      <c r="S345" s="354"/>
      <c r="T345" s="354"/>
      <c r="U345" s="354"/>
      <c r="V345" s="354"/>
      <c r="W345" s="354"/>
      <c r="X345" s="354"/>
      <c r="Y345" s="354"/>
      <c r="Z345" s="354"/>
      <c r="AA345" s="354"/>
      <c r="AB345" s="354"/>
      <c r="AC345" s="354"/>
      <c r="AD345" s="354"/>
      <c r="AE345" s="354"/>
      <c r="AF345" s="354"/>
      <c r="AG345" s="354"/>
      <c r="AH345" s="354"/>
      <c r="AI345" s="354"/>
    </row>
    <row r="346" spans="2:35">
      <c r="B346" s="354"/>
      <c r="C346" s="354"/>
      <c r="D346" s="354"/>
      <c r="E346" s="354"/>
      <c r="F346" s="354"/>
      <c r="G346" s="354"/>
      <c r="H346" s="354"/>
      <c r="I346" s="354"/>
      <c r="J346" s="354"/>
      <c r="K346" s="354"/>
      <c r="L346" s="354"/>
      <c r="M346" s="354"/>
      <c r="N346" s="354"/>
      <c r="O346" s="354"/>
      <c r="P346" s="354"/>
      <c r="Q346" s="354"/>
      <c r="R346" s="354"/>
      <c r="S346" s="354"/>
      <c r="T346" s="354"/>
      <c r="U346" s="354"/>
      <c r="V346" s="354"/>
      <c r="W346" s="354"/>
      <c r="X346" s="354"/>
      <c r="Y346" s="354"/>
      <c r="Z346" s="354"/>
      <c r="AA346" s="354"/>
      <c r="AB346" s="354"/>
      <c r="AC346" s="354"/>
      <c r="AD346" s="354"/>
      <c r="AE346" s="354"/>
      <c r="AF346" s="354"/>
      <c r="AG346" s="354"/>
      <c r="AH346" s="354"/>
      <c r="AI346" s="354"/>
    </row>
    <row r="347" spans="2:35">
      <c r="B347" s="354"/>
      <c r="C347" s="354"/>
      <c r="D347" s="354"/>
      <c r="E347" s="354"/>
      <c r="F347" s="354"/>
      <c r="G347" s="354"/>
      <c r="H347" s="354"/>
      <c r="I347" s="354"/>
      <c r="J347" s="354"/>
      <c r="K347" s="354"/>
      <c r="L347" s="354"/>
      <c r="M347" s="354"/>
      <c r="N347" s="354"/>
      <c r="O347" s="354"/>
      <c r="P347" s="354"/>
      <c r="Q347" s="354"/>
      <c r="R347" s="354"/>
      <c r="S347" s="354"/>
      <c r="T347" s="354"/>
      <c r="U347" s="354"/>
      <c r="V347" s="354"/>
      <c r="W347" s="354"/>
      <c r="X347" s="354"/>
      <c r="Y347" s="354"/>
      <c r="Z347" s="354"/>
      <c r="AA347" s="354"/>
      <c r="AB347" s="354"/>
      <c r="AC347" s="354"/>
      <c r="AD347" s="354"/>
      <c r="AE347" s="354"/>
      <c r="AF347" s="354"/>
      <c r="AG347" s="354"/>
      <c r="AH347" s="354"/>
      <c r="AI347" s="354"/>
    </row>
    <row r="348" spans="2:35">
      <c r="B348" s="354"/>
      <c r="C348" s="354"/>
      <c r="D348" s="354"/>
      <c r="E348" s="354"/>
      <c r="F348" s="354"/>
      <c r="G348" s="354"/>
      <c r="H348" s="354"/>
      <c r="I348" s="354"/>
      <c r="J348" s="354"/>
      <c r="K348" s="354"/>
      <c r="L348" s="354"/>
      <c r="M348" s="354"/>
      <c r="N348" s="354"/>
      <c r="O348" s="354"/>
      <c r="P348" s="354"/>
      <c r="Q348" s="354"/>
      <c r="R348" s="354"/>
      <c r="S348" s="354"/>
      <c r="T348" s="354"/>
      <c r="U348" s="354"/>
      <c r="V348" s="354"/>
      <c r="W348" s="354"/>
      <c r="X348" s="354"/>
      <c r="Y348" s="354"/>
      <c r="Z348" s="354"/>
      <c r="AA348" s="354"/>
      <c r="AB348" s="354"/>
      <c r="AC348" s="354"/>
      <c r="AD348" s="354"/>
      <c r="AE348" s="354"/>
      <c r="AF348" s="354"/>
      <c r="AG348" s="354"/>
      <c r="AH348" s="354"/>
      <c r="AI348" s="354"/>
    </row>
    <row r="349" spans="2:35">
      <c r="B349" s="354"/>
      <c r="C349" s="354"/>
      <c r="D349" s="354"/>
      <c r="E349" s="354"/>
      <c r="F349" s="354"/>
      <c r="G349" s="354"/>
      <c r="H349" s="354"/>
      <c r="I349" s="354"/>
      <c r="J349" s="354"/>
      <c r="K349" s="354"/>
      <c r="L349" s="354"/>
      <c r="M349" s="354"/>
      <c r="N349" s="354"/>
      <c r="O349" s="354"/>
      <c r="P349" s="354"/>
      <c r="Q349" s="354"/>
      <c r="R349" s="354"/>
      <c r="S349" s="354"/>
      <c r="T349" s="354"/>
      <c r="U349" s="354"/>
      <c r="V349" s="354"/>
      <c r="W349" s="354"/>
      <c r="X349" s="354"/>
      <c r="Y349" s="354"/>
      <c r="Z349" s="354"/>
      <c r="AA349" s="354"/>
      <c r="AB349" s="354"/>
      <c r="AC349" s="354"/>
      <c r="AD349" s="354"/>
      <c r="AE349" s="354"/>
      <c r="AF349" s="354"/>
      <c r="AG349" s="354"/>
      <c r="AH349" s="354"/>
      <c r="AI349" s="354"/>
    </row>
    <row r="350" spans="2:35">
      <c r="B350" s="354"/>
      <c r="C350" s="354"/>
      <c r="D350" s="354"/>
      <c r="E350" s="354"/>
      <c r="F350" s="354"/>
      <c r="G350" s="354"/>
      <c r="H350" s="354"/>
      <c r="I350" s="354"/>
      <c r="J350" s="354"/>
      <c r="K350" s="354"/>
      <c r="L350" s="354"/>
      <c r="M350" s="354"/>
      <c r="N350" s="354"/>
      <c r="O350" s="354"/>
      <c r="P350" s="354"/>
      <c r="Q350" s="354"/>
      <c r="R350" s="354"/>
      <c r="S350" s="354"/>
      <c r="T350" s="354"/>
      <c r="U350" s="354"/>
      <c r="V350" s="354"/>
      <c r="W350" s="354"/>
      <c r="X350" s="354"/>
      <c r="Y350" s="354"/>
      <c r="Z350" s="354"/>
      <c r="AA350" s="354"/>
      <c r="AB350" s="354"/>
      <c r="AC350" s="354"/>
      <c r="AD350" s="354"/>
      <c r="AE350" s="354"/>
      <c r="AF350" s="354"/>
      <c r="AG350" s="354"/>
      <c r="AH350" s="354"/>
      <c r="AI350" s="354"/>
    </row>
    <row r="351" spans="2:35">
      <c r="B351" s="354"/>
      <c r="C351" s="354"/>
      <c r="D351" s="354"/>
      <c r="E351" s="354"/>
      <c r="F351" s="354"/>
      <c r="G351" s="354"/>
      <c r="H351" s="354"/>
      <c r="I351" s="354"/>
      <c r="J351" s="354"/>
      <c r="K351" s="354"/>
      <c r="L351" s="354"/>
      <c r="M351" s="354"/>
      <c r="N351" s="354"/>
      <c r="O351" s="354"/>
      <c r="P351" s="354"/>
      <c r="Q351" s="354"/>
      <c r="R351" s="354"/>
      <c r="S351" s="354"/>
      <c r="T351" s="354"/>
      <c r="U351" s="354"/>
      <c r="V351" s="354"/>
      <c r="W351" s="354"/>
      <c r="X351" s="354"/>
      <c r="Y351" s="354"/>
      <c r="Z351" s="354"/>
      <c r="AA351" s="354"/>
      <c r="AB351" s="354"/>
      <c r="AC351" s="354"/>
      <c r="AD351" s="354"/>
      <c r="AE351" s="354"/>
      <c r="AF351" s="354"/>
      <c r="AG351" s="354"/>
      <c r="AH351" s="354"/>
      <c r="AI351" s="354"/>
    </row>
    <row r="352" spans="2:35">
      <c r="B352" s="354"/>
      <c r="C352" s="354"/>
      <c r="D352" s="354"/>
      <c r="E352" s="354"/>
      <c r="F352" s="354"/>
      <c r="G352" s="354"/>
      <c r="H352" s="354"/>
      <c r="I352" s="354"/>
      <c r="J352" s="354"/>
      <c r="K352" s="354"/>
      <c r="L352" s="354"/>
      <c r="M352" s="354"/>
      <c r="N352" s="354"/>
      <c r="O352" s="354"/>
      <c r="P352" s="354"/>
      <c r="Q352" s="354"/>
      <c r="R352" s="354"/>
      <c r="S352" s="354"/>
      <c r="T352" s="354"/>
      <c r="U352" s="354"/>
      <c r="V352" s="354"/>
      <c r="W352" s="354"/>
      <c r="X352" s="354"/>
      <c r="Y352" s="354"/>
      <c r="Z352" s="354"/>
      <c r="AA352" s="354"/>
      <c r="AB352" s="354"/>
      <c r="AC352" s="354"/>
      <c r="AD352" s="354"/>
      <c r="AE352" s="354"/>
      <c r="AF352" s="354"/>
      <c r="AG352" s="354"/>
      <c r="AH352" s="354"/>
      <c r="AI352" s="354"/>
    </row>
    <row r="353" spans="2:35">
      <c r="B353" s="354"/>
      <c r="C353" s="354"/>
      <c r="D353" s="354"/>
      <c r="E353" s="354"/>
      <c r="F353" s="354"/>
      <c r="G353" s="354"/>
      <c r="H353" s="354"/>
      <c r="I353" s="354"/>
      <c r="J353" s="354"/>
      <c r="K353" s="354"/>
      <c r="L353" s="354"/>
      <c r="M353" s="354"/>
      <c r="N353" s="354"/>
      <c r="O353" s="354"/>
      <c r="P353" s="354"/>
      <c r="Q353" s="354"/>
      <c r="R353" s="354"/>
      <c r="S353" s="354"/>
      <c r="T353" s="354"/>
      <c r="U353" s="354"/>
      <c r="V353" s="354"/>
      <c r="W353" s="354"/>
      <c r="X353" s="354"/>
      <c r="Y353" s="354"/>
      <c r="Z353" s="354"/>
      <c r="AA353" s="354"/>
      <c r="AB353" s="354"/>
      <c r="AC353" s="354"/>
      <c r="AD353" s="354"/>
      <c r="AE353" s="354"/>
      <c r="AF353" s="354"/>
      <c r="AG353" s="354"/>
      <c r="AH353" s="354"/>
      <c r="AI353" s="354"/>
    </row>
    <row r="354" spans="2:35">
      <c r="B354" s="354"/>
      <c r="C354" s="354"/>
      <c r="D354" s="354"/>
      <c r="E354" s="354"/>
      <c r="F354" s="354"/>
      <c r="G354" s="354"/>
      <c r="H354" s="354"/>
      <c r="I354" s="354"/>
      <c r="J354" s="354"/>
      <c r="K354" s="354"/>
      <c r="L354" s="354"/>
      <c r="M354" s="354"/>
      <c r="N354" s="354"/>
      <c r="O354" s="354"/>
      <c r="P354" s="354"/>
      <c r="Q354" s="354"/>
      <c r="R354" s="354"/>
      <c r="S354" s="354"/>
      <c r="T354" s="354"/>
      <c r="U354" s="354"/>
      <c r="V354" s="354"/>
      <c r="W354" s="354"/>
      <c r="X354" s="354"/>
      <c r="Y354" s="354"/>
      <c r="Z354" s="354"/>
      <c r="AA354" s="354"/>
      <c r="AB354" s="354"/>
      <c r="AC354" s="354"/>
      <c r="AD354" s="354"/>
      <c r="AE354" s="354"/>
      <c r="AF354" s="354"/>
      <c r="AG354" s="354"/>
      <c r="AH354" s="354"/>
      <c r="AI354" s="354"/>
    </row>
    <row r="355" spans="2:35">
      <c r="B355" s="354"/>
      <c r="C355" s="354"/>
      <c r="D355" s="354"/>
      <c r="E355" s="354"/>
      <c r="F355" s="354"/>
      <c r="G355" s="354"/>
      <c r="H355" s="354"/>
      <c r="I355" s="354"/>
      <c r="J355" s="354"/>
      <c r="K355" s="354"/>
      <c r="L355" s="354"/>
      <c r="M355" s="354"/>
      <c r="N355" s="354"/>
      <c r="O355" s="354"/>
      <c r="P355" s="354"/>
      <c r="Q355" s="354"/>
      <c r="R355" s="354"/>
      <c r="S355" s="354"/>
      <c r="T355" s="354"/>
      <c r="U355" s="354"/>
      <c r="V355" s="354"/>
      <c r="W355" s="354"/>
      <c r="X355" s="354"/>
      <c r="Y355" s="354"/>
      <c r="Z355" s="354"/>
      <c r="AA355" s="354"/>
      <c r="AB355" s="354"/>
      <c r="AC355" s="354"/>
      <c r="AD355" s="354"/>
      <c r="AE355" s="354"/>
      <c r="AF355" s="354"/>
      <c r="AG355" s="354"/>
      <c r="AH355" s="354"/>
      <c r="AI355" s="354"/>
    </row>
    <row r="356" spans="2:35">
      <c r="B356" s="354"/>
      <c r="C356" s="354"/>
      <c r="D356" s="354"/>
      <c r="E356" s="354"/>
      <c r="F356" s="354"/>
      <c r="G356" s="354"/>
      <c r="H356" s="354"/>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row>
    <row r="357" spans="2:35">
      <c r="B357" s="354"/>
      <c r="C357" s="354"/>
      <c r="D357" s="354"/>
      <c r="E357" s="354"/>
      <c r="F357" s="354"/>
      <c r="G357" s="354"/>
      <c r="H357" s="354"/>
      <c r="I357" s="354"/>
      <c r="J357" s="354"/>
      <c r="K357" s="354"/>
      <c r="L357" s="354"/>
      <c r="M357" s="354"/>
      <c r="N357" s="354"/>
      <c r="O357" s="354"/>
      <c r="P357" s="354"/>
      <c r="Q357" s="354"/>
      <c r="R357" s="354"/>
      <c r="S357" s="354"/>
      <c r="T357" s="354"/>
      <c r="U357" s="354"/>
      <c r="V357" s="354"/>
      <c r="W357" s="354"/>
      <c r="X357" s="354"/>
      <c r="Y357" s="354"/>
      <c r="Z357" s="354"/>
      <c r="AA357" s="354"/>
      <c r="AB357" s="354"/>
      <c r="AC357" s="354"/>
      <c r="AD357" s="354"/>
      <c r="AE357" s="354"/>
      <c r="AF357" s="354"/>
      <c r="AG357" s="354"/>
      <c r="AH357" s="354"/>
      <c r="AI357" s="354"/>
    </row>
    <row r="358" spans="2:35">
      <c r="B358" s="354"/>
      <c r="C358" s="354"/>
      <c r="D358" s="354"/>
      <c r="E358" s="354"/>
      <c r="F358" s="354"/>
      <c r="G358" s="354"/>
      <c r="H358" s="354"/>
      <c r="I358" s="354"/>
      <c r="J358" s="354"/>
      <c r="K358" s="354"/>
      <c r="L358" s="354"/>
      <c r="M358" s="354"/>
      <c r="N358" s="354"/>
      <c r="O358" s="354"/>
      <c r="P358" s="354"/>
      <c r="Q358" s="354"/>
      <c r="R358" s="354"/>
      <c r="S358" s="354"/>
      <c r="T358" s="354"/>
      <c r="U358" s="354"/>
      <c r="V358" s="354"/>
      <c r="W358" s="354"/>
      <c r="X358" s="354"/>
      <c r="Y358" s="354"/>
      <c r="Z358" s="354"/>
      <c r="AA358" s="354"/>
      <c r="AB358" s="354"/>
      <c r="AC358" s="354"/>
      <c r="AD358" s="354"/>
      <c r="AE358" s="354"/>
      <c r="AF358" s="354"/>
      <c r="AG358" s="354"/>
      <c r="AH358" s="354"/>
      <c r="AI358" s="354"/>
    </row>
    <row r="359" spans="2:35">
      <c r="B359" s="354"/>
      <c r="C359" s="354"/>
      <c r="D359" s="354"/>
      <c r="E359" s="354"/>
      <c r="F359" s="354"/>
      <c r="G359" s="354"/>
      <c r="H359" s="354"/>
      <c r="I359" s="354"/>
      <c r="J359" s="354"/>
      <c r="K359" s="354"/>
      <c r="L359" s="354"/>
      <c r="M359" s="354"/>
      <c r="N359" s="354"/>
      <c r="O359" s="354"/>
      <c r="P359" s="354"/>
      <c r="Q359" s="354"/>
      <c r="R359" s="354"/>
      <c r="S359" s="354"/>
      <c r="T359" s="354"/>
      <c r="U359" s="354"/>
      <c r="V359" s="354"/>
      <c r="W359" s="354"/>
      <c r="X359" s="354"/>
      <c r="Y359" s="354"/>
      <c r="Z359" s="354"/>
      <c r="AA359" s="354"/>
      <c r="AB359" s="354"/>
      <c r="AC359" s="354"/>
      <c r="AD359" s="354"/>
      <c r="AE359" s="354"/>
      <c r="AF359" s="354"/>
      <c r="AG359" s="354"/>
      <c r="AH359" s="354"/>
      <c r="AI359" s="354"/>
    </row>
    <row r="360" spans="2:35">
      <c r="B360" s="354"/>
      <c r="C360" s="354"/>
      <c r="D360" s="354"/>
      <c r="E360" s="354"/>
      <c r="F360" s="354"/>
      <c r="G360" s="354"/>
      <c r="H360" s="354"/>
      <c r="I360" s="354"/>
      <c r="J360" s="354"/>
      <c r="K360" s="354"/>
      <c r="L360" s="354"/>
      <c r="M360" s="354"/>
      <c r="N360" s="354"/>
      <c r="O360" s="354"/>
      <c r="P360" s="354"/>
      <c r="Q360" s="354"/>
      <c r="R360" s="354"/>
      <c r="S360" s="354"/>
      <c r="T360" s="354"/>
      <c r="U360" s="354"/>
      <c r="V360" s="354"/>
      <c r="W360" s="354"/>
      <c r="X360" s="354"/>
      <c r="Y360" s="354"/>
      <c r="Z360" s="354"/>
      <c r="AA360" s="354"/>
      <c r="AB360" s="354"/>
      <c r="AC360" s="354"/>
      <c r="AD360" s="354"/>
      <c r="AE360" s="354"/>
      <c r="AF360" s="354"/>
      <c r="AG360" s="354"/>
      <c r="AH360" s="354"/>
      <c r="AI360" s="354"/>
    </row>
    <row r="361" spans="2:35">
      <c r="B361" s="354"/>
      <c r="C361" s="354"/>
      <c r="D361" s="354"/>
      <c r="E361" s="354"/>
      <c r="F361" s="354"/>
      <c r="G361" s="354"/>
      <c r="H361" s="354"/>
      <c r="I361" s="354"/>
      <c r="J361" s="354"/>
      <c r="K361" s="354"/>
      <c r="L361" s="354"/>
      <c r="M361" s="354"/>
      <c r="N361" s="354"/>
      <c r="O361" s="354"/>
      <c r="P361" s="354"/>
      <c r="Q361" s="354"/>
      <c r="R361" s="354"/>
      <c r="S361" s="354"/>
      <c r="T361" s="354"/>
      <c r="U361" s="354"/>
      <c r="V361" s="354"/>
      <c r="W361" s="354"/>
      <c r="X361" s="354"/>
      <c r="Y361" s="354"/>
      <c r="Z361" s="354"/>
      <c r="AA361" s="354"/>
      <c r="AB361" s="354"/>
      <c r="AC361" s="354"/>
      <c r="AD361" s="354"/>
      <c r="AE361" s="354"/>
      <c r="AF361" s="354"/>
      <c r="AG361" s="354"/>
      <c r="AH361" s="354"/>
      <c r="AI361" s="354"/>
    </row>
    <row r="362" spans="2:35">
      <c r="B362" s="354"/>
      <c r="C362" s="354"/>
      <c r="D362" s="354"/>
      <c r="E362" s="354"/>
      <c r="F362" s="354"/>
      <c r="G362" s="354"/>
      <c r="H362" s="354"/>
      <c r="I362" s="354"/>
      <c r="J362" s="354"/>
      <c r="K362" s="354"/>
      <c r="L362" s="354"/>
      <c r="M362" s="354"/>
      <c r="N362" s="354"/>
      <c r="O362" s="354"/>
      <c r="P362" s="354"/>
      <c r="Q362" s="354"/>
      <c r="R362" s="354"/>
      <c r="S362" s="354"/>
      <c r="T362" s="354"/>
      <c r="U362" s="354"/>
      <c r="V362" s="354"/>
      <c r="W362" s="354"/>
      <c r="X362" s="354"/>
      <c r="Y362" s="354"/>
      <c r="Z362" s="354"/>
      <c r="AA362" s="354"/>
      <c r="AB362" s="354"/>
      <c r="AC362" s="354"/>
      <c r="AD362" s="354"/>
      <c r="AE362" s="354"/>
      <c r="AF362" s="354"/>
      <c r="AG362" s="354"/>
      <c r="AH362" s="354"/>
      <c r="AI362" s="354"/>
    </row>
    <row r="363" spans="2:35">
      <c r="B363" s="354"/>
      <c r="C363" s="354"/>
      <c r="D363" s="354"/>
      <c r="E363" s="354"/>
      <c r="F363" s="354"/>
      <c r="G363" s="354"/>
      <c r="H363" s="354"/>
      <c r="I363" s="354"/>
      <c r="J363" s="354"/>
      <c r="K363" s="354"/>
      <c r="L363" s="354"/>
      <c r="M363" s="354"/>
      <c r="N363" s="354"/>
      <c r="O363" s="354"/>
      <c r="P363" s="354"/>
      <c r="Q363" s="354"/>
      <c r="R363" s="354"/>
      <c r="S363" s="354"/>
      <c r="T363" s="354"/>
      <c r="U363" s="354"/>
      <c r="V363" s="354"/>
      <c r="W363" s="354"/>
      <c r="X363" s="354"/>
      <c r="Y363" s="354"/>
      <c r="Z363" s="354"/>
      <c r="AA363" s="354"/>
      <c r="AB363" s="354"/>
      <c r="AC363" s="354"/>
      <c r="AD363" s="354"/>
      <c r="AE363" s="354"/>
      <c r="AF363" s="354"/>
      <c r="AG363" s="354"/>
      <c r="AH363" s="354"/>
      <c r="AI363" s="354"/>
    </row>
    <row r="364" spans="2:35">
      <c r="B364" s="354"/>
      <c r="C364" s="354"/>
      <c r="D364" s="354"/>
      <c r="E364" s="354"/>
      <c r="F364" s="354"/>
      <c r="G364" s="354"/>
      <c r="H364" s="354"/>
      <c r="I364" s="354"/>
      <c r="J364" s="354"/>
      <c r="K364" s="354"/>
      <c r="L364" s="354"/>
      <c r="M364" s="354"/>
      <c r="N364" s="354"/>
      <c r="O364" s="354"/>
      <c r="P364" s="354"/>
      <c r="Q364" s="354"/>
      <c r="R364" s="354"/>
      <c r="S364" s="354"/>
      <c r="T364" s="354"/>
      <c r="U364" s="354"/>
      <c r="V364" s="354"/>
      <c r="W364" s="354"/>
      <c r="X364" s="354"/>
      <c r="Y364" s="354"/>
      <c r="Z364" s="354"/>
      <c r="AA364" s="354"/>
      <c r="AB364" s="354"/>
      <c r="AC364" s="354"/>
      <c r="AD364" s="354"/>
      <c r="AE364" s="354"/>
      <c r="AF364" s="354"/>
      <c r="AG364" s="354"/>
      <c r="AH364" s="354"/>
      <c r="AI364" s="354"/>
    </row>
    <row r="365" spans="2:35">
      <c r="B365" s="354"/>
      <c r="C365" s="354"/>
      <c r="D365" s="354"/>
      <c r="E365" s="354"/>
      <c r="F365" s="354"/>
      <c r="G365" s="354"/>
      <c r="H365" s="354"/>
      <c r="I365" s="354"/>
      <c r="J365" s="354"/>
      <c r="K365" s="354"/>
      <c r="L365" s="354"/>
      <c r="M365" s="354"/>
      <c r="N365" s="354"/>
      <c r="O365" s="354"/>
      <c r="P365" s="354"/>
      <c r="Q365" s="354"/>
      <c r="R365" s="354"/>
      <c r="S365" s="354"/>
      <c r="T365" s="354"/>
      <c r="U365" s="354"/>
      <c r="V365" s="354"/>
      <c r="W365" s="354"/>
      <c r="X365" s="354"/>
      <c r="Y365" s="354"/>
      <c r="Z365" s="354"/>
      <c r="AA365" s="354"/>
      <c r="AB365" s="354"/>
      <c r="AC365" s="354"/>
      <c r="AD365" s="354"/>
      <c r="AE365" s="354"/>
      <c r="AF365" s="354"/>
      <c r="AG365" s="354"/>
      <c r="AH365" s="354"/>
      <c r="AI365" s="354"/>
    </row>
    <row r="366" spans="2:35">
      <c r="B366" s="354"/>
      <c r="C366" s="354"/>
      <c r="D366" s="354"/>
      <c r="E366" s="354"/>
      <c r="F366" s="354"/>
      <c r="G366" s="354"/>
      <c r="H366" s="354"/>
      <c r="I366" s="354"/>
      <c r="J366" s="354"/>
      <c r="K366" s="354"/>
      <c r="L366" s="354"/>
      <c r="M366" s="354"/>
      <c r="N366" s="354"/>
      <c r="O366" s="354"/>
      <c r="P366" s="354"/>
      <c r="Q366" s="354"/>
      <c r="R366" s="354"/>
      <c r="S366" s="354"/>
      <c r="T366" s="354"/>
      <c r="U366" s="354"/>
      <c r="V366" s="354"/>
      <c r="W366" s="354"/>
      <c r="X366" s="354"/>
      <c r="Y366" s="354"/>
      <c r="Z366" s="354"/>
      <c r="AA366" s="354"/>
      <c r="AB366" s="354"/>
      <c r="AC366" s="354"/>
      <c r="AD366" s="354"/>
      <c r="AE366" s="354"/>
      <c r="AF366" s="354"/>
      <c r="AG366" s="354"/>
      <c r="AH366" s="354"/>
      <c r="AI366" s="354"/>
    </row>
    <row r="367" spans="2:35">
      <c r="B367" s="354"/>
      <c r="C367" s="354"/>
      <c r="D367" s="354"/>
      <c r="E367" s="354"/>
      <c r="F367" s="354"/>
      <c r="G367" s="354"/>
      <c r="H367" s="354"/>
      <c r="I367" s="354"/>
      <c r="J367" s="354"/>
      <c r="K367" s="354"/>
      <c r="L367" s="354"/>
      <c r="M367" s="354"/>
      <c r="N367" s="354"/>
      <c r="O367" s="354"/>
      <c r="P367" s="354"/>
      <c r="Q367" s="354"/>
      <c r="R367" s="354"/>
      <c r="S367" s="354"/>
      <c r="T367" s="354"/>
      <c r="U367" s="354"/>
      <c r="V367" s="354"/>
      <c r="W367" s="354"/>
      <c r="X367" s="354"/>
      <c r="Y367" s="354"/>
      <c r="Z367" s="354"/>
      <c r="AA367" s="354"/>
      <c r="AB367" s="354"/>
      <c r="AC367" s="354"/>
      <c r="AD367" s="354"/>
      <c r="AE367" s="354"/>
      <c r="AF367" s="354"/>
      <c r="AG367" s="354"/>
      <c r="AH367" s="354"/>
      <c r="AI367" s="354"/>
    </row>
    <row r="368" spans="2:35">
      <c r="B368" s="354"/>
      <c r="C368" s="354"/>
      <c r="D368" s="354"/>
      <c r="E368" s="354"/>
      <c r="F368" s="354"/>
      <c r="G368" s="354"/>
      <c r="H368" s="354"/>
      <c r="I368" s="354"/>
      <c r="J368" s="354"/>
      <c r="K368" s="354"/>
      <c r="L368" s="354"/>
      <c r="M368" s="354"/>
      <c r="N368" s="354"/>
      <c r="O368" s="354"/>
      <c r="P368" s="354"/>
      <c r="Q368" s="354"/>
      <c r="R368" s="354"/>
      <c r="S368" s="354"/>
      <c r="T368" s="354"/>
      <c r="U368" s="354"/>
      <c r="V368" s="354"/>
      <c r="W368" s="354"/>
      <c r="X368" s="354"/>
      <c r="Y368" s="354"/>
      <c r="Z368" s="354"/>
      <c r="AA368" s="354"/>
      <c r="AB368" s="354"/>
      <c r="AC368" s="354"/>
      <c r="AD368" s="354"/>
      <c r="AE368" s="354"/>
      <c r="AF368" s="354"/>
      <c r="AG368" s="354"/>
      <c r="AH368" s="354"/>
      <c r="AI368" s="354"/>
    </row>
    <row r="369" spans="2:35">
      <c r="B369" s="354"/>
      <c r="C369" s="354"/>
      <c r="D369" s="354"/>
      <c r="E369" s="354"/>
      <c r="F369" s="354"/>
      <c r="G369" s="354"/>
      <c r="H369" s="354"/>
      <c r="I369" s="354"/>
      <c r="J369" s="354"/>
      <c r="K369" s="354"/>
      <c r="L369" s="354"/>
      <c r="M369" s="354"/>
      <c r="N369" s="354"/>
      <c r="O369" s="354"/>
      <c r="P369" s="354"/>
      <c r="Q369" s="354"/>
      <c r="R369" s="354"/>
      <c r="S369" s="354"/>
      <c r="T369" s="354"/>
      <c r="U369" s="354"/>
      <c r="V369" s="354"/>
      <c r="W369" s="354"/>
      <c r="X369" s="354"/>
      <c r="Y369" s="354"/>
      <c r="Z369" s="354"/>
      <c r="AA369" s="354"/>
      <c r="AB369" s="354"/>
      <c r="AC369" s="354"/>
      <c r="AD369" s="354"/>
      <c r="AE369" s="354"/>
      <c r="AF369" s="354"/>
      <c r="AG369" s="354"/>
      <c r="AH369" s="354"/>
      <c r="AI369" s="354"/>
    </row>
    <row r="370" spans="2:35">
      <c r="B370" s="354"/>
      <c r="C370" s="354"/>
      <c r="D370" s="354"/>
      <c r="E370" s="354"/>
      <c r="F370" s="354"/>
      <c r="G370" s="354"/>
      <c r="H370" s="354"/>
      <c r="I370" s="354"/>
      <c r="J370" s="354"/>
      <c r="K370" s="354"/>
      <c r="L370" s="354"/>
      <c r="M370" s="354"/>
      <c r="N370" s="354"/>
      <c r="O370" s="354"/>
      <c r="P370" s="354"/>
      <c r="Q370" s="354"/>
      <c r="R370" s="354"/>
      <c r="S370" s="354"/>
      <c r="T370" s="354"/>
      <c r="U370" s="354"/>
      <c r="V370" s="354"/>
      <c r="W370" s="354"/>
      <c r="X370" s="354"/>
      <c r="Y370" s="354"/>
      <c r="Z370" s="354"/>
      <c r="AA370" s="354"/>
      <c r="AB370" s="354"/>
      <c r="AC370" s="354"/>
      <c r="AD370" s="354"/>
      <c r="AE370" s="354"/>
      <c r="AF370" s="354"/>
      <c r="AG370" s="354"/>
      <c r="AH370" s="354"/>
      <c r="AI370" s="354"/>
    </row>
    <row r="371" spans="2:35">
      <c r="B371" s="354"/>
      <c r="C371" s="354"/>
      <c r="D371" s="354"/>
      <c r="E371" s="354"/>
      <c r="F371" s="354"/>
      <c r="G371" s="354"/>
      <c r="H371" s="354"/>
      <c r="I371" s="354"/>
      <c r="J371" s="354"/>
      <c r="K371" s="354"/>
      <c r="L371" s="354"/>
      <c r="M371" s="354"/>
      <c r="N371" s="354"/>
      <c r="O371" s="354"/>
      <c r="P371" s="354"/>
      <c r="Q371" s="354"/>
      <c r="R371" s="354"/>
      <c r="S371" s="354"/>
      <c r="T371" s="354"/>
      <c r="U371" s="354"/>
      <c r="V371" s="354"/>
      <c r="W371" s="354"/>
      <c r="X371" s="354"/>
      <c r="Y371" s="354"/>
      <c r="Z371" s="354"/>
      <c r="AA371" s="354"/>
      <c r="AB371" s="354"/>
      <c r="AC371" s="354"/>
      <c r="AD371" s="354"/>
      <c r="AE371" s="354"/>
      <c r="AF371" s="354"/>
      <c r="AG371" s="354"/>
      <c r="AH371" s="354"/>
      <c r="AI371" s="354"/>
    </row>
    <row r="372" spans="2:35">
      <c r="B372" s="354"/>
      <c r="C372" s="354"/>
      <c r="D372" s="354"/>
      <c r="E372" s="354"/>
      <c r="F372" s="354"/>
      <c r="G372" s="354"/>
      <c r="H372" s="354"/>
      <c r="I372" s="354"/>
      <c r="J372" s="354"/>
      <c r="K372" s="354"/>
      <c r="L372" s="354"/>
      <c r="M372" s="354"/>
      <c r="N372" s="354"/>
      <c r="O372" s="354"/>
      <c r="P372" s="354"/>
      <c r="Q372" s="354"/>
      <c r="R372" s="354"/>
      <c r="S372" s="354"/>
      <c r="T372" s="354"/>
      <c r="U372" s="354"/>
      <c r="V372" s="354"/>
      <c r="W372" s="354"/>
      <c r="X372" s="354"/>
      <c r="Y372" s="354"/>
      <c r="Z372" s="354"/>
      <c r="AA372" s="354"/>
      <c r="AB372" s="354"/>
      <c r="AC372" s="354"/>
      <c r="AD372" s="354"/>
      <c r="AE372" s="354"/>
      <c r="AF372" s="354"/>
      <c r="AG372" s="354"/>
      <c r="AH372" s="354"/>
      <c r="AI372" s="354"/>
    </row>
    <row r="373" spans="2:35">
      <c r="B373" s="354"/>
      <c r="C373" s="354"/>
      <c r="D373" s="354"/>
      <c r="E373" s="354"/>
      <c r="F373" s="354"/>
      <c r="G373" s="354"/>
      <c r="H373" s="354"/>
      <c r="I373" s="354"/>
      <c r="J373" s="354"/>
      <c r="K373" s="354"/>
      <c r="L373" s="354"/>
      <c r="M373" s="354"/>
      <c r="N373" s="354"/>
      <c r="O373" s="354"/>
      <c r="P373" s="354"/>
      <c r="Q373" s="354"/>
      <c r="R373" s="354"/>
      <c r="S373" s="354"/>
      <c r="T373" s="354"/>
      <c r="U373" s="354"/>
      <c r="V373" s="354"/>
      <c r="W373" s="354"/>
      <c r="X373" s="354"/>
      <c r="Y373" s="354"/>
      <c r="Z373" s="354"/>
      <c r="AA373" s="354"/>
      <c r="AB373" s="354"/>
      <c r="AC373" s="354"/>
      <c r="AD373" s="354"/>
      <c r="AE373" s="354"/>
      <c r="AF373" s="354"/>
      <c r="AG373" s="354"/>
      <c r="AH373" s="354"/>
      <c r="AI373" s="354"/>
    </row>
    <row r="374" spans="2:35">
      <c r="B374" s="354"/>
      <c r="C374" s="354"/>
      <c r="D374" s="354"/>
      <c r="E374" s="354"/>
      <c r="F374" s="354"/>
      <c r="G374" s="354"/>
      <c r="H374" s="354"/>
      <c r="I374" s="354"/>
      <c r="J374" s="354"/>
      <c r="K374" s="354"/>
      <c r="L374" s="354"/>
      <c r="M374" s="354"/>
      <c r="N374" s="354"/>
      <c r="O374" s="354"/>
      <c r="P374" s="354"/>
      <c r="Q374" s="354"/>
      <c r="R374" s="354"/>
      <c r="S374" s="354"/>
      <c r="T374" s="354"/>
      <c r="U374" s="354"/>
      <c r="V374" s="354"/>
      <c r="W374" s="354"/>
      <c r="X374" s="354"/>
      <c r="Y374" s="354"/>
      <c r="Z374" s="354"/>
      <c r="AA374" s="354"/>
      <c r="AB374" s="354"/>
      <c r="AC374" s="354"/>
      <c r="AD374" s="354"/>
      <c r="AE374" s="354"/>
      <c r="AF374" s="354"/>
      <c r="AG374" s="354"/>
      <c r="AH374" s="354"/>
      <c r="AI374" s="354"/>
    </row>
    <row r="375" spans="2:35">
      <c r="B375" s="354"/>
      <c r="C375" s="354"/>
      <c r="D375" s="354"/>
      <c r="E375" s="354"/>
      <c r="F375" s="354"/>
      <c r="G375" s="354"/>
      <c r="H375" s="354"/>
      <c r="I375" s="354"/>
      <c r="J375" s="354"/>
      <c r="K375" s="354"/>
      <c r="L375" s="354"/>
      <c r="M375" s="354"/>
      <c r="N375" s="354"/>
      <c r="O375" s="354"/>
      <c r="P375" s="354"/>
      <c r="Q375" s="354"/>
      <c r="R375" s="354"/>
      <c r="S375" s="354"/>
      <c r="T375" s="354"/>
      <c r="U375" s="354"/>
      <c r="V375" s="354"/>
      <c r="W375" s="354"/>
      <c r="X375" s="354"/>
      <c r="Y375" s="354"/>
      <c r="Z375" s="354"/>
      <c r="AA375" s="354"/>
      <c r="AB375" s="354"/>
      <c r="AC375" s="354"/>
      <c r="AD375" s="354"/>
      <c r="AE375" s="354"/>
      <c r="AF375" s="354"/>
      <c r="AG375" s="354"/>
      <c r="AH375" s="354"/>
      <c r="AI375" s="354"/>
    </row>
    <row r="376" spans="2:35">
      <c r="B376" s="354"/>
      <c r="C376" s="354"/>
      <c r="D376" s="354"/>
      <c r="E376" s="354"/>
      <c r="F376" s="354"/>
      <c r="G376" s="354"/>
      <c r="H376" s="354"/>
      <c r="I376" s="354"/>
      <c r="J376" s="354"/>
      <c r="K376" s="354"/>
      <c r="L376" s="354"/>
      <c r="M376" s="354"/>
      <c r="N376" s="354"/>
      <c r="O376" s="354"/>
      <c r="P376" s="354"/>
      <c r="Q376" s="354"/>
      <c r="R376" s="354"/>
      <c r="S376" s="354"/>
      <c r="T376" s="354"/>
      <c r="U376" s="354"/>
      <c r="V376" s="354"/>
      <c r="W376" s="354"/>
      <c r="X376" s="354"/>
      <c r="Y376" s="354"/>
      <c r="Z376" s="354"/>
      <c r="AA376" s="354"/>
      <c r="AB376" s="354"/>
      <c r="AC376" s="354"/>
      <c r="AD376" s="354"/>
      <c r="AE376" s="354"/>
      <c r="AF376" s="354"/>
      <c r="AG376" s="354"/>
      <c r="AH376" s="354"/>
      <c r="AI376" s="354"/>
    </row>
    <row r="377" spans="2:35">
      <c r="B377" s="354"/>
      <c r="C377" s="354"/>
      <c r="D377" s="354"/>
      <c r="E377" s="354"/>
      <c r="F377" s="354"/>
      <c r="G377" s="354"/>
      <c r="H377" s="354"/>
      <c r="I377" s="354"/>
      <c r="J377" s="354"/>
      <c r="K377" s="354"/>
      <c r="L377" s="354"/>
      <c r="M377" s="354"/>
      <c r="N377" s="354"/>
      <c r="O377" s="354"/>
      <c r="P377" s="354"/>
      <c r="Q377" s="354"/>
      <c r="R377" s="354"/>
      <c r="S377" s="354"/>
      <c r="T377" s="354"/>
      <c r="U377" s="354"/>
      <c r="V377" s="354"/>
      <c r="W377" s="354"/>
      <c r="X377" s="354"/>
      <c r="Y377" s="354"/>
      <c r="Z377" s="354"/>
      <c r="AA377" s="354"/>
      <c r="AB377" s="354"/>
      <c r="AC377" s="354"/>
      <c r="AD377" s="354"/>
      <c r="AE377" s="354"/>
      <c r="AF377" s="354"/>
      <c r="AG377" s="354"/>
      <c r="AH377" s="354"/>
      <c r="AI377" s="354"/>
    </row>
    <row r="378" spans="2:35">
      <c r="B378" s="354"/>
      <c r="C378" s="354"/>
      <c r="D378" s="354"/>
      <c r="E378" s="354"/>
      <c r="F378" s="354"/>
      <c r="G378" s="354"/>
      <c r="H378" s="354"/>
      <c r="I378" s="354"/>
      <c r="J378" s="354"/>
      <c r="K378" s="354"/>
      <c r="L378" s="354"/>
      <c r="M378" s="354"/>
      <c r="N378" s="354"/>
      <c r="O378" s="354"/>
      <c r="P378" s="354"/>
      <c r="Q378" s="354"/>
      <c r="R378" s="354"/>
      <c r="S378" s="354"/>
      <c r="T378" s="354"/>
      <c r="U378" s="354"/>
      <c r="V378" s="354"/>
      <c r="W378" s="354"/>
      <c r="X378" s="354"/>
      <c r="Y378" s="354"/>
      <c r="Z378" s="354"/>
      <c r="AA378" s="354"/>
      <c r="AB378" s="354"/>
      <c r="AC378" s="354"/>
      <c r="AD378" s="354"/>
      <c r="AE378" s="354"/>
      <c r="AF378" s="354"/>
      <c r="AG378" s="354"/>
      <c r="AH378" s="354"/>
      <c r="AI378" s="354"/>
    </row>
    <row r="379" spans="2:35">
      <c r="B379" s="354"/>
      <c r="C379" s="354"/>
      <c r="D379" s="354"/>
      <c r="E379" s="354"/>
      <c r="F379" s="354"/>
      <c r="G379" s="354"/>
      <c r="H379" s="354"/>
      <c r="I379" s="354"/>
      <c r="J379" s="354"/>
      <c r="K379" s="354"/>
      <c r="L379" s="354"/>
      <c r="M379" s="354"/>
      <c r="N379" s="354"/>
      <c r="O379" s="354"/>
      <c r="P379" s="354"/>
      <c r="Q379" s="354"/>
      <c r="R379" s="354"/>
      <c r="S379" s="354"/>
      <c r="T379" s="354"/>
      <c r="U379" s="354"/>
      <c r="V379" s="354"/>
      <c r="W379" s="354"/>
      <c r="X379" s="354"/>
      <c r="Y379" s="354"/>
      <c r="Z379" s="354"/>
      <c r="AA379" s="354"/>
      <c r="AB379" s="354"/>
      <c r="AC379" s="354"/>
      <c r="AD379" s="354"/>
      <c r="AE379" s="354"/>
      <c r="AF379" s="354"/>
      <c r="AG379" s="354"/>
      <c r="AH379" s="354"/>
      <c r="AI379" s="354"/>
    </row>
    <row r="380" spans="2:35">
      <c r="B380" s="354"/>
      <c r="C380" s="354"/>
      <c r="D380" s="354"/>
      <c r="E380" s="354"/>
      <c r="F380" s="354"/>
      <c r="G380" s="354"/>
      <c r="H380" s="354"/>
      <c r="I380" s="354"/>
      <c r="J380" s="354"/>
      <c r="K380" s="354"/>
      <c r="L380" s="354"/>
      <c r="M380" s="354"/>
      <c r="N380" s="354"/>
      <c r="O380" s="354"/>
      <c r="P380" s="354"/>
      <c r="Q380" s="354"/>
      <c r="R380" s="354"/>
      <c r="S380" s="354"/>
      <c r="T380" s="354"/>
      <c r="U380" s="354"/>
      <c r="V380" s="354"/>
      <c r="W380" s="354"/>
      <c r="X380" s="354"/>
      <c r="Y380" s="354"/>
      <c r="Z380" s="354"/>
      <c r="AA380" s="354"/>
      <c r="AB380" s="354"/>
      <c r="AC380" s="354"/>
      <c r="AD380" s="354"/>
      <c r="AE380" s="354"/>
      <c r="AF380" s="354"/>
      <c r="AG380" s="354"/>
      <c r="AH380" s="354"/>
      <c r="AI380" s="354"/>
    </row>
    <row r="381" spans="2:35">
      <c r="B381" s="354"/>
      <c r="C381" s="354"/>
      <c r="D381" s="354"/>
      <c r="E381" s="354"/>
      <c r="F381" s="354"/>
      <c r="G381" s="354"/>
      <c r="H381" s="354"/>
      <c r="I381" s="354"/>
      <c r="J381" s="354"/>
      <c r="K381" s="354"/>
      <c r="L381" s="354"/>
      <c r="M381" s="354"/>
      <c r="N381" s="354"/>
      <c r="O381" s="354"/>
      <c r="P381" s="354"/>
      <c r="Q381" s="354"/>
      <c r="R381" s="354"/>
      <c r="S381" s="354"/>
      <c r="T381" s="354"/>
      <c r="U381" s="354"/>
      <c r="V381" s="354"/>
      <c r="W381" s="354"/>
      <c r="X381" s="354"/>
      <c r="Y381" s="354"/>
      <c r="Z381" s="354"/>
      <c r="AA381" s="354"/>
      <c r="AB381" s="354"/>
      <c r="AC381" s="354"/>
      <c r="AD381" s="354"/>
      <c r="AE381" s="354"/>
      <c r="AF381" s="354"/>
      <c r="AG381" s="354"/>
      <c r="AH381" s="354"/>
      <c r="AI381" s="354"/>
    </row>
    <row r="382" spans="2:35">
      <c r="B382" s="354"/>
      <c r="C382" s="354"/>
      <c r="D382" s="354"/>
      <c r="E382" s="354"/>
      <c r="F382" s="354"/>
      <c r="G382" s="354"/>
      <c r="H382" s="354"/>
      <c r="I382" s="354"/>
      <c r="J382" s="354"/>
      <c r="K382" s="354"/>
      <c r="L382" s="354"/>
      <c r="M382" s="354"/>
      <c r="N382" s="354"/>
      <c r="O382" s="354"/>
      <c r="P382" s="354"/>
      <c r="Q382" s="354"/>
      <c r="R382" s="354"/>
      <c r="S382" s="354"/>
      <c r="T382" s="354"/>
      <c r="U382" s="354"/>
      <c r="V382" s="354"/>
      <c r="W382" s="354"/>
      <c r="X382" s="354"/>
      <c r="Y382" s="354"/>
      <c r="Z382" s="354"/>
      <c r="AA382" s="354"/>
      <c r="AB382" s="354"/>
      <c r="AC382" s="354"/>
      <c r="AD382" s="354"/>
      <c r="AE382" s="354"/>
      <c r="AF382" s="354"/>
      <c r="AG382" s="354"/>
      <c r="AH382" s="354"/>
      <c r="AI382" s="354"/>
    </row>
    <row r="383" spans="2:35">
      <c r="B383" s="354"/>
      <c r="C383" s="354"/>
      <c r="D383" s="354"/>
      <c r="E383" s="354"/>
      <c r="F383" s="354"/>
      <c r="G383" s="354"/>
      <c r="H383" s="354"/>
      <c r="I383" s="354"/>
      <c r="J383" s="354"/>
      <c r="K383" s="354"/>
      <c r="L383" s="354"/>
      <c r="M383" s="354"/>
      <c r="N383" s="354"/>
      <c r="O383" s="354"/>
      <c r="P383" s="354"/>
      <c r="Q383" s="354"/>
      <c r="R383" s="354"/>
      <c r="S383" s="354"/>
      <c r="T383" s="354"/>
      <c r="U383" s="354"/>
      <c r="V383" s="354"/>
      <c r="W383" s="354"/>
      <c r="X383" s="354"/>
      <c r="Y383" s="354"/>
      <c r="Z383" s="354"/>
      <c r="AA383" s="354"/>
      <c r="AB383" s="354"/>
      <c r="AC383" s="354"/>
      <c r="AD383" s="354"/>
      <c r="AE383" s="354"/>
      <c r="AF383" s="354"/>
      <c r="AG383" s="354"/>
      <c r="AH383" s="354"/>
      <c r="AI383" s="354"/>
    </row>
    <row r="384" spans="2:35">
      <c r="B384" s="354"/>
      <c r="C384" s="354"/>
      <c r="D384" s="354"/>
      <c r="E384" s="354"/>
      <c r="F384" s="354"/>
      <c r="G384" s="354"/>
      <c r="H384" s="354"/>
      <c r="I384" s="354"/>
      <c r="J384" s="354"/>
      <c r="K384" s="354"/>
      <c r="L384" s="354"/>
      <c r="M384" s="354"/>
      <c r="N384" s="354"/>
      <c r="O384" s="354"/>
      <c r="P384" s="354"/>
      <c r="Q384" s="354"/>
      <c r="R384" s="354"/>
      <c r="S384" s="354"/>
      <c r="T384" s="354"/>
      <c r="U384" s="354"/>
      <c r="V384" s="354"/>
      <c r="W384" s="354"/>
      <c r="X384" s="354"/>
      <c r="Y384" s="354"/>
      <c r="Z384" s="354"/>
      <c r="AA384" s="354"/>
      <c r="AB384" s="354"/>
      <c r="AC384" s="354"/>
      <c r="AD384" s="354"/>
      <c r="AE384" s="354"/>
      <c r="AF384" s="354"/>
      <c r="AG384" s="354"/>
      <c r="AH384" s="354"/>
      <c r="AI384" s="354"/>
    </row>
    <row r="385" spans="2:35">
      <c r="B385" s="354"/>
      <c r="C385" s="354"/>
      <c r="D385" s="354"/>
      <c r="E385" s="354"/>
      <c r="F385" s="354"/>
      <c r="G385" s="354"/>
      <c r="H385" s="354"/>
      <c r="I385" s="354"/>
      <c r="J385" s="354"/>
      <c r="K385" s="354"/>
      <c r="L385" s="354"/>
      <c r="M385" s="354"/>
      <c r="N385" s="354"/>
      <c r="O385" s="354"/>
      <c r="P385" s="354"/>
      <c r="Q385" s="354"/>
      <c r="R385" s="354"/>
      <c r="S385" s="354"/>
      <c r="T385" s="354"/>
      <c r="U385" s="354"/>
      <c r="V385" s="354"/>
      <c r="W385" s="354"/>
      <c r="X385" s="354"/>
      <c r="Y385" s="354"/>
      <c r="Z385" s="354"/>
      <c r="AA385" s="354"/>
      <c r="AB385" s="354"/>
      <c r="AC385" s="354"/>
      <c r="AD385" s="354"/>
      <c r="AE385" s="354"/>
      <c r="AF385" s="354"/>
      <c r="AG385" s="354"/>
      <c r="AH385" s="354"/>
      <c r="AI385" s="354"/>
    </row>
    <row r="386" spans="2:35">
      <c r="B386" s="354"/>
      <c r="C386" s="354"/>
      <c r="D386" s="354"/>
      <c r="E386" s="354"/>
      <c r="F386" s="354"/>
      <c r="G386" s="354"/>
      <c r="H386" s="354"/>
      <c r="I386" s="354"/>
      <c r="J386" s="354"/>
      <c r="K386" s="354"/>
      <c r="L386" s="354"/>
      <c r="M386" s="354"/>
      <c r="N386" s="354"/>
      <c r="O386" s="354"/>
      <c r="P386" s="354"/>
      <c r="Q386" s="354"/>
      <c r="R386" s="354"/>
      <c r="S386" s="354"/>
      <c r="T386" s="354"/>
      <c r="U386" s="354"/>
      <c r="V386" s="354"/>
      <c r="W386" s="354"/>
      <c r="X386" s="354"/>
      <c r="Y386" s="354"/>
      <c r="Z386" s="354"/>
      <c r="AA386" s="354"/>
      <c r="AB386" s="354"/>
      <c r="AC386" s="354"/>
      <c r="AD386" s="354"/>
      <c r="AE386" s="354"/>
      <c r="AF386" s="354"/>
      <c r="AG386" s="354"/>
      <c r="AH386" s="354"/>
      <c r="AI386" s="354"/>
    </row>
    <row r="387" spans="2:35">
      <c r="B387" s="354"/>
      <c r="C387" s="354"/>
      <c r="D387" s="354"/>
      <c r="E387" s="354"/>
      <c r="F387" s="354"/>
      <c r="G387" s="354"/>
      <c r="H387" s="354"/>
      <c r="I387" s="354"/>
      <c r="J387" s="354"/>
      <c r="K387" s="354"/>
      <c r="L387" s="354"/>
      <c r="M387" s="354"/>
      <c r="N387" s="354"/>
      <c r="O387" s="354"/>
      <c r="P387" s="354"/>
      <c r="Q387" s="354"/>
      <c r="R387" s="354"/>
      <c r="S387" s="354"/>
      <c r="T387" s="354"/>
      <c r="U387" s="354"/>
      <c r="V387" s="354"/>
      <c r="W387" s="354"/>
      <c r="X387" s="354"/>
      <c r="Y387" s="354"/>
      <c r="Z387" s="354"/>
      <c r="AA387" s="354"/>
      <c r="AB387" s="354"/>
      <c r="AC387" s="354"/>
      <c r="AD387" s="354"/>
      <c r="AE387" s="354"/>
      <c r="AF387" s="354"/>
      <c r="AG387" s="354"/>
      <c r="AH387" s="354"/>
      <c r="AI387" s="354"/>
    </row>
    <row r="388" spans="2:35">
      <c r="B388" s="354"/>
      <c r="C388" s="354"/>
      <c r="D388" s="354"/>
      <c r="E388" s="354"/>
      <c r="F388" s="354"/>
      <c r="G388" s="354"/>
      <c r="H388" s="354"/>
      <c r="I388" s="354"/>
      <c r="J388" s="354"/>
      <c r="K388" s="354"/>
      <c r="L388" s="354"/>
      <c r="M388" s="354"/>
      <c r="N388" s="354"/>
      <c r="O388" s="354"/>
      <c r="P388" s="354"/>
      <c r="Q388" s="354"/>
      <c r="R388" s="354"/>
      <c r="S388" s="354"/>
      <c r="T388" s="354"/>
      <c r="U388" s="354"/>
      <c r="V388" s="354"/>
      <c r="W388" s="354"/>
      <c r="X388" s="354"/>
      <c r="Y388" s="354"/>
      <c r="Z388" s="354"/>
      <c r="AA388" s="354"/>
      <c r="AB388" s="354"/>
      <c r="AC388" s="354"/>
      <c r="AD388" s="354"/>
      <c r="AE388" s="354"/>
      <c r="AF388" s="354"/>
      <c r="AG388" s="354"/>
      <c r="AH388" s="354"/>
      <c r="AI388" s="354"/>
    </row>
    <row r="389" spans="2:35">
      <c r="B389" s="354"/>
      <c r="C389" s="354"/>
      <c r="D389" s="354"/>
      <c r="E389" s="354"/>
      <c r="F389" s="354"/>
      <c r="G389" s="354"/>
      <c r="H389" s="354"/>
      <c r="I389" s="354"/>
      <c r="J389" s="354"/>
      <c r="K389" s="354"/>
      <c r="L389" s="354"/>
      <c r="M389" s="354"/>
      <c r="N389" s="354"/>
      <c r="O389" s="354"/>
      <c r="P389" s="354"/>
      <c r="Q389" s="354"/>
      <c r="R389" s="354"/>
      <c r="S389" s="354"/>
      <c r="T389" s="354"/>
      <c r="U389" s="354"/>
      <c r="V389" s="354"/>
      <c r="W389" s="354"/>
      <c r="X389" s="354"/>
      <c r="Y389" s="354"/>
      <c r="Z389" s="354"/>
      <c r="AA389" s="354"/>
      <c r="AB389" s="354"/>
      <c r="AC389" s="354"/>
      <c r="AD389" s="354"/>
      <c r="AE389" s="354"/>
      <c r="AF389" s="354"/>
      <c r="AG389" s="354"/>
      <c r="AH389" s="354"/>
      <c r="AI389" s="354"/>
    </row>
    <row r="390" spans="2:35">
      <c r="B390" s="354"/>
      <c r="C390" s="354"/>
      <c r="D390" s="354"/>
      <c r="E390" s="354"/>
      <c r="F390" s="354"/>
      <c r="G390" s="354"/>
      <c r="H390" s="354"/>
      <c r="I390" s="354"/>
      <c r="J390" s="354"/>
      <c r="K390" s="354"/>
      <c r="L390" s="354"/>
      <c r="M390" s="354"/>
      <c r="N390" s="354"/>
      <c r="O390" s="354"/>
      <c r="P390" s="354"/>
      <c r="Q390" s="354"/>
      <c r="R390" s="354"/>
      <c r="S390" s="354"/>
      <c r="T390" s="354"/>
      <c r="U390" s="354"/>
      <c r="V390" s="354"/>
      <c r="W390" s="354"/>
      <c r="X390" s="354"/>
      <c r="Y390" s="354"/>
      <c r="Z390" s="354"/>
      <c r="AA390" s="354"/>
      <c r="AB390" s="354"/>
      <c r="AC390" s="354"/>
      <c r="AD390" s="354"/>
      <c r="AE390" s="354"/>
      <c r="AF390" s="354"/>
      <c r="AG390" s="354"/>
      <c r="AH390" s="354"/>
      <c r="AI390" s="354"/>
    </row>
    <row r="391" spans="2:35">
      <c r="B391" s="354"/>
      <c r="C391" s="354"/>
      <c r="D391" s="354"/>
      <c r="E391" s="354"/>
      <c r="F391" s="354"/>
      <c r="G391" s="354"/>
      <c r="H391" s="354"/>
      <c r="I391" s="354"/>
      <c r="J391" s="354"/>
      <c r="K391" s="354"/>
      <c r="L391" s="354"/>
      <c r="M391" s="354"/>
      <c r="N391" s="354"/>
      <c r="O391" s="354"/>
      <c r="P391" s="354"/>
      <c r="Q391" s="354"/>
      <c r="R391" s="354"/>
      <c r="S391" s="354"/>
      <c r="T391" s="354"/>
      <c r="U391" s="354"/>
      <c r="V391" s="354"/>
      <c r="W391" s="354"/>
      <c r="X391" s="354"/>
      <c r="Y391" s="354"/>
      <c r="Z391" s="354"/>
      <c r="AA391" s="354"/>
      <c r="AB391" s="354"/>
      <c r="AC391" s="354"/>
      <c r="AD391" s="354"/>
      <c r="AE391" s="354"/>
      <c r="AF391" s="354"/>
      <c r="AG391" s="354"/>
      <c r="AH391" s="354"/>
      <c r="AI391" s="354"/>
    </row>
    <row r="392" spans="2:35">
      <c r="B392" s="354"/>
      <c r="C392" s="354"/>
      <c r="D392" s="354"/>
      <c r="E392" s="354"/>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row>
    <row r="393" spans="2:35">
      <c r="B393" s="354"/>
      <c r="C393" s="354"/>
      <c r="D393" s="354"/>
      <c r="E393" s="354"/>
      <c r="F393" s="354"/>
      <c r="G393" s="354"/>
      <c r="H393" s="354"/>
      <c r="I393" s="354"/>
      <c r="J393" s="354"/>
      <c r="K393" s="354"/>
      <c r="L393" s="354"/>
      <c r="M393" s="354"/>
      <c r="N393" s="354"/>
      <c r="O393" s="354"/>
      <c r="P393" s="354"/>
      <c r="Q393" s="354"/>
      <c r="R393" s="354"/>
      <c r="S393" s="354"/>
      <c r="T393" s="354"/>
      <c r="U393" s="354"/>
      <c r="V393" s="354"/>
      <c r="W393" s="354"/>
      <c r="X393" s="354"/>
      <c r="Y393" s="354"/>
      <c r="Z393" s="354"/>
      <c r="AA393" s="354"/>
      <c r="AB393" s="354"/>
      <c r="AC393" s="354"/>
      <c r="AD393" s="354"/>
      <c r="AE393" s="354"/>
      <c r="AF393" s="354"/>
      <c r="AG393" s="354"/>
      <c r="AH393" s="354"/>
      <c r="AI393" s="354"/>
    </row>
    <row r="394" spans="2:35">
      <c r="B394" s="354"/>
      <c r="C394" s="354"/>
      <c r="D394" s="354"/>
      <c r="E394" s="354"/>
      <c r="F394" s="354"/>
      <c r="G394" s="354"/>
      <c r="H394" s="354"/>
      <c r="I394" s="354"/>
      <c r="J394" s="354"/>
      <c r="K394" s="354"/>
      <c r="L394" s="354"/>
      <c r="M394" s="354"/>
      <c r="N394" s="354"/>
      <c r="O394" s="354"/>
      <c r="P394" s="354"/>
      <c r="Q394" s="354"/>
      <c r="R394" s="354"/>
      <c r="S394" s="354"/>
      <c r="T394" s="354"/>
      <c r="U394" s="354"/>
      <c r="V394" s="354"/>
      <c r="W394" s="354"/>
      <c r="X394" s="354"/>
      <c r="Y394" s="354"/>
      <c r="Z394" s="354"/>
      <c r="AA394" s="354"/>
      <c r="AB394" s="354"/>
      <c r="AC394" s="354"/>
      <c r="AD394" s="354"/>
      <c r="AE394" s="354"/>
      <c r="AF394" s="354"/>
      <c r="AG394" s="354"/>
      <c r="AH394" s="354"/>
      <c r="AI394" s="354"/>
    </row>
    <row r="395" spans="2:35">
      <c r="B395" s="354"/>
      <c r="C395" s="354"/>
      <c r="D395" s="354"/>
      <c r="E395" s="354"/>
      <c r="F395" s="354"/>
      <c r="G395" s="354"/>
      <c r="H395" s="354"/>
      <c r="I395" s="354"/>
      <c r="J395" s="354"/>
      <c r="K395" s="354"/>
      <c r="L395" s="354"/>
      <c r="M395" s="354"/>
      <c r="N395" s="354"/>
      <c r="O395" s="354"/>
      <c r="P395" s="354"/>
      <c r="Q395" s="354"/>
      <c r="R395" s="354"/>
      <c r="S395" s="354"/>
      <c r="T395" s="354"/>
      <c r="U395" s="354"/>
      <c r="V395" s="354"/>
      <c r="W395" s="354"/>
      <c r="X395" s="354"/>
      <c r="Y395" s="354"/>
      <c r="Z395" s="354"/>
      <c r="AA395" s="354"/>
      <c r="AB395" s="354"/>
      <c r="AC395" s="354"/>
      <c r="AD395" s="354"/>
      <c r="AE395" s="354"/>
      <c r="AF395" s="354"/>
      <c r="AG395" s="354"/>
      <c r="AH395" s="354"/>
      <c r="AI395" s="354"/>
    </row>
    <row r="396" spans="2:35">
      <c r="B396" s="354"/>
      <c r="C396" s="354"/>
      <c r="D396" s="354"/>
      <c r="E396" s="354"/>
      <c r="F396" s="354"/>
      <c r="G396" s="354"/>
      <c r="H396" s="354"/>
      <c r="I396" s="354"/>
      <c r="J396" s="354"/>
      <c r="K396" s="354"/>
      <c r="L396" s="354"/>
      <c r="M396" s="354"/>
      <c r="N396" s="354"/>
      <c r="O396" s="354"/>
      <c r="P396" s="354"/>
      <c r="Q396" s="354"/>
      <c r="R396" s="354"/>
      <c r="S396" s="354"/>
      <c r="T396" s="354"/>
      <c r="U396" s="354"/>
      <c r="V396" s="354"/>
      <c r="W396" s="354"/>
      <c r="X396" s="354"/>
      <c r="Y396" s="354"/>
      <c r="Z396" s="354"/>
      <c r="AA396" s="354"/>
      <c r="AB396" s="354"/>
      <c r="AC396" s="354"/>
      <c r="AD396" s="354"/>
      <c r="AE396" s="354"/>
      <c r="AF396" s="354"/>
      <c r="AG396" s="354"/>
      <c r="AH396" s="354"/>
      <c r="AI396" s="354"/>
    </row>
    <row r="397" spans="2:35">
      <c r="B397" s="354"/>
      <c r="C397" s="354"/>
      <c r="D397" s="354"/>
      <c r="E397" s="354"/>
      <c r="F397" s="354"/>
      <c r="G397" s="354"/>
      <c r="H397" s="354"/>
      <c r="I397" s="354"/>
      <c r="J397" s="354"/>
      <c r="K397" s="354"/>
      <c r="L397" s="354"/>
      <c r="M397" s="354"/>
      <c r="N397" s="354"/>
      <c r="O397" s="354"/>
      <c r="P397" s="354"/>
      <c r="Q397" s="354"/>
      <c r="R397" s="354"/>
      <c r="S397" s="354"/>
      <c r="T397" s="354"/>
      <c r="U397" s="354"/>
      <c r="V397" s="354"/>
      <c r="W397" s="354"/>
      <c r="X397" s="354"/>
      <c r="Y397" s="354"/>
      <c r="Z397" s="354"/>
      <c r="AA397" s="354"/>
      <c r="AB397" s="354"/>
      <c r="AC397" s="354"/>
      <c r="AD397" s="354"/>
      <c r="AE397" s="354"/>
      <c r="AF397" s="354"/>
      <c r="AG397" s="354"/>
      <c r="AH397" s="354"/>
      <c r="AI397" s="354"/>
    </row>
    <row r="398" spans="2:35">
      <c r="B398" s="354"/>
      <c r="C398" s="354"/>
      <c r="D398" s="354"/>
      <c r="E398" s="354"/>
      <c r="F398" s="354"/>
      <c r="G398" s="354"/>
      <c r="H398" s="354"/>
      <c r="I398" s="354"/>
      <c r="J398" s="354"/>
      <c r="K398" s="354"/>
      <c r="L398" s="354"/>
      <c r="M398" s="354"/>
      <c r="N398" s="354"/>
      <c r="O398" s="354"/>
      <c r="P398" s="354"/>
      <c r="Q398" s="354"/>
      <c r="R398" s="354"/>
      <c r="S398" s="354"/>
      <c r="T398" s="354"/>
      <c r="U398" s="354"/>
      <c r="V398" s="354"/>
      <c r="W398" s="354"/>
      <c r="X398" s="354"/>
      <c r="Y398" s="354"/>
      <c r="Z398" s="354"/>
      <c r="AA398" s="354"/>
      <c r="AB398" s="354"/>
      <c r="AC398" s="354"/>
      <c r="AD398" s="354"/>
      <c r="AE398" s="354"/>
      <c r="AF398" s="354"/>
      <c r="AG398" s="354"/>
      <c r="AH398" s="354"/>
      <c r="AI398" s="354"/>
    </row>
    <row r="399" spans="2:35">
      <c r="B399" s="354"/>
      <c r="C399" s="354"/>
      <c r="D399" s="354"/>
      <c r="E399" s="354"/>
      <c r="F399" s="354"/>
      <c r="G399" s="354"/>
      <c r="H399" s="354"/>
      <c r="I399" s="354"/>
      <c r="J399" s="354"/>
      <c r="K399" s="354"/>
      <c r="L399" s="354"/>
      <c r="M399" s="354"/>
      <c r="N399" s="354"/>
      <c r="O399" s="354"/>
      <c r="P399" s="354"/>
      <c r="Q399" s="354"/>
      <c r="R399" s="354"/>
      <c r="S399" s="354"/>
      <c r="T399" s="354"/>
      <c r="U399" s="354"/>
      <c r="V399" s="354"/>
      <c r="W399" s="354"/>
      <c r="X399" s="354"/>
      <c r="Y399" s="354"/>
      <c r="Z399" s="354"/>
      <c r="AA399" s="354"/>
      <c r="AB399" s="354"/>
      <c r="AC399" s="354"/>
      <c r="AD399" s="354"/>
      <c r="AE399" s="354"/>
      <c r="AF399" s="354"/>
      <c r="AG399" s="354"/>
      <c r="AH399" s="354"/>
      <c r="AI399" s="354"/>
    </row>
    <row r="400" spans="2:35">
      <c r="B400" s="354"/>
      <c r="C400" s="354"/>
      <c r="D400" s="354"/>
      <c r="E400" s="354"/>
      <c r="F400" s="354"/>
      <c r="G400" s="354"/>
      <c r="H400" s="354"/>
      <c r="I400" s="354"/>
      <c r="J400" s="354"/>
      <c r="K400" s="354"/>
      <c r="L400" s="354"/>
      <c r="M400" s="354"/>
      <c r="N400" s="354"/>
      <c r="O400" s="354"/>
      <c r="P400" s="354"/>
      <c r="Q400" s="354"/>
      <c r="R400" s="354"/>
      <c r="S400" s="354"/>
      <c r="T400" s="354"/>
      <c r="U400" s="354"/>
      <c r="V400" s="354"/>
      <c r="W400" s="354"/>
      <c r="X400" s="354"/>
      <c r="Y400" s="354"/>
      <c r="Z400" s="354"/>
      <c r="AA400" s="354"/>
      <c r="AB400" s="354"/>
      <c r="AC400" s="354"/>
      <c r="AD400" s="354"/>
      <c r="AE400" s="354"/>
      <c r="AF400" s="354"/>
      <c r="AG400" s="354"/>
      <c r="AH400" s="354"/>
      <c r="AI400" s="354"/>
    </row>
    <row r="401" spans="2:35">
      <c r="B401" s="354"/>
      <c r="C401" s="354"/>
      <c r="D401" s="354"/>
      <c r="E401" s="354"/>
      <c r="F401" s="354"/>
      <c r="G401" s="354"/>
      <c r="H401" s="354"/>
      <c r="I401" s="354"/>
      <c r="J401" s="354"/>
      <c r="K401" s="354"/>
      <c r="L401" s="354"/>
      <c r="M401" s="354"/>
      <c r="N401" s="354"/>
      <c r="O401" s="354"/>
      <c r="P401" s="354"/>
      <c r="Q401" s="354"/>
      <c r="R401" s="354"/>
      <c r="S401" s="354"/>
      <c r="T401" s="354"/>
      <c r="U401" s="354"/>
      <c r="V401" s="354"/>
      <c r="W401" s="354"/>
      <c r="X401" s="354"/>
      <c r="Y401" s="354"/>
      <c r="Z401" s="354"/>
      <c r="AA401" s="354"/>
      <c r="AB401" s="354"/>
      <c r="AC401" s="354"/>
      <c r="AD401" s="354"/>
      <c r="AE401" s="354"/>
      <c r="AF401" s="354"/>
      <c r="AG401" s="354"/>
      <c r="AH401" s="354"/>
      <c r="AI401" s="354"/>
    </row>
    <row r="402" spans="2:35">
      <c r="B402" s="354"/>
      <c r="C402" s="354"/>
      <c r="D402" s="354"/>
      <c r="E402" s="354"/>
      <c r="F402" s="354"/>
      <c r="G402" s="354"/>
      <c r="H402" s="354"/>
      <c r="I402" s="354"/>
      <c r="J402" s="354"/>
      <c r="K402" s="354"/>
      <c r="L402" s="354"/>
      <c r="M402" s="354"/>
      <c r="N402" s="354"/>
      <c r="O402" s="354"/>
      <c r="P402" s="354"/>
      <c r="Q402" s="354"/>
      <c r="R402" s="354"/>
      <c r="S402" s="354"/>
      <c r="T402" s="354"/>
      <c r="U402" s="354"/>
      <c r="V402" s="354"/>
      <c r="W402" s="354"/>
      <c r="X402" s="354"/>
      <c r="Y402" s="354"/>
      <c r="Z402" s="354"/>
      <c r="AA402" s="354"/>
      <c r="AB402" s="354"/>
      <c r="AC402" s="354"/>
      <c r="AD402" s="354"/>
      <c r="AE402" s="354"/>
      <c r="AF402" s="354"/>
      <c r="AG402" s="354"/>
      <c r="AH402" s="354"/>
      <c r="AI402" s="354"/>
    </row>
    <row r="403" spans="2:35">
      <c r="B403" s="354"/>
      <c r="C403" s="354"/>
      <c r="D403" s="354"/>
      <c r="E403" s="354"/>
      <c r="F403" s="354"/>
      <c r="G403" s="354"/>
      <c r="H403" s="354"/>
      <c r="I403" s="354"/>
      <c r="J403" s="354"/>
      <c r="K403" s="354"/>
      <c r="L403" s="354"/>
      <c r="M403" s="354"/>
      <c r="N403" s="354"/>
      <c r="O403" s="354"/>
      <c r="P403" s="354"/>
      <c r="Q403" s="354"/>
      <c r="R403" s="354"/>
      <c r="S403" s="354"/>
      <c r="T403" s="354"/>
      <c r="U403" s="354"/>
      <c r="V403" s="354"/>
      <c r="W403" s="354"/>
      <c r="X403" s="354"/>
      <c r="Y403" s="354"/>
      <c r="Z403" s="354"/>
      <c r="AA403" s="354"/>
      <c r="AB403" s="354"/>
      <c r="AC403" s="354"/>
      <c r="AD403" s="354"/>
      <c r="AE403" s="354"/>
      <c r="AF403" s="354"/>
      <c r="AG403" s="354"/>
      <c r="AH403" s="354"/>
      <c r="AI403" s="354"/>
    </row>
    <row r="404" spans="2:35">
      <c r="B404" s="354"/>
      <c r="C404" s="354"/>
      <c r="D404" s="354"/>
      <c r="E404" s="354"/>
      <c r="F404" s="354"/>
      <c r="G404" s="354"/>
      <c r="H404" s="354"/>
      <c r="I404" s="354"/>
      <c r="J404" s="354"/>
      <c r="K404" s="354"/>
      <c r="L404" s="354"/>
      <c r="M404" s="354"/>
      <c r="N404" s="354"/>
      <c r="O404" s="354"/>
      <c r="P404" s="354"/>
      <c r="Q404" s="354"/>
      <c r="R404" s="354"/>
      <c r="S404" s="354"/>
      <c r="T404" s="354"/>
      <c r="U404" s="354"/>
      <c r="V404" s="354"/>
      <c r="W404" s="354"/>
      <c r="X404" s="354"/>
      <c r="Y404" s="354"/>
      <c r="Z404" s="354"/>
      <c r="AA404" s="354"/>
      <c r="AB404" s="354"/>
      <c r="AC404" s="354"/>
      <c r="AD404" s="354"/>
      <c r="AE404" s="354"/>
      <c r="AF404" s="354"/>
      <c r="AG404" s="354"/>
      <c r="AH404" s="354"/>
      <c r="AI404" s="354"/>
    </row>
    <row r="405" spans="2:35">
      <c r="B405" s="354"/>
      <c r="C405" s="354"/>
      <c r="D405" s="354"/>
      <c r="E405" s="354"/>
      <c r="F405" s="354"/>
      <c r="G405" s="354"/>
      <c r="H405" s="354"/>
      <c r="I405" s="354"/>
      <c r="J405" s="354"/>
      <c r="K405" s="354"/>
      <c r="L405" s="354"/>
      <c r="M405" s="354"/>
      <c r="N405" s="354"/>
      <c r="O405" s="354"/>
      <c r="P405" s="354"/>
      <c r="Q405" s="354"/>
      <c r="R405" s="354"/>
      <c r="S405" s="354"/>
      <c r="T405" s="354"/>
      <c r="U405" s="354"/>
      <c r="V405" s="354"/>
      <c r="W405" s="354"/>
      <c r="X405" s="354"/>
      <c r="Y405" s="354"/>
      <c r="Z405" s="354"/>
      <c r="AA405" s="354"/>
      <c r="AB405" s="354"/>
      <c r="AC405" s="354"/>
      <c r="AD405" s="354"/>
      <c r="AE405" s="354"/>
      <c r="AF405" s="354"/>
      <c r="AG405" s="354"/>
      <c r="AH405" s="354"/>
      <c r="AI405" s="354"/>
    </row>
    <row r="406" spans="2:35">
      <c r="B406" s="354"/>
      <c r="C406" s="354"/>
      <c r="D406" s="354"/>
      <c r="E406" s="354"/>
      <c r="F406" s="354"/>
      <c r="G406" s="354"/>
      <c r="H406" s="354"/>
      <c r="I406" s="354"/>
      <c r="J406" s="354"/>
      <c r="K406" s="354"/>
      <c r="L406" s="354"/>
      <c r="M406" s="354"/>
      <c r="N406" s="354"/>
      <c r="O406" s="354"/>
      <c r="P406" s="354"/>
      <c r="Q406" s="354"/>
      <c r="R406" s="354"/>
      <c r="S406" s="354"/>
      <c r="T406" s="354"/>
      <c r="U406" s="354"/>
      <c r="V406" s="354"/>
      <c r="W406" s="354"/>
      <c r="X406" s="354"/>
      <c r="Y406" s="354"/>
      <c r="Z406" s="354"/>
      <c r="AA406" s="354"/>
      <c r="AB406" s="354"/>
      <c r="AC406" s="354"/>
      <c r="AD406" s="354"/>
      <c r="AE406" s="354"/>
      <c r="AF406" s="354"/>
      <c r="AG406" s="354"/>
      <c r="AH406" s="354"/>
      <c r="AI406" s="354"/>
    </row>
    <row r="407" spans="2:35">
      <c r="B407" s="354"/>
      <c r="C407" s="354"/>
      <c r="D407" s="354"/>
      <c r="E407" s="354"/>
      <c r="F407" s="354"/>
      <c r="G407" s="354"/>
      <c r="H407" s="354"/>
      <c r="I407" s="354"/>
      <c r="J407" s="354"/>
      <c r="K407" s="354"/>
      <c r="L407" s="354"/>
      <c r="M407" s="354"/>
      <c r="N407" s="354"/>
      <c r="O407" s="354"/>
      <c r="P407" s="354"/>
      <c r="Q407" s="354"/>
      <c r="R407" s="354"/>
      <c r="S407" s="354"/>
      <c r="T407" s="354"/>
      <c r="U407" s="354"/>
      <c r="V407" s="354"/>
      <c r="W407" s="354"/>
      <c r="X407" s="354"/>
      <c r="Y407" s="354"/>
      <c r="Z407" s="354"/>
      <c r="AA407" s="354"/>
      <c r="AB407" s="354"/>
      <c r="AC407" s="354"/>
      <c r="AD407" s="354"/>
      <c r="AE407" s="354"/>
      <c r="AF407" s="354"/>
      <c r="AG407" s="354"/>
      <c r="AH407" s="354"/>
      <c r="AI407" s="354"/>
    </row>
    <row r="408" spans="2:35">
      <c r="B408" s="354"/>
      <c r="C408" s="354"/>
      <c r="D408" s="354"/>
      <c r="E408" s="354"/>
      <c r="F408" s="354"/>
      <c r="G408" s="354"/>
      <c r="H408" s="354"/>
      <c r="I408" s="354"/>
      <c r="J408" s="354"/>
      <c r="K408" s="354"/>
      <c r="L408" s="354"/>
      <c r="M408" s="354"/>
      <c r="N408" s="354"/>
      <c r="O408" s="354"/>
      <c r="P408" s="354"/>
      <c r="Q408" s="354"/>
      <c r="R408" s="354"/>
      <c r="S408" s="354"/>
      <c r="T408" s="354"/>
      <c r="U408" s="354"/>
      <c r="V408" s="354"/>
      <c r="W408" s="354"/>
      <c r="X408" s="354"/>
      <c r="Y408" s="354"/>
      <c r="Z408" s="354"/>
      <c r="AA408" s="354"/>
      <c r="AB408" s="354"/>
      <c r="AC408" s="354"/>
      <c r="AD408" s="354"/>
      <c r="AE408" s="354"/>
      <c r="AF408" s="354"/>
      <c r="AG408" s="354"/>
      <c r="AH408" s="354"/>
      <c r="AI408" s="354"/>
    </row>
    <row r="409" spans="2:35">
      <c r="B409" s="354"/>
      <c r="C409" s="354"/>
      <c r="D409" s="354"/>
      <c r="E409" s="354"/>
      <c r="F409" s="354"/>
      <c r="G409" s="354"/>
      <c r="H409" s="354"/>
      <c r="I409" s="354"/>
      <c r="J409" s="354"/>
      <c r="K409" s="354"/>
      <c r="L409" s="354"/>
      <c r="M409" s="354"/>
      <c r="N409" s="354"/>
      <c r="O409" s="354"/>
      <c r="P409" s="354"/>
      <c r="Q409" s="354"/>
      <c r="R409" s="354"/>
      <c r="S409" s="354"/>
      <c r="T409" s="354"/>
      <c r="U409" s="354"/>
      <c r="V409" s="354"/>
      <c r="W409" s="354"/>
      <c r="X409" s="354"/>
      <c r="Y409" s="354"/>
      <c r="Z409" s="354"/>
      <c r="AA409" s="354"/>
      <c r="AB409" s="354"/>
      <c r="AC409" s="354"/>
      <c r="AD409" s="354"/>
      <c r="AE409" s="354"/>
      <c r="AF409" s="354"/>
      <c r="AG409" s="354"/>
      <c r="AH409" s="354"/>
      <c r="AI409" s="354"/>
    </row>
    <row r="410" spans="2:35">
      <c r="B410" s="354"/>
      <c r="C410" s="354"/>
      <c r="D410" s="354"/>
      <c r="E410" s="354"/>
      <c r="F410" s="354"/>
      <c r="G410" s="354"/>
      <c r="H410" s="354"/>
      <c r="I410" s="354"/>
      <c r="J410" s="354"/>
      <c r="K410" s="354"/>
      <c r="L410" s="354"/>
      <c r="M410" s="354"/>
      <c r="N410" s="354"/>
      <c r="O410" s="354"/>
      <c r="P410" s="354"/>
      <c r="Q410" s="354"/>
      <c r="R410" s="354"/>
      <c r="S410" s="354"/>
      <c r="T410" s="354"/>
      <c r="U410" s="354"/>
      <c r="V410" s="354"/>
      <c r="W410" s="354"/>
      <c r="X410" s="354"/>
      <c r="Y410" s="354"/>
      <c r="Z410" s="354"/>
      <c r="AA410" s="354"/>
      <c r="AB410" s="354"/>
      <c r="AC410" s="354"/>
      <c r="AD410" s="354"/>
      <c r="AE410" s="354"/>
      <c r="AF410" s="354"/>
      <c r="AG410" s="354"/>
      <c r="AH410" s="354"/>
      <c r="AI410" s="354"/>
    </row>
    <row r="411" spans="2:35">
      <c r="B411" s="354"/>
      <c r="C411" s="354"/>
      <c r="D411" s="354"/>
      <c r="E411" s="354"/>
      <c r="F411" s="354"/>
      <c r="G411" s="354"/>
      <c r="H411" s="354"/>
      <c r="I411" s="354"/>
      <c r="J411" s="354"/>
      <c r="K411" s="354"/>
      <c r="L411" s="354"/>
      <c r="M411" s="354"/>
      <c r="N411" s="354"/>
      <c r="O411" s="354"/>
      <c r="P411" s="354"/>
      <c r="Q411" s="354"/>
      <c r="R411" s="354"/>
      <c r="S411" s="354"/>
      <c r="T411" s="354"/>
      <c r="U411" s="354"/>
      <c r="V411" s="354"/>
      <c r="W411" s="354"/>
      <c r="X411" s="354"/>
      <c r="Y411" s="354"/>
      <c r="Z411" s="354"/>
      <c r="AA411" s="354"/>
      <c r="AB411" s="354"/>
      <c r="AC411" s="354"/>
      <c r="AD411" s="354"/>
      <c r="AE411" s="354"/>
      <c r="AF411" s="354"/>
      <c r="AG411" s="354"/>
      <c r="AH411" s="354"/>
      <c r="AI411" s="354"/>
    </row>
    <row r="412" spans="2:35">
      <c r="B412" s="354"/>
      <c r="C412" s="354"/>
      <c r="D412" s="354"/>
      <c r="E412" s="354"/>
      <c r="F412" s="354"/>
      <c r="G412" s="354"/>
      <c r="H412" s="354"/>
      <c r="I412" s="354"/>
      <c r="J412" s="354"/>
      <c r="K412" s="354"/>
      <c r="L412" s="354"/>
      <c r="M412" s="354"/>
      <c r="N412" s="354"/>
      <c r="O412" s="354"/>
      <c r="P412" s="354"/>
      <c r="Q412" s="354"/>
      <c r="R412" s="354"/>
      <c r="S412" s="354"/>
      <c r="T412" s="354"/>
      <c r="U412" s="354"/>
      <c r="V412" s="354"/>
      <c r="W412" s="354"/>
      <c r="X412" s="354"/>
      <c r="Y412" s="354"/>
      <c r="Z412" s="354"/>
      <c r="AA412" s="354"/>
      <c r="AB412" s="354"/>
      <c r="AC412" s="354"/>
      <c r="AD412" s="354"/>
      <c r="AE412" s="354"/>
      <c r="AF412" s="354"/>
      <c r="AG412" s="354"/>
      <c r="AH412" s="354"/>
      <c r="AI412" s="354"/>
    </row>
    <row r="413" spans="2:35">
      <c r="B413" s="354"/>
      <c r="C413" s="354"/>
      <c r="D413" s="354"/>
      <c r="E413" s="354"/>
      <c r="F413" s="354"/>
      <c r="G413" s="354"/>
      <c r="H413" s="354"/>
      <c r="I413" s="354"/>
      <c r="J413" s="354"/>
      <c r="K413" s="354"/>
      <c r="L413" s="354"/>
      <c r="M413" s="354"/>
      <c r="N413" s="354"/>
      <c r="O413" s="354"/>
      <c r="P413" s="354"/>
      <c r="Q413" s="354"/>
      <c r="R413" s="354"/>
      <c r="S413" s="354"/>
      <c r="T413" s="354"/>
      <c r="U413" s="354"/>
      <c r="V413" s="354"/>
      <c r="W413" s="354"/>
      <c r="X413" s="354"/>
      <c r="Y413" s="354"/>
      <c r="Z413" s="354"/>
      <c r="AA413" s="354"/>
      <c r="AB413" s="354"/>
      <c r="AC413" s="354"/>
      <c r="AD413" s="354"/>
      <c r="AE413" s="354"/>
      <c r="AF413" s="354"/>
      <c r="AG413" s="354"/>
      <c r="AH413" s="354"/>
      <c r="AI413" s="354"/>
    </row>
    <row r="414" spans="2:35">
      <c r="B414" s="354"/>
      <c r="C414" s="354"/>
      <c r="D414" s="354"/>
      <c r="E414" s="354"/>
      <c r="F414" s="354"/>
      <c r="G414" s="354"/>
      <c r="H414" s="354"/>
      <c r="I414" s="354"/>
      <c r="J414" s="354"/>
      <c r="K414" s="354"/>
      <c r="L414" s="354"/>
      <c r="M414" s="354"/>
      <c r="N414" s="354"/>
      <c r="O414" s="354"/>
      <c r="P414" s="354"/>
      <c r="Q414" s="354"/>
      <c r="R414" s="354"/>
      <c r="S414" s="354"/>
      <c r="T414" s="354"/>
      <c r="U414" s="354"/>
      <c r="V414" s="354"/>
      <c r="W414" s="354"/>
      <c r="X414" s="354"/>
      <c r="Y414" s="354"/>
      <c r="Z414" s="354"/>
      <c r="AA414" s="354"/>
      <c r="AB414" s="354"/>
      <c r="AC414" s="354"/>
      <c r="AD414" s="354"/>
      <c r="AE414" s="354"/>
      <c r="AF414" s="354"/>
      <c r="AG414" s="354"/>
      <c r="AH414" s="354"/>
      <c r="AI414" s="354"/>
    </row>
    <row r="415" spans="2:35">
      <c r="B415" s="354"/>
      <c r="C415" s="354"/>
      <c r="D415" s="354"/>
      <c r="E415" s="354"/>
      <c r="F415" s="354"/>
      <c r="G415" s="354"/>
      <c r="H415" s="354"/>
      <c r="I415" s="354"/>
      <c r="J415" s="354"/>
      <c r="K415" s="354"/>
      <c r="L415" s="354"/>
      <c r="M415" s="354"/>
      <c r="N415" s="354"/>
      <c r="O415" s="354"/>
      <c r="P415" s="354"/>
      <c r="Q415" s="354"/>
      <c r="R415" s="354"/>
      <c r="S415" s="354"/>
      <c r="T415" s="354"/>
      <c r="U415" s="354"/>
      <c r="V415" s="354"/>
      <c r="W415" s="354"/>
      <c r="X415" s="354"/>
      <c r="Y415" s="354"/>
      <c r="Z415" s="354"/>
      <c r="AA415" s="354"/>
      <c r="AB415" s="354"/>
      <c r="AC415" s="354"/>
      <c r="AD415" s="354"/>
      <c r="AE415" s="354"/>
      <c r="AF415" s="354"/>
      <c r="AG415" s="354"/>
      <c r="AH415" s="354"/>
      <c r="AI415" s="354"/>
    </row>
    <row r="416" spans="2:35">
      <c r="B416" s="354"/>
      <c r="C416" s="354"/>
      <c r="D416" s="354"/>
      <c r="E416" s="354"/>
      <c r="F416" s="354"/>
      <c r="G416" s="354"/>
      <c r="H416" s="354"/>
      <c r="I416" s="354"/>
      <c r="J416" s="354"/>
      <c r="K416" s="354"/>
      <c r="L416" s="354"/>
      <c r="M416" s="354"/>
      <c r="N416" s="354"/>
      <c r="O416" s="354"/>
      <c r="P416" s="354"/>
      <c r="Q416" s="354"/>
      <c r="R416" s="354"/>
      <c r="S416" s="354"/>
      <c r="T416" s="354"/>
      <c r="U416" s="354"/>
      <c r="V416" s="354"/>
      <c r="W416" s="354"/>
      <c r="X416" s="354"/>
      <c r="Y416" s="354"/>
      <c r="Z416" s="354"/>
      <c r="AA416" s="354"/>
      <c r="AB416" s="354"/>
      <c r="AC416" s="354"/>
      <c r="AD416" s="354"/>
      <c r="AE416" s="354"/>
      <c r="AF416" s="354"/>
      <c r="AG416" s="354"/>
      <c r="AH416" s="354"/>
      <c r="AI416" s="354"/>
    </row>
  </sheetData>
  <phoneticPr fontId="18"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G49"/>
  <sheetViews>
    <sheetView zoomScaleNormal="100" workbookViewId="0">
      <selection activeCell="A9" sqref="A9"/>
    </sheetView>
  </sheetViews>
  <sheetFormatPr baseColWidth="10" defaultColWidth="26.7109375" defaultRowHeight="12"/>
  <cols>
    <col min="1" max="1" width="26.7109375" style="154" customWidth="1"/>
    <col min="2" max="25" width="7.28515625" style="154" customWidth="1"/>
    <col min="26" max="26" width="10.7109375" style="154" customWidth="1"/>
    <col min="27" max="27" width="9.5703125" style="154" customWidth="1"/>
    <col min="28" max="77" width="7.28515625" style="154" customWidth="1"/>
    <col min="78" max="16384" width="26.7109375" style="154"/>
  </cols>
  <sheetData>
    <row r="1" spans="1:33" s="277" customFormat="1">
      <c r="A1" s="1504" t="s">
        <v>1276</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row>
    <row r="2" spans="1:33" s="277" customFormat="1">
      <c r="A2" s="1504" t="s">
        <v>940</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row>
    <row r="3" spans="1:33" s="277" customFormat="1">
      <c r="A3" s="1504" t="s">
        <v>814</v>
      </c>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row>
    <row r="6" spans="1:33">
      <c r="A6" s="278" t="s">
        <v>899</v>
      </c>
    </row>
    <row r="7" spans="1:33" s="8" customFormat="1" ht="18" customHeight="1">
      <c r="A7" s="961" t="s">
        <v>900</v>
      </c>
      <c r="B7" s="1104" t="s">
        <v>901</v>
      </c>
      <c r="C7" s="1105"/>
      <c r="D7" s="1259"/>
      <c r="E7" s="1486"/>
      <c r="F7" s="1104" t="s">
        <v>820</v>
      </c>
      <c r="G7" s="1105"/>
      <c r="H7" s="1259"/>
      <c r="I7" s="1486"/>
      <c r="J7" s="1104" t="s">
        <v>902</v>
      </c>
      <c r="K7" s="1105"/>
      <c r="L7" s="1259"/>
      <c r="M7" s="1486"/>
      <c r="N7" s="1104" t="s">
        <v>1094</v>
      </c>
      <c r="O7" s="1105"/>
      <c r="P7" s="1259"/>
      <c r="Q7" s="1486"/>
      <c r="R7" s="1104" t="s">
        <v>1062</v>
      </c>
      <c r="S7" s="1105"/>
      <c r="T7" s="1259"/>
      <c r="U7" s="1486"/>
      <c r="V7" s="1104" t="s">
        <v>1300</v>
      </c>
      <c r="W7" s="1105"/>
      <c r="X7" s="1259"/>
      <c r="Y7" s="1486"/>
      <c r="Z7" s="1104" t="s">
        <v>1408</v>
      </c>
      <c r="AA7" s="1105"/>
      <c r="AB7" s="1259"/>
      <c r="AC7" s="1486"/>
      <c r="AD7" s="1104" t="s">
        <v>594</v>
      </c>
      <c r="AE7" s="1105"/>
      <c r="AF7" s="1259"/>
      <c r="AG7" s="1486"/>
    </row>
    <row r="8" spans="1:33" s="8" customFormat="1" ht="18" customHeight="1">
      <c r="A8" s="1101"/>
      <c r="B8" s="1134">
        <f>+'50'!B8</f>
        <v>2020</v>
      </c>
      <c r="C8" s="1255">
        <f>+'50'!C8</f>
        <v>2021</v>
      </c>
      <c r="D8" s="1483">
        <f>+'50'!D8</f>
        <v>2022</v>
      </c>
      <c r="E8" s="1482">
        <f>+'50'!E8</f>
        <v>2023</v>
      </c>
      <c r="F8" s="1483">
        <f>+'50'!F8</f>
        <v>2020</v>
      </c>
      <c r="G8" s="1483">
        <f>+'50'!G8</f>
        <v>2021</v>
      </c>
      <c r="H8" s="1483">
        <f>+'50'!H8</f>
        <v>2022</v>
      </c>
      <c r="I8" s="1482">
        <f>+'50'!I8</f>
        <v>2023</v>
      </c>
      <c r="J8" s="1134">
        <f>+'50'!J8</f>
        <v>2020</v>
      </c>
      <c r="K8" s="1134">
        <f>+'50'!K8</f>
        <v>2021</v>
      </c>
      <c r="L8" s="1483">
        <f>+'50'!L8</f>
        <v>2022</v>
      </c>
      <c r="M8" s="1482">
        <f>+'50'!M8</f>
        <v>2023</v>
      </c>
      <c r="N8" s="1483">
        <f>+'50'!N8</f>
        <v>2020</v>
      </c>
      <c r="O8" s="1483">
        <f>+'50'!O8</f>
        <v>2021</v>
      </c>
      <c r="P8" s="1483">
        <f>+'50'!P8</f>
        <v>2022</v>
      </c>
      <c r="Q8" s="1482">
        <f>+'50'!Q8</f>
        <v>2023</v>
      </c>
      <c r="R8" s="1483">
        <f>+'50'!R8</f>
        <v>2020</v>
      </c>
      <c r="S8" s="1483">
        <f>+'50'!S8</f>
        <v>2021</v>
      </c>
      <c r="T8" s="1483">
        <f>+'50'!T8</f>
        <v>2022</v>
      </c>
      <c r="U8" s="1482">
        <f>+'50'!U8</f>
        <v>2023</v>
      </c>
      <c r="V8" s="1255">
        <f t="shared" ref="V8:AC8" si="0">+R8</f>
        <v>2020</v>
      </c>
      <c r="W8" s="1255">
        <f t="shared" si="0"/>
        <v>2021</v>
      </c>
      <c r="X8" s="1483">
        <f t="shared" si="0"/>
        <v>2022</v>
      </c>
      <c r="Y8" s="1482">
        <f t="shared" si="0"/>
        <v>2023</v>
      </c>
      <c r="Z8" s="1255">
        <f t="shared" si="0"/>
        <v>2020</v>
      </c>
      <c r="AA8" s="1255">
        <f t="shared" si="0"/>
        <v>2021</v>
      </c>
      <c r="AB8" s="1483">
        <f t="shared" si="0"/>
        <v>2022</v>
      </c>
      <c r="AC8" s="1482">
        <f t="shared" si="0"/>
        <v>2023</v>
      </c>
      <c r="AD8" s="1255">
        <f>+'50'!AD8</f>
        <v>2020</v>
      </c>
      <c r="AE8" s="1255">
        <f>+'50'!AE8</f>
        <v>2021</v>
      </c>
      <c r="AF8" s="1483">
        <f>+'50'!AF8</f>
        <v>2022</v>
      </c>
      <c r="AG8" s="1482">
        <f>+'50'!AG8</f>
        <v>2023</v>
      </c>
    </row>
    <row r="9" spans="1:33" s="8" customFormat="1" ht="18" customHeight="1">
      <c r="A9" s="241" t="s">
        <v>903</v>
      </c>
      <c r="B9" s="362"/>
      <c r="C9" s="8">
        <v>5</v>
      </c>
      <c r="D9" s="362">
        <v>7</v>
      </c>
      <c r="E9" s="360">
        <v>3</v>
      </c>
      <c r="F9" s="362"/>
      <c r="G9" s="362"/>
      <c r="H9" s="362">
        <v>6</v>
      </c>
      <c r="I9" s="360">
        <v>8</v>
      </c>
      <c r="J9" s="362"/>
      <c r="K9" s="362"/>
      <c r="L9" s="362"/>
      <c r="M9" s="360"/>
      <c r="N9" s="362"/>
      <c r="O9" s="362"/>
      <c r="P9" s="362"/>
      <c r="Q9" s="360"/>
      <c r="R9" s="326"/>
      <c r="S9" s="326"/>
      <c r="T9" s="362"/>
      <c r="U9" s="360"/>
      <c r="V9" s="255"/>
      <c r="W9" s="255"/>
      <c r="X9" s="362"/>
      <c r="Y9" s="360"/>
      <c r="Z9" s="255"/>
      <c r="AA9" s="255"/>
      <c r="AB9" s="362"/>
      <c r="AC9" s="360"/>
      <c r="AD9" s="352">
        <f t="shared" ref="AD9:AD38" si="1">+N9+J9+F9+B9+R9+V9+Z9</f>
        <v>0</v>
      </c>
      <c r="AE9" s="352">
        <f>+O9+K9+G9+C9++S9+W9+AA9</f>
        <v>5</v>
      </c>
      <c r="AF9" s="352">
        <f t="shared" ref="AF9:AF38" si="2">+P9+L9+H9+D9+T9+X9+AB9</f>
        <v>13</v>
      </c>
      <c r="AG9" s="360"/>
    </row>
    <row r="10" spans="1:33" s="8" customFormat="1" ht="18" customHeight="1">
      <c r="A10" s="67" t="s">
        <v>904</v>
      </c>
      <c r="B10" s="352">
        <v>4548</v>
      </c>
      <c r="C10" s="352">
        <v>5704</v>
      </c>
      <c r="D10" s="352">
        <v>5036</v>
      </c>
      <c r="E10" s="340">
        <v>6689</v>
      </c>
      <c r="F10" s="352">
        <v>2418</v>
      </c>
      <c r="G10" s="352">
        <v>3253</v>
      </c>
      <c r="H10" s="352">
        <v>4914</v>
      </c>
      <c r="I10" s="340">
        <v>5618</v>
      </c>
      <c r="J10" s="352"/>
      <c r="K10" s="352"/>
      <c r="L10" s="352"/>
      <c r="M10" s="340"/>
      <c r="N10" s="352"/>
      <c r="O10" s="352"/>
      <c r="P10" s="352"/>
      <c r="Q10" s="340"/>
      <c r="R10" s="255"/>
      <c r="S10" s="255"/>
      <c r="T10" s="352"/>
      <c r="U10" s="340"/>
      <c r="V10" s="255"/>
      <c r="W10" s="255"/>
      <c r="X10" s="352"/>
      <c r="Y10" s="340"/>
      <c r="Z10" s="255"/>
      <c r="AA10" s="255"/>
      <c r="AB10" s="352"/>
      <c r="AC10" s="340"/>
      <c r="AD10" s="352">
        <f t="shared" si="1"/>
        <v>6966</v>
      </c>
      <c r="AE10" s="352">
        <f t="shared" ref="AE10:AE38" si="3">+O10+K10+G10+C10+S10+W10+AA10</f>
        <v>8957</v>
      </c>
      <c r="AF10" s="352">
        <f t="shared" si="2"/>
        <v>9950</v>
      </c>
      <c r="AG10" s="340">
        <f t="shared" ref="AG10:AG37" si="4">+Q10+M10+I10+E10+U10+Y10+AD10</f>
        <v>19273</v>
      </c>
    </row>
    <row r="11" spans="1:33" s="8" customFormat="1" ht="18" customHeight="1">
      <c r="A11" s="67" t="s">
        <v>905</v>
      </c>
      <c r="B11" s="352"/>
      <c r="C11" s="352"/>
      <c r="D11" s="352"/>
      <c r="E11" s="340">
        <v>0</v>
      </c>
      <c r="F11" s="352"/>
      <c r="G11" s="352"/>
      <c r="H11" s="352"/>
      <c r="I11" s="340">
        <v>0</v>
      </c>
      <c r="J11" s="352"/>
      <c r="K11" s="352"/>
      <c r="L11" s="352"/>
      <c r="M11" s="340"/>
      <c r="N11" s="352"/>
      <c r="O11" s="352"/>
      <c r="P11" s="352"/>
      <c r="Q11" s="340"/>
      <c r="R11" s="255"/>
      <c r="S11" s="255"/>
      <c r="T11" s="352"/>
      <c r="U11" s="340"/>
      <c r="V11" s="255"/>
      <c r="W11" s="255"/>
      <c r="X11" s="352"/>
      <c r="Y11" s="340"/>
      <c r="Z11" s="255"/>
      <c r="AA11" s="255"/>
      <c r="AB11" s="352"/>
      <c r="AC11" s="340"/>
      <c r="AD11" s="352">
        <f t="shared" si="1"/>
        <v>0</v>
      </c>
      <c r="AE11" s="352">
        <f t="shared" si="3"/>
        <v>0</v>
      </c>
      <c r="AF11" s="352">
        <f t="shared" si="2"/>
        <v>0</v>
      </c>
      <c r="AG11" s="340">
        <f t="shared" si="4"/>
        <v>0</v>
      </c>
    </row>
    <row r="12" spans="1:33" s="8" customFormat="1" ht="18" customHeight="1">
      <c r="A12" s="67" t="s">
        <v>906</v>
      </c>
      <c r="B12" s="352"/>
      <c r="C12" s="352"/>
      <c r="D12" s="352"/>
      <c r="E12" s="340">
        <v>0</v>
      </c>
      <c r="F12" s="352">
        <v>323</v>
      </c>
      <c r="G12" s="352">
        <v>322</v>
      </c>
      <c r="H12" s="352">
        <v>343</v>
      </c>
      <c r="I12" s="340">
        <v>368</v>
      </c>
      <c r="J12" s="352"/>
      <c r="K12" s="352"/>
      <c r="L12" s="352"/>
      <c r="M12" s="340"/>
      <c r="N12" s="352"/>
      <c r="O12" s="352"/>
      <c r="P12" s="352"/>
      <c r="Q12" s="340"/>
      <c r="R12" s="255"/>
      <c r="S12" s="255"/>
      <c r="T12" s="352"/>
      <c r="U12" s="340"/>
      <c r="V12" s="255"/>
      <c r="W12" s="255"/>
      <c r="X12" s="352"/>
      <c r="Y12" s="340"/>
      <c r="Z12" s="255"/>
      <c r="AA12" s="255"/>
      <c r="AB12" s="352"/>
      <c r="AC12" s="340"/>
      <c r="AD12" s="352">
        <f t="shared" si="1"/>
        <v>323</v>
      </c>
      <c r="AE12" s="352">
        <f t="shared" si="3"/>
        <v>322</v>
      </c>
      <c r="AF12" s="352">
        <f t="shared" si="2"/>
        <v>343</v>
      </c>
      <c r="AG12" s="340">
        <f t="shared" si="4"/>
        <v>691</v>
      </c>
    </row>
    <row r="13" spans="1:33" s="8" customFormat="1" ht="18" customHeight="1">
      <c r="A13" s="67" t="s">
        <v>939</v>
      </c>
      <c r="B13" s="352">
        <v>326</v>
      </c>
      <c r="C13" s="352">
        <v>788</v>
      </c>
      <c r="D13" s="352">
        <v>787</v>
      </c>
      <c r="E13" s="340">
        <v>849</v>
      </c>
      <c r="F13" s="352">
        <v>420</v>
      </c>
      <c r="G13" s="352">
        <v>405</v>
      </c>
      <c r="H13" s="352">
        <v>903</v>
      </c>
      <c r="I13" s="340">
        <v>1490</v>
      </c>
      <c r="J13" s="352"/>
      <c r="K13" s="352"/>
      <c r="L13" s="352"/>
      <c r="M13" s="340"/>
      <c r="N13" s="352"/>
      <c r="O13" s="352"/>
      <c r="P13" s="352"/>
      <c r="Q13" s="340"/>
      <c r="R13" s="255"/>
      <c r="S13" s="255"/>
      <c r="T13" s="352"/>
      <c r="U13" s="340"/>
      <c r="V13" s="255"/>
      <c r="W13" s="255"/>
      <c r="X13" s="352"/>
      <c r="Y13" s="340"/>
      <c r="Z13" s="255"/>
      <c r="AA13" s="255"/>
      <c r="AB13" s="352"/>
      <c r="AC13" s="340"/>
      <c r="AD13" s="352">
        <f t="shared" si="1"/>
        <v>746</v>
      </c>
      <c r="AE13" s="352">
        <f t="shared" si="3"/>
        <v>1193</v>
      </c>
      <c r="AF13" s="352">
        <f t="shared" si="2"/>
        <v>1690</v>
      </c>
      <c r="AG13" s="340">
        <f t="shared" si="4"/>
        <v>3085</v>
      </c>
    </row>
    <row r="14" spans="1:33" s="8" customFormat="1" ht="18" customHeight="1">
      <c r="A14" s="339" t="s">
        <v>908</v>
      </c>
      <c r="B14" s="352"/>
      <c r="C14" s="352"/>
      <c r="D14" s="352"/>
      <c r="E14" s="340">
        <v>0</v>
      </c>
      <c r="F14" s="352">
        <v>1080</v>
      </c>
      <c r="G14" s="352">
        <v>1677</v>
      </c>
      <c r="H14" s="352">
        <v>1969</v>
      </c>
      <c r="I14" s="340">
        <v>1889</v>
      </c>
      <c r="J14" s="352"/>
      <c r="K14" s="352"/>
      <c r="L14" s="352"/>
      <c r="M14" s="340"/>
      <c r="N14" s="352"/>
      <c r="O14" s="352"/>
      <c r="P14" s="352"/>
      <c r="Q14" s="340"/>
      <c r="R14" s="255"/>
      <c r="S14" s="255"/>
      <c r="T14" s="352"/>
      <c r="U14" s="340"/>
      <c r="V14" s="255"/>
      <c r="W14" s="255"/>
      <c r="X14" s="352"/>
      <c r="Y14" s="340"/>
      <c r="Z14" s="255"/>
      <c r="AA14" s="255"/>
      <c r="AB14" s="352"/>
      <c r="AC14" s="340"/>
      <c r="AD14" s="352">
        <f t="shared" si="1"/>
        <v>1080</v>
      </c>
      <c r="AE14" s="352">
        <f t="shared" si="3"/>
        <v>1677</v>
      </c>
      <c r="AF14" s="352">
        <f t="shared" si="2"/>
        <v>1969</v>
      </c>
      <c r="AG14" s="340">
        <f t="shared" si="4"/>
        <v>2969</v>
      </c>
    </row>
    <row r="15" spans="1:33" s="8" customFormat="1" ht="18" customHeight="1">
      <c r="A15" s="339" t="s">
        <v>909</v>
      </c>
      <c r="B15" s="352">
        <v>52</v>
      </c>
      <c r="C15" s="352">
        <v>621</v>
      </c>
      <c r="D15" s="352">
        <v>800</v>
      </c>
      <c r="E15" s="340">
        <v>875</v>
      </c>
      <c r="F15" s="352">
        <v>131</v>
      </c>
      <c r="G15" s="352">
        <v>125</v>
      </c>
      <c r="H15" s="352">
        <v>265</v>
      </c>
      <c r="I15" s="340">
        <v>460</v>
      </c>
      <c r="J15" s="352"/>
      <c r="K15" s="352"/>
      <c r="L15" s="352"/>
      <c r="M15" s="340"/>
      <c r="N15" s="352"/>
      <c r="O15" s="352"/>
      <c r="P15" s="352"/>
      <c r="Q15" s="340"/>
      <c r="R15" s="255"/>
      <c r="S15" s="255"/>
      <c r="T15" s="352"/>
      <c r="U15" s="340"/>
      <c r="V15" s="255"/>
      <c r="W15" s="255"/>
      <c r="X15" s="352"/>
      <c r="Y15" s="340"/>
      <c r="Z15" s="255"/>
      <c r="AA15" s="255"/>
      <c r="AB15" s="352"/>
      <c r="AC15" s="340"/>
      <c r="AD15" s="352">
        <f t="shared" si="1"/>
        <v>183</v>
      </c>
      <c r="AE15" s="352">
        <f t="shared" si="3"/>
        <v>746</v>
      </c>
      <c r="AF15" s="352">
        <f t="shared" si="2"/>
        <v>1065</v>
      </c>
      <c r="AG15" s="340">
        <f t="shared" si="4"/>
        <v>1518</v>
      </c>
    </row>
    <row r="16" spans="1:33" s="8" customFormat="1" ht="18" customHeight="1">
      <c r="A16" s="339" t="s">
        <v>910</v>
      </c>
      <c r="B16" s="352"/>
      <c r="C16" s="352"/>
      <c r="D16" s="352"/>
      <c r="E16" s="340">
        <v>352</v>
      </c>
      <c r="F16" s="352"/>
      <c r="G16" s="352"/>
      <c r="H16" s="352"/>
      <c r="I16" s="340">
        <v>0</v>
      </c>
      <c r="J16" s="352"/>
      <c r="K16" s="352"/>
      <c r="L16" s="352"/>
      <c r="M16" s="340"/>
      <c r="N16" s="352"/>
      <c r="O16" s="352"/>
      <c r="P16" s="352"/>
      <c r="Q16" s="340"/>
      <c r="R16" s="255"/>
      <c r="S16" s="255"/>
      <c r="T16" s="352"/>
      <c r="U16" s="340"/>
      <c r="V16" s="255"/>
      <c r="W16" s="255"/>
      <c r="X16" s="352"/>
      <c r="Y16" s="340"/>
      <c r="Z16" s="255"/>
      <c r="AA16" s="255"/>
      <c r="AB16" s="352"/>
      <c r="AC16" s="340"/>
      <c r="AD16" s="352">
        <f t="shared" si="1"/>
        <v>0</v>
      </c>
      <c r="AE16" s="352">
        <f t="shared" si="3"/>
        <v>0</v>
      </c>
      <c r="AF16" s="352">
        <f t="shared" si="2"/>
        <v>0</v>
      </c>
      <c r="AG16" s="340">
        <f t="shared" si="4"/>
        <v>352</v>
      </c>
    </row>
    <row r="17" spans="1:33" s="8" customFormat="1" ht="18" customHeight="1">
      <c r="A17" s="339" t="s">
        <v>911</v>
      </c>
      <c r="B17" s="352">
        <v>285</v>
      </c>
      <c r="C17" s="352">
        <v>299</v>
      </c>
      <c r="D17" s="352">
        <v>277</v>
      </c>
      <c r="E17" s="340">
        <v>352</v>
      </c>
      <c r="F17" s="352"/>
      <c r="G17" s="352"/>
      <c r="H17" s="352"/>
      <c r="I17" s="340">
        <v>0</v>
      </c>
      <c r="J17" s="352"/>
      <c r="K17" s="352"/>
      <c r="L17" s="352"/>
      <c r="M17" s="340"/>
      <c r="N17" s="352"/>
      <c r="O17" s="352"/>
      <c r="P17" s="352"/>
      <c r="Q17" s="340"/>
      <c r="R17" s="255"/>
      <c r="S17" s="255"/>
      <c r="T17" s="352"/>
      <c r="U17" s="340"/>
      <c r="V17" s="255"/>
      <c r="W17" s="255"/>
      <c r="X17" s="352"/>
      <c r="Y17" s="340"/>
      <c r="Z17" s="255"/>
      <c r="AA17" s="255"/>
      <c r="AB17" s="352"/>
      <c r="AC17" s="340"/>
      <c r="AD17" s="352">
        <f t="shared" si="1"/>
        <v>285</v>
      </c>
      <c r="AE17" s="352">
        <f t="shared" si="3"/>
        <v>299</v>
      </c>
      <c r="AF17" s="352">
        <f t="shared" si="2"/>
        <v>277</v>
      </c>
      <c r="AG17" s="340">
        <f t="shared" si="4"/>
        <v>637</v>
      </c>
    </row>
    <row r="18" spans="1:33" s="8" customFormat="1" ht="18" customHeight="1">
      <c r="A18" s="339" t="s">
        <v>912</v>
      </c>
      <c r="B18" s="352"/>
      <c r="C18" s="352"/>
      <c r="D18" s="352"/>
      <c r="E18" s="340">
        <v>0</v>
      </c>
      <c r="F18" s="352">
        <v>1030</v>
      </c>
      <c r="G18" s="352">
        <v>1231</v>
      </c>
      <c r="H18" s="352">
        <v>1615</v>
      </c>
      <c r="I18" s="340">
        <v>2057</v>
      </c>
      <c r="J18" s="352"/>
      <c r="K18" s="352"/>
      <c r="L18" s="352"/>
      <c r="M18" s="340"/>
      <c r="N18" s="352"/>
      <c r="O18" s="352"/>
      <c r="P18" s="352"/>
      <c r="Q18" s="340"/>
      <c r="R18" s="255"/>
      <c r="S18" s="255"/>
      <c r="T18" s="352"/>
      <c r="U18" s="340"/>
      <c r="V18" s="255"/>
      <c r="W18" s="255"/>
      <c r="X18" s="352"/>
      <c r="Y18" s="340"/>
      <c r="Z18" s="255"/>
      <c r="AA18" s="255"/>
      <c r="AB18" s="352"/>
      <c r="AC18" s="340"/>
      <c r="AD18" s="352">
        <f t="shared" si="1"/>
        <v>1030</v>
      </c>
      <c r="AE18" s="352">
        <f t="shared" si="3"/>
        <v>1231</v>
      </c>
      <c r="AF18" s="352">
        <f t="shared" si="2"/>
        <v>1615</v>
      </c>
      <c r="AG18" s="340">
        <f t="shared" si="4"/>
        <v>3087</v>
      </c>
    </row>
    <row r="19" spans="1:33" s="8" customFormat="1" ht="18" customHeight="1">
      <c r="A19" s="67" t="s">
        <v>913</v>
      </c>
      <c r="B19" s="352"/>
      <c r="C19" s="352"/>
      <c r="D19" s="352"/>
      <c r="E19" s="340">
        <v>0</v>
      </c>
      <c r="F19" s="352">
        <v>298</v>
      </c>
      <c r="G19" s="352">
        <v>36</v>
      </c>
      <c r="H19" s="352"/>
      <c r="I19" s="340">
        <v>0</v>
      </c>
      <c r="J19" s="352"/>
      <c r="K19" s="352"/>
      <c r="L19" s="352"/>
      <c r="M19" s="340"/>
      <c r="N19" s="352"/>
      <c r="O19" s="352"/>
      <c r="P19" s="352"/>
      <c r="Q19" s="340"/>
      <c r="R19" s="255"/>
      <c r="S19" s="255"/>
      <c r="T19" s="352"/>
      <c r="U19" s="340"/>
      <c r="V19" s="255"/>
      <c r="W19" s="255"/>
      <c r="X19" s="352"/>
      <c r="Y19" s="340"/>
      <c r="Z19" s="255"/>
      <c r="AA19" s="255"/>
      <c r="AB19" s="352"/>
      <c r="AC19" s="340"/>
      <c r="AD19" s="352">
        <f t="shared" si="1"/>
        <v>298</v>
      </c>
      <c r="AE19" s="352">
        <f t="shared" si="3"/>
        <v>36</v>
      </c>
      <c r="AF19" s="352">
        <f t="shared" si="2"/>
        <v>0</v>
      </c>
      <c r="AG19" s="340">
        <f t="shared" si="4"/>
        <v>298</v>
      </c>
    </row>
    <row r="20" spans="1:33" s="8" customFormat="1" ht="18" customHeight="1">
      <c r="A20" s="67" t="s">
        <v>914</v>
      </c>
      <c r="B20" s="352"/>
      <c r="C20" s="352"/>
      <c r="D20" s="352"/>
      <c r="E20" s="340">
        <v>0</v>
      </c>
      <c r="F20" s="352">
        <v>736</v>
      </c>
      <c r="G20" s="352">
        <v>544</v>
      </c>
      <c r="H20" s="352">
        <v>645</v>
      </c>
      <c r="I20" s="340">
        <v>812</v>
      </c>
      <c r="J20" s="352"/>
      <c r="K20" s="352"/>
      <c r="L20" s="352"/>
      <c r="M20" s="340"/>
      <c r="N20" s="352"/>
      <c r="O20" s="352"/>
      <c r="P20" s="352"/>
      <c r="Q20" s="340"/>
      <c r="R20" s="255"/>
      <c r="S20" s="255"/>
      <c r="T20" s="352"/>
      <c r="U20" s="340"/>
      <c r="V20" s="255"/>
      <c r="W20" s="255"/>
      <c r="X20" s="352"/>
      <c r="Y20" s="340"/>
      <c r="Z20" s="255"/>
      <c r="AA20" s="255"/>
      <c r="AB20" s="352"/>
      <c r="AC20" s="340"/>
      <c r="AD20" s="352">
        <f t="shared" si="1"/>
        <v>736</v>
      </c>
      <c r="AE20" s="352">
        <f t="shared" si="3"/>
        <v>544</v>
      </c>
      <c r="AF20" s="352">
        <f t="shared" si="2"/>
        <v>645</v>
      </c>
      <c r="AG20" s="340">
        <f t="shared" si="4"/>
        <v>1548</v>
      </c>
    </row>
    <row r="21" spans="1:33" s="8" customFormat="1" ht="18" customHeight="1">
      <c r="A21" s="600" t="s">
        <v>719</v>
      </c>
      <c r="B21" s="352"/>
      <c r="C21" s="352"/>
      <c r="D21" s="352"/>
      <c r="E21" s="340">
        <v>0</v>
      </c>
      <c r="F21" s="352"/>
      <c r="G21" s="352"/>
      <c r="H21" s="352"/>
      <c r="I21" s="340">
        <v>0</v>
      </c>
      <c r="J21" s="352"/>
      <c r="K21" s="352"/>
      <c r="L21" s="352"/>
      <c r="M21" s="340"/>
      <c r="N21" s="352"/>
      <c r="O21" s="352"/>
      <c r="P21" s="352"/>
      <c r="Q21" s="340"/>
      <c r="R21" s="255"/>
      <c r="S21" s="255"/>
      <c r="T21" s="352"/>
      <c r="U21" s="340"/>
      <c r="V21" s="255"/>
      <c r="W21" s="255"/>
      <c r="X21" s="352"/>
      <c r="Y21" s="340"/>
      <c r="Z21" s="255"/>
      <c r="AA21" s="255"/>
      <c r="AB21" s="352"/>
      <c r="AC21" s="340"/>
      <c r="AD21" s="352">
        <f t="shared" si="1"/>
        <v>0</v>
      </c>
      <c r="AE21" s="352">
        <f t="shared" si="3"/>
        <v>0</v>
      </c>
      <c r="AF21" s="352">
        <f t="shared" si="2"/>
        <v>0</v>
      </c>
      <c r="AG21" s="340">
        <f t="shared" si="4"/>
        <v>0</v>
      </c>
    </row>
    <row r="22" spans="1:33" s="8" customFormat="1" ht="18" customHeight="1">
      <c r="A22" s="67" t="s">
        <v>915</v>
      </c>
      <c r="B22" s="352">
        <v>1970</v>
      </c>
      <c r="C22" s="352">
        <v>2581</v>
      </c>
      <c r="D22" s="352">
        <v>2321</v>
      </c>
      <c r="E22" s="340">
        <v>1299</v>
      </c>
      <c r="F22" s="352">
        <v>133</v>
      </c>
      <c r="G22" s="352">
        <v>161</v>
      </c>
      <c r="H22" s="352">
        <v>81</v>
      </c>
      <c r="I22" s="340">
        <v>5</v>
      </c>
      <c r="J22" s="352"/>
      <c r="K22" s="352"/>
      <c r="L22" s="352"/>
      <c r="M22" s="340"/>
      <c r="N22" s="352"/>
      <c r="O22" s="352"/>
      <c r="P22" s="352"/>
      <c r="Q22" s="340"/>
      <c r="R22" s="255"/>
      <c r="S22" s="255"/>
      <c r="T22" s="352"/>
      <c r="U22" s="340"/>
      <c r="V22" s="255"/>
      <c r="W22" s="255"/>
      <c r="X22" s="352"/>
      <c r="Y22" s="340"/>
      <c r="Z22" s="255"/>
      <c r="AA22" s="255"/>
      <c r="AB22" s="352"/>
      <c r="AC22" s="340"/>
      <c r="AD22" s="352">
        <f t="shared" si="1"/>
        <v>2103</v>
      </c>
      <c r="AE22" s="352">
        <f t="shared" si="3"/>
        <v>2742</v>
      </c>
      <c r="AF22" s="352">
        <f t="shared" si="2"/>
        <v>2402</v>
      </c>
      <c r="AG22" s="340">
        <f t="shared" si="4"/>
        <v>3407</v>
      </c>
    </row>
    <row r="23" spans="1:33" s="8" customFormat="1" ht="18" customHeight="1">
      <c r="A23" s="67" t="s">
        <v>916</v>
      </c>
      <c r="B23" s="352"/>
      <c r="C23" s="352"/>
      <c r="D23" s="352"/>
      <c r="E23" s="340">
        <v>0</v>
      </c>
      <c r="F23" s="352"/>
      <c r="G23" s="352"/>
      <c r="H23" s="352"/>
      <c r="I23" s="340">
        <v>0</v>
      </c>
      <c r="J23" s="352">
        <v>503</v>
      </c>
      <c r="K23" s="352">
        <v>700</v>
      </c>
      <c r="L23" s="352">
        <v>469</v>
      </c>
      <c r="M23" s="340">
        <v>387</v>
      </c>
      <c r="N23" s="352"/>
      <c r="O23" s="352"/>
      <c r="P23" s="352"/>
      <c r="Q23" s="340"/>
      <c r="R23" s="255"/>
      <c r="S23" s="255"/>
      <c r="T23" s="352"/>
      <c r="U23" s="340"/>
      <c r="V23" s="255">
        <v>691</v>
      </c>
      <c r="W23" s="255">
        <v>1813</v>
      </c>
      <c r="X23" s="352">
        <v>1951</v>
      </c>
      <c r="Y23" s="340">
        <v>1863</v>
      </c>
      <c r="Z23" s="255">
        <v>1810</v>
      </c>
      <c r="AA23" s="255">
        <v>1843</v>
      </c>
      <c r="AB23" s="352">
        <f>2012+15</f>
        <v>2027</v>
      </c>
      <c r="AC23" s="340">
        <v>2055</v>
      </c>
      <c r="AD23" s="352">
        <f t="shared" si="1"/>
        <v>3004</v>
      </c>
      <c r="AE23" s="352">
        <f t="shared" si="3"/>
        <v>4356</v>
      </c>
      <c r="AF23" s="352">
        <f t="shared" si="2"/>
        <v>4447</v>
      </c>
      <c r="AG23" s="340">
        <f t="shared" si="4"/>
        <v>5254</v>
      </c>
    </row>
    <row r="24" spans="1:33" s="8" customFormat="1" ht="18" customHeight="1">
      <c r="A24" s="67" t="s">
        <v>917</v>
      </c>
      <c r="B24" s="352">
        <v>3594</v>
      </c>
      <c r="C24" s="352">
        <v>4137</v>
      </c>
      <c r="D24" s="352">
        <v>4765</v>
      </c>
      <c r="E24" s="340">
        <v>4473</v>
      </c>
      <c r="F24" s="352">
        <v>1979</v>
      </c>
      <c r="G24" s="352">
        <v>3710</v>
      </c>
      <c r="H24" s="352">
        <v>4429</v>
      </c>
      <c r="I24" s="340">
        <v>4265</v>
      </c>
      <c r="J24" s="352"/>
      <c r="K24" s="352"/>
      <c r="L24" s="352"/>
      <c r="M24" s="340"/>
      <c r="N24" s="352"/>
      <c r="O24" s="352"/>
      <c r="P24" s="352"/>
      <c r="Q24" s="340"/>
      <c r="R24" s="255"/>
      <c r="S24" s="255"/>
      <c r="T24" s="352"/>
      <c r="U24" s="340"/>
      <c r="V24" s="255"/>
      <c r="W24" s="255"/>
      <c r="X24" s="352"/>
      <c r="Y24" s="340"/>
      <c r="Z24" s="255"/>
      <c r="AA24" s="255"/>
      <c r="AB24" s="352"/>
      <c r="AC24" s="340"/>
      <c r="AD24" s="352">
        <f t="shared" si="1"/>
        <v>5573</v>
      </c>
      <c r="AE24" s="352">
        <f t="shared" si="3"/>
        <v>7847</v>
      </c>
      <c r="AF24" s="352">
        <f t="shared" si="2"/>
        <v>9194</v>
      </c>
      <c r="AG24" s="340">
        <f t="shared" si="4"/>
        <v>14311</v>
      </c>
    </row>
    <row r="25" spans="1:33" s="8" customFormat="1" ht="18" customHeight="1">
      <c r="A25" s="67" t="s">
        <v>918</v>
      </c>
      <c r="B25" s="352"/>
      <c r="C25" s="352"/>
      <c r="D25" s="352"/>
      <c r="E25" s="340"/>
      <c r="F25" s="352"/>
      <c r="G25" s="352"/>
      <c r="H25" s="352"/>
      <c r="I25" s="340"/>
      <c r="J25" s="352"/>
      <c r="K25" s="352"/>
      <c r="L25" s="352"/>
      <c r="M25" s="340"/>
      <c r="N25" s="352"/>
      <c r="O25" s="352"/>
      <c r="P25" s="352"/>
      <c r="Q25" s="340"/>
      <c r="R25" s="255"/>
      <c r="S25" s="255"/>
      <c r="T25" s="352"/>
      <c r="U25" s="340"/>
      <c r="V25" s="255"/>
      <c r="W25" s="255"/>
      <c r="X25" s="352"/>
      <c r="Y25" s="340"/>
      <c r="Z25" s="255"/>
      <c r="AA25" s="255"/>
      <c r="AB25" s="352"/>
      <c r="AC25" s="340"/>
      <c r="AD25" s="352">
        <f t="shared" si="1"/>
        <v>0</v>
      </c>
      <c r="AE25" s="352">
        <f t="shared" si="3"/>
        <v>0</v>
      </c>
      <c r="AF25" s="352">
        <f t="shared" si="2"/>
        <v>0</v>
      </c>
      <c r="AG25" s="340">
        <f t="shared" si="4"/>
        <v>0</v>
      </c>
    </row>
    <row r="26" spans="1:33" s="8" customFormat="1" ht="18" customHeight="1">
      <c r="A26" s="600" t="s">
        <v>1291</v>
      </c>
      <c r="B26" s="352">
        <v>26</v>
      </c>
      <c r="C26" s="352">
        <v>79</v>
      </c>
      <c r="D26" s="352">
        <v>55</v>
      </c>
      <c r="E26" s="340">
        <v>127</v>
      </c>
      <c r="F26" s="352"/>
      <c r="G26" s="352"/>
      <c r="H26" s="352"/>
      <c r="I26" s="340">
        <v>0</v>
      </c>
      <c r="J26" s="352"/>
      <c r="K26" s="352"/>
      <c r="L26" s="352"/>
      <c r="M26" s="340"/>
      <c r="N26" s="352"/>
      <c r="O26" s="352"/>
      <c r="P26" s="352"/>
      <c r="Q26" s="340"/>
      <c r="R26" s="255"/>
      <c r="S26" s="255"/>
      <c r="T26" s="352"/>
      <c r="U26" s="340"/>
      <c r="V26" s="255"/>
      <c r="W26" s="255"/>
      <c r="X26" s="352"/>
      <c r="Y26" s="340"/>
      <c r="Z26" s="255"/>
      <c r="AA26" s="255"/>
      <c r="AB26" s="352"/>
      <c r="AC26" s="340"/>
      <c r="AD26" s="352">
        <f t="shared" si="1"/>
        <v>26</v>
      </c>
      <c r="AE26" s="352">
        <f t="shared" si="3"/>
        <v>79</v>
      </c>
      <c r="AF26" s="352">
        <f t="shared" si="2"/>
        <v>55</v>
      </c>
      <c r="AG26" s="340">
        <f t="shared" si="4"/>
        <v>153</v>
      </c>
    </row>
    <row r="27" spans="1:33" s="8" customFormat="1" ht="18" customHeight="1">
      <c r="A27" s="67" t="s">
        <v>919</v>
      </c>
      <c r="B27" s="352"/>
      <c r="C27" s="352"/>
      <c r="D27" s="352"/>
      <c r="E27" s="340">
        <v>0</v>
      </c>
      <c r="F27" s="352">
        <v>198</v>
      </c>
      <c r="G27" s="352">
        <v>270</v>
      </c>
      <c r="H27" s="352">
        <v>457</v>
      </c>
      <c r="I27" s="340">
        <v>811</v>
      </c>
      <c r="J27" s="352"/>
      <c r="K27" s="352"/>
      <c r="L27" s="352"/>
      <c r="M27" s="340"/>
      <c r="N27" s="352"/>
      <c r="O27" s="352"/>
      <c r="P27" s="352"/>
      <c r="Q27" s="340"/>
      <c r="R27" s="255"/>
      <c r="S27" s="255"/>
      <c r="T27" s="352"/>
      <c r="U27" s="340"/>
      <c r="V27" s="255"/>
      <c r="W27" s="255"/>
      <c r="X27" s="352"/>
      <c r="Y27" s="340"/>
      <c r="Z27" s="255"/>
      <c r="AA27" s="255"/>
      <c r="AB27" s="352"/>
      <c r="AC27" s="340"/>
      <c r="AD27" s="352">
        <f t="shared" si="1"/>
        <v>198</v>
      </c>
      <c r="AE27" s="352">
        <f t="shared" si="3"/>
        <v>270</v>
      </c>
      <c r="AF27" s="352">
        <f t="shared" si="2"/>
        <v>457</v>
      </c>
      <c r="AG27" s="340">
        <f t="shared" si="4"/>
        <v>1009</v>
      </c>
    </row>
    <row r="28" spans="1:33" s="8" customFormat="1" ht="18" customHeight="1">
      <c r="A28" s="67" t="s">
        <v>1290</v>
      </c>
      <c r="B28" s="352"/>
      <c r="C28" s="352"/>
      <c r="D28" s="352"/>
      <c r="E28" s="340">
        <v>0</v>
      </c>
      <c r="F28" s="352">
        <v>70</v>
      </c>
      <c r="G28" s="352">
        <v>281</v>
      </c>
      <c r="H28" s="352">
        <v>289</v>
      </c>
      <c r="I28" s="340">
        <v>307</v>
      </c>
      <c r="J28" s="352"/>
      <c r="K28" s="352"/>
      <c r="L28" s="352"/>
      <c r="M28" s="340"/>
      <c r="N28" s="352"/>
      <c r="O28" s="352"/>
      <c r="P28" s="352"/>
      <c r="Q28" s="340"/>
      <c r="R28" s="255"/>
      <c r="S28" s="255"/>
      <c r="T28" s="352"/>
      <c r="U28" s="340"/>
      <c r="V28" s="255"/>
      <c r="W28" s="255"/>
      <c r="X28" s="352"/>
      <c r="Y28" s="340"/>
      <c r="Z28" s="255"/>
      <c r="AA28" s="255"/>
      <c r="AB28" s="352"/>
      <c r="AC28" s="340"/>
      <c r="AD28" s="352">
        <f t="shared" si="1"/>
        <v>70</v>
      </c>
      <c r="AE28" s="352">
        <f t="shared" si="3"/>
        <v>281</v>
      </c>
      <c r="AF28" s="352">
        <f t="shared" si="2"/>
        <v>289</v>
      </c>
      <c r="AG28" s="340">
        <f t="shared" si="4"/>
        <v>377</v>
      </c>
    </row>
    <row r="29" spans="1:33" s="8" customFormat="1" ht="18" customHeight="1">
      <c r="A29" s="67" t="s">
        <v>920</v>
      </c>
      <c r="B29" s="352">
        <v>1809</v>
      </c>
      <c r="C29" s="352">
        <v>2425</v>
      </c>
      <c r="D29" s="352">
        <v>3239</v>
      </c>
      <c r="E29" s="340">
        <v>2881</v>
      </c>
      <c r="F29" s="352"/>
      <c r="G29" s="352"/>
      <c r="H29" s="352"/>
      <c r="I29" s="340">
        <v>0</v>
      </c>
      <c r="J29" s="352"/>
      <c r="K29" s="352"/>
      <c r="L29" s="352"/>
      <c r="M29" s="340"/>
      <c r="N29" s="352"/>
      <c r="O29" s="352"/>
      <c r="P29" s="352"/>
      <c r="Q29" s="340"/>
      <c r="R29" s="255"/>
      <c r="S29" s="255"/>
      <c r="T29" s="352"/>
      <c r="U29" s="340"/>
      <c r="V29" s="255"/>
      <c r="W29" s="255"/>
      <c r="X29" s="352"/>
      <c r="Y29" s="340"/>
      <c r="Z29" s="255"/>
      <c r="AA29" s="255"/>
      <c r="AB29" s="352"/>
      <c r="AC29" s="340"/>
      <c r="AD29" s="352">
        <f t="shared" si="1"/>
        <v>1809</v>
      </c>
      <c r="AE29" s="352">
        <f t="shared" si="3"/>
        <v>2425</v>
      </c>
      <c r="AF29" s="352">
        <f t="shared" si="2"/>
        <v>3239</v>
      </c>
      <c r="AG29" s="340">
        <f t="shared" si="4"/>
        <v>4690</v>
      </c>
    </row>
    <row r="30" spans="1:33" s="8" customFormat="1" ht="18" customHeight="1">
      <c r="A30" s="67" t="s">
        <v>921</v>
      </c>
      <c r="B30" s="352">
        <v>2504</v>
      </c>
      <c r="C30" s="352">
        <v>2897</v>
      </c>
      <c r="D30" s="352">
        <v>4076</v>
      </c>
      <c r="E30" s="340">
        <v>4613</v>
      </c>
      <c r="F30" s="352">
        <v>2428</v>
      </c>
      <c r="G30" s="352">
        <v>2634</v>
      </c>
      <c r="H30" s="352">
        <v>2846</v>
      </c>
      <c r="I30" s="340">
        <v>1805</v>
      </c>
      <c r="J30" s="352">
        <v>691</v>
      </c>
      <c r="K30" s="352">
        <v>808</v>
      </c>
      <c r="L30" s="352">
        <v>901</v>
      </c>
      <c r="M30" s="340">
        <v>791</v>
      </c>
      <c r="N30" s="352"/>
      <c r="O30" s="352"/>
      <c r="P30" s="352"/>
      <c r="Q30" s="340"/>
      <c r="R30" s="255"/>
      <c r="S30" s="255"/>
      <c r="T30" s="352"/>
      <c r="U30" s="340"/>
      <c r="V30" s="255"/>
      <c r="W30" s="255"/>
      <c r="X30" s="352"/>
      <c r="Y30" s="340"/>
      <c r="Z30" s="255"/>
      <c r="AA30" s="255"/>
      <c r="AB30" s="352"/>
      <c r="AC30" s="340"/>
      <c r="AD30" s="352">
        <f t="shared" si="1"/>
        <v>5623</v>
      </c>
      <c r="AE30" s="352">
        <f t="shared" si="3"/>
        <v>6339</v>
      </c>
      <c r="AF30" s="352">
        <f t="shared" si="2"/>
        <v>7823</v>
      </c>
      <c r="AG30" s="340">
        <f t="shared" si="4"/>
        <v>12832</v>
      </c>
    </row>
    <row r="31" spans="1:33" s="8" customFormat="1" ht="18" customHeight="1">
      <c r="A31" s="67" t="s">
        <v>922</v>
      </c>
      <c r="B31" s="352">
        <v>1544</v>
      </c>
      <c r="C31" s="352">
        <v>2933</v>
      </c>
      <c r="D31" s="352">
        <v>3376</v>
      </c>
      <c r="E31" s="340">
        <v>3636</v>
      </c>
      <c r="F31" s="352">
        <v>1579</v>
      </c>
      <c r="G31" s="352">
        <v>2912</v>
      </c>
      <c r="H31" s="352">
        <v>3586</v>
      </c>
      <c r="I31" s="340">
        <v>4544</v>
      </c>
      <c r="J31" s="352"/>
      <c r="K31" s="352"/>
      <c r="L31" s="352">
        <v>56</v>
      </c>
      <c r="M31" s="340"/>
      <c r="N31" s="352"/>
      <c r="O31" s="352"/>
      <c r="P31" s="352"/>
      <c r="Q31" s="340"/>
      <c r="R31" s="255"/>
      <c r="S31" s="255"/>
      <c r="T31" s="352"/>
      <c r="U31" s="340"/>
      <c r="V31" s="255"/>
      <c r="W31" s="255"/>
      <c r="X31" s="352"/>
      <c r="Y31" s="340"/>
      <c r="Z31" s="255"/>
      <c r="AA31" s="255"/>
      <c r="AB31" s="352"/>
      <c r="AC31" s="340"/>
      <c r="AD31" s="352">
        <f t="shared" si="1"/>
        <v>3123</v>
      </c>
      <c r="AE31" s="352">
        <f t="shared" si="3"/>
        <v>5845</v>
      </c>
      <c r="AF31" s="352">
        <f t="shared" si="2"/>
        <v>7018</v>
      </c>
      <c r="AG31" s="340">
        <f t="shared" si="4"/>
        <v>11303</v>
      </c>
    </row>
    <row r="32" spans="1:33" s="8" customFormat="1" ht="18" customHeight="1">
      <c r="A32" s="67" t="s">
        <v>923</v>
      </c>
      <c r="B32" s="352">
        <v>2558</v>
      </c>
      <c r="C32" s="352">
        <v>2842</v>
      </c>
      <c r="D32" s="352">
        <v>1550</v>
      </c>
      <c r="E32" s="340">
        <v>1099</v>
      </c>
      <c r="F32" s="352"/>
      <c r="G32" s="352"/>
      <c r="H32" s="352"/>
      <c r="I32" s="340">
        <v>0</v>
      </c>
      <c r="J32" s="352"/>
      <c r="K32" s="352"/>
      <c r="L32" s="352"/>
      <c r="M32" s="340"/>
      <c r="N32" s="352"/>
      <c r="O32" s="352"/>
      <c r="P32" s="352"/>
      <c r="Q32" s="340"/>
      <c r="R32" s="255"/>
      <c r="S32" s="255"/>
      <c r="T32" s="352"/>
      <c r="U32" s="340"/>
      <c r="V32" s="255"/>
      <c r="W32" s="255"/>
      <c r="X32" s="352"/>
      <c r="Y32" s="340"/>
      <c r="Z32" s="255"/>
      <c r="AA32" s="255"/>
      <c r="AB32" s="352"/>
      <c r="AC32" s="340"/>
      <c r="AD32" s="352">
        <f t="shared" si="1"/>
        <v>2558</v>
      </c>
      <c r="AE32" s="352">
        <f t="shared" si="3"/>
        <v>2842</v>
      </c>
      <c r="AF32" s="352">
        <f t="shared" si="2"/>
        <v>1550</v>
      </c>
      <c r="AG32" s="340">
        <f t="shared" si="4"/>
        <v>3657</v>
      </c>
    </row>
    <row r="33" spans="1:33" s="8" customFormat="1" ht="18" customHeight="1">
      <c r="A33" s="67" t="s">
        <v>924</v>
      </c>
      <c r="B33" s="352">
        <v>1892</v>
      </c>
      <c r="C33" s="352">
        <v>2661</v>
      </c>
      <c r="D33" s="352">
        <v>2093</v>
      </c>
      <c r="E33" s="340">
        <v>2549</v>
      </c>
      <c r="F33" s="352"/>
      <c r="G33" s="352"/>
      <c r="H33" s="352"/>
      <c r="I33" s="340">
        <v>0</v>
      </c>
      <c r="J33" s="352"/>
      <c r="K33" s="352"/>
      <c r="L33" s="352"/>
      <c r="M33" s="340"/>
      <c r="N33" s="352"/>
      <c r="O33" s="352"/>
      <c r="P33" s="352"/>
      <c r="Q33" s="340"/>
      <c r="R33" s="255"/>
      <c r="S33" s="255"/>
      <c r="T33" s="352"/>
      <c r="U33" s="340"/>
      <c r="V33" s="255"/>
      <c r="W33" s="255"/>
      <c r="X33" s="352"/>
      <c r="Y33" s="340"/>
      <c r="Z33" s="255"/>
      <c r="AA33" s="255"/>
      <c r="AB33" s="352"/>
      <c r="AC33" s="340"/>
      <c r="AD33" s="352">
        <f t="shared" si="1"/>
        <v>1892</v>
      </c>
      <c r="AE33" s="352">
        <f t="shared" si="3"/>
        <v>2661</v>
      </c>
      <c r="AF33" s="352">
        <f t="shared" si="2"/>
        <v>2093</v>
      </c>
      <c r="AG33" s="340">
        <f t="shared" si="4"/>
        <v>4441</v>
      </c>
    </row>
    <row r="34" spans="1:33" s="8" customFormat="1" ht="18" customHeight="1">
      <c r="A34" s="67" t="s">
        <v>925</v>
      </c>
      <c r="B34" s="352"/>
      <c r="C34" s="352"/>
      <c r="D34" s="352"/>
      <c r="E34" s="340">
        <v>0</v>
      </c>
      <c r="F34" s="352">
        <v>3588</v>
      </c>
      <c r="G34" s="352">
        <v>5687</v>
      </c>
      <c r="H34" s="352">
        <v>7383</v>
      </c>
      <c r="I34" s="340">
        <v>8317</v>
      </c>
      <c r="J34" s="352"/>
      <c r="K34" s="352"/>
      <c r="L34" s="352"/>
      <c r="M34" s="340"/>
      <c r="N34" s="352"/>
      <c r="O34" s="352"/>
      <c r="P34" s="352"/>
      <c r="Q34" s="340"/>
      <c r="R34" s="255"/>
      <c r="S34" s="255"/>
      <c r="T34" s="352"/>
      <c r="U34" s="340"/>
      <c r="V34" s="255"/>
      <c r="W34" s="255"/>
      <c r="X34" s="352"/>
      <c r="Y34" s="340"/>
      <c r="Z34" s="255"/>
      <c r="AA34" s="255"/>
      <c r="AB34" s="352"/>
      <c r="AC34" s="340"/>
      <c r="AD34" s="352">
        <f t="shared" si="1"/>
        <v>3588</v>
      </c>
      <c r="AE34" s="352">
        <f t="shared" si="3"/>
        <v>5687</v>
      </c>
      <c r="AF34" s="352">
        <f t="shared" si="2"/>
        <v>7383</v>
      </c>
      <c r="AG34" s="340">
        <f t="shared" si="4"/>
        <v>11905</v>
      </c>
    </row>
    <row r="35" spans="1:33" s="8" customFormat="1" ht="18" customHeight="1">
      <c r="A35" s="67" t="s">
        <v>926</v>
      </c>
      <c r="B35" s="352"/>
      <c r="C35" s="352"/>
      <c r="D35" s="352"/>
      <c r="E35" s="340">
        <v>0</v>
      </c>
      <c r="F35" s="352">
        <v>606</v>
      </c>
      <c r="G35" s="352">
        <v>1429</v>
      </c>
      <c r="H35" s="352">
        <v>2440</v>
      </c>
      <c r="I35" s="340">
        <v>2325</v>
      </c>
      <c r="J35" s="352"/>
      <c r="K35" s="352"/>
      <c r="L35" s="352"/>
      <c r="M35" s="340"/>
      <c r="N35" s="352"/>
      <c r="O35" s="352"/>
      <c r="P35" s="352"/>
      <c r="Q35" s="340"/>
      <c r="R35" s="255"/>
      <c r="S35" s="255"/>
      <c r="T35" s="352"/>
      <c r="U35" s="340"/>
      <c r="V35" s="255"/>
      <c r="W35" s="255"/>
      <c r="X35" s="352"/>
      <c r="Y35" s="340"/>
      <c r="Z35" s="255"/>
      <c r="AA35" s="255"/>
      <c r="AB35" s="352"/>
      <c r="AC35" s="340"/>
      <c r="AD35" s="352">
        <f t="shared" si="1"/>
        <v>606</v>
      </c>
      <c r="AE35" s="352">
        <f t="shared" si="3"/>
        <v>1429</v>
      </c>
      <c r="AF35" s="352">
        <f t="shared" si="2"/>
        <v>2440</v>
      </c>
      <c r="AG35" s="340">
        <f t="shared" si="4"/>
        <v>2931</v>
      </c>
    </row>
    <row r="36" spans="1:33" s="8" customFormat="1" ht="18" customHeight="1">
      <c r="A36" s="67" t="s">
        <v>1409</v>
      </c>
      <c r="B36" s="352"/>
      <c r="C36" s="352"/>
      <c r="D36" s="352"/>
      <c r="E36" s="340">
        <v>0</v>
      </c>
      <c r="F36" s="352"/>
      <c r="G36" s="352"/>
      <c r="H36" s="352"/>
      <c r="I36" s="340">
        <v>0</v>
      </c>
      <c r="J36" s="352"/>
      <c r="K36" s="352"/>
      <c r="L36" s="352"/>
      <c r="M36" s="340"/>
      <c r="N36" s="352"/>
      <c r="O36" s="352"/>
      <c r="P36" s="352"/>
      <c r="Q36" s="340"/>
      <c r="R36" s="255"/>
      <c r="S36" s="255"/>
      <c r="T36" s="352"/>
      <c r="U36" s="340"/>
      <c r="V36" s="255"/>
      <c r="W36" s="255"/>
      <c r="X36" s="352"/>
      <c r="Y36" s="340"/>
      <c r="Z36" s="255"/>
      <c r="AA36" s="255"/>
      <c r="AB36" s="352"/>
      <c r="AC36" s="340"/>
      <c r="AD36" s="352">
        <f t="shared" si="1"/>
        <v>0</v>
      </c>
      <c r="AE36" s="352">
        <f t="shared" si="3"/>
        <v>0</v>
      </c>
      <c r="AF36" s="352">
        <f t="shared" si="2"/>
        <v>0</v>
      </c>
      <c r="AG36" s="340">
        <f t="shared" si="4"/>
        <v>0</v>
      </c>
    </row>
    <row r="37" spans="1:33" s="8" customFormat="1" ht="18" customHeight="1">
      <c r="A37" s="67" t="s">
        <v>927</v>
      </c>
      <c r="B37" s="352">
        <v>593</v>
      </c>
      <c r="C37" s="352">
        <v>1057</v>
      </c>
      <c r="D37" s="352">
        <v>699</v>
      </c>
      <c r="E37" s="340">
        <v>985</v>
      </c>
      <c r="F37" s="352"/>
      <c r="G37" s="352"/>
      <c r="H37" s="352"/>
      <c r="I37" s="340">
        <v>0</v>
      </c>
      <c r="J37" s="352"/>
      <c r="K37" s="352"/>
      <c r="L37" s="352"/>
      <c r="M37" s="340"/>
      <c r="N37" s="352"/>
      <c r="O37" s="352"/>
      <c r="P37" s="352"/>
      <c r="Q37" s="340"/>
      <c r="R37" s="255"/>
      <c r="S37" s="255"/>
      <c r="T37" s="352"/>
      <c r="U37" s="340"/>
      <c r="V37" s="255"/>
      <c r="W37" s="255"/>
      <c r="X37" s="352"/>
      <c r="Y37" s="340"/>
      <c r="Z37" s="255"/>
      <c r="AA37" s="255"/>
      <c r="AB37" s="352"/>
      <c r="AC37" s="340"/>
      <c r="AD37" s="352">
        <f t="shared" si="1"/>
        <v>593</v>
      </c>
      <c r="AE37" s="352">
        <f t="shared" si="3"/>
        <v>1057</v>
      </c>
      <c r="AF37" s="352">
        <f t="shared" si="2"/>
        <v>699</v>
      </c>
      <c r="AG37" s="340">
        <f t="shared" si="4"/>
        <v>1578</v>
      </c>
    </row>
    <row r="38" spans="1:33" s="8" customFormat="1" ht="18" customHeight="1">
      <c r="A38" s="14" t="s">
        <v>767</v>
      </c>
      <c r="B38" s="355">
        <v>21701</v>
      </c>
      <c r="C38" s="355">
        <v>29029</v>
      </c>
      <c r="D38" s="355">
        <f>SUM(D9:D37)</f>
        <v>29081</v>
      </c>
      <c r="E38" s="356">
        <f t="shared" ref="E38:AC38" si="5">SUM(E9:E37)</f>
        <v>30782</v>
      </c>
      <c r="F38" s="355">
        <f t="shared" si="5"/>
        <v>17017</v>
      </c>
      <c r="G38" s="355">
        <f t="shared" si="5"/>
        <v>24677</v>
      </c>
      <c r="H38" s="355">
        <f t="shared" si="5"/>
        <v>32171</v>
      </c>
      <c r="I38" s="355">
        <f t="shared" si="5"/>
        <v>35081</v>
      </c>
      <c r="J38" s="355">
        <f t="shared" si="5"/>
        <v>1194</v>
      </c>
      <c r="K38" s="355">
        <f t="shared" si="5"/>
        <v>1508</v>
      </c>
      <c r="L38" s="355">
        <f t="shared" si="5"/>
        <v>1426</v>
      </c>
      <c r="M38" s="356">
        <f t="shared" si="5"/>
        <v>1178</v>
      </c>
      <c r="N38" s="355">
        <f t="shared" si="5"/>
        <v>0</v>
      </c>
      <c r="O38" s="355">
        <f t="shared" si="5"/>
        <v>0</v>
      </c>
      <c r="P38" s="355">
        <f t="shared" si="5"/>
        <v>0</v>
      </c>
      <c r="Q38" s="356">
        <f t="shared" si="5"/>
        <v>0</v>
      </c>
      <c r="R38" s="259">
        <f t="shared" si="5"/>
        <v>0</v>
      </c>
      <c r="S38" s="259">
        <f t="shared" si="5"/>
        <v>0</v>
      </c>
      <c r="T38" s="355">
        <f t="shared" si="5"/>
        <v>0</v>
      </c>
      <c r="U38" s="356">
        <f t="shared" si="5"/>
        <v>0</v>
      </c>
      <c r="V38" s="355">
        <f t="shared" si="5"/>
        <v>691</v>
      </c>
      <c r="W38" s="355">
        <f t="shared" si="5"/>
        <v>1813</v>
      </c>
      <c r="X38" s="355">
        <f t="shared" si="5"/>
        <v>1951</v>
      </c>
      <c r="Y38" s="356">
        <f t="shared" si="5"/>
        <v>1863</v>
      </c>
      <c r="Z38" s="259">
        <f t="shared" si="5"/>
        <v>1810</v>
      </c>
      <c r="AA38" s="259">
        <f t="shared" si="5"/>
        <v>1843</v>
      </c>
      <c r="AB38" s="355">
        <f t="shared" si="5"/>
        <v>2027</v>
      </c>
      <c r="AC38" s="356">
        <f t="shared" si="5"/>
        <v>2055</v>
      </c>
      <c r="AD38" s="355">
        <f t="shared" si="1"/>
        <v>42413</v>
      </c>
      <c r="AE38" s="355">
        <f t="shared" si="3"/>
        <v>58870</v>
      </c>
      <c r="AF38" s="355">
        <f t="shared" si="2"/>
        <v>66656</v>
      </c>
      <c r="AG38" s="356">
        <f>+Q38+M38+I38+E38+U38+Y38+AC38</f>
        <v>70959</v>
      </c>
    </row>
    <row r="39" spans="1:33" s="8" customFormat="1" ht="18" customHeight="1">
      <c r="R39" s="352"/>
      <c r="S39" s="352"/>
      <c r="V39" s="352"/>
      <c r="W39" s="352"/>
      <c r="Z39" s="352"/>
      <c r="AA39" s="352"/>
    </row>
    <row r="40" spans="1:33" s="8" customFormat="1" ht="18" customHeight="1">
      <c r="A40" s="334" t="s">
        <v>928</v>
      </c>
      <c r="C40" s="904"/>
      <c r="E40" s="365"/>
      <c r="I40" s="365"/>
      <c r="M40" s="365"/>
      <c r="Q40" s="365"/>
      <c r="R40" s="352"/>
      <c r="S40" s="352"/>
      <c r="U40" s="365"/>
      <c r="V40" s="352"/>
      <c r="W40" s="352"/>
      <c r="Y40" s="365"/>
      <c r="Z40" s="355"/>
      <c r="AA40" s="355"/>
      <c r="AC40" s="365"/>
      <c r="AG40" s="365"/>
    </row>
    <row r="41" spans="1:33" s="8" customFormat="1" ht="18" customHeight="1">
      <c r="A41" s="597" t="s">
        <v>929</v>
      </c>
      <c r="B41" s="358">
        <v>1175</v>
      </c>
      <c r="C41" s="359">
        <v>1440</v>
      </c>
      <c r="D41" s="359">
        <v>1917</v>
      </c>
      <c r="E41" s="360">
        <v>2133</v>
      </c>
      <c r="F41" s="358">
        <v>1010</v>
      </c>
      <c r="G41" s="359">
        <v>2376</v>
      </c>
      <c r="H41" s="359">
        <v>2928</v>
      </c>
      <c r="I41" s="360">
        <v>3991</v>
      </c>
      <c r="J41" s="358"/>
      <c r="K41" s="359"/>
      <c r="L41" s="359"/>
      <c r="M41" s="360"/>
      <c r="N41" s="358"/>
      <c r="O41" s="359"/>
      <c r="P41" s="359">
        <v>101</v>
      </c>
      <c r="Q41" s="360">
        <v>91</v>
      </c>
      <c r="R41" s="358"/>
      <c r="S41" s="359"/>
      <c r="T41" s="359"/>
      <c r="U41" s="360"/>
      <c r="V41" s="358"/>
      <c r="W41" s="359"/>
      <c r="X41" s="359"/>
      <c r="Y41" s="360"/>
      <c r="Z41" s="358"/>
      <c r="AA41" s="359"/>
      <c r="AB41" s="359"/>
      <c r="AC41" s="360"/>
      <c r="AD41" s="359">
        <f t="shared" ref="AD41:AD49" si="6">+N41+J41+F41+B41+R41+V41+Z41</f>
        <v>2185</v>
      </c>
      <c r="AE41" s="359">
        <f t="shared" ref="AE41:AE49" si="7">+O41+K41+G41+C41+S41+W41+AA41</f>
        <v>3816</v>
      </c>
      <c r="AF41" s="359">
        <f t="shared" ref="AF41:AF49" si="8">+P41+L41+H41+D41+T41+X41+AB41</f>
        <v>4946</v>
      </c>
      <c r="AG41" s="359">
        <f t="shared" ref="AG41:AG49" si="9">+Q41+M41+I41+E41+U41+Y41+AD41</f>
        <v>8400</v>
      </c>
    </row>
    <row r="42" spans="1:33" s="8" customFormat="1" ht="18" customHeight="1">
      <c r="A42" s="598" t="s">
        <v>930</v>
      </c>
      <c r="B42" s="353">
        <v>146</v>
      </c>
      <c r="C42" s="352">
        <v>259</v>
      </c>
      <c r="D42" s="352">
        <v>275</v>
      </c>
      <c r="E42" s="340">
        <v>198</v>
      </c>
      <c r="F42" s="353">
        <v>367</v>
      </c>
      <c r="G42" s="352">
        <v>1011</v>
      </c>
      <c r="H42" s="352">
        <v>1211</v>
      </c>
      <c r="I42" s="340">
        <v>1100</v>
      </c>
      <c r="J42" s="353"/>
      <c r="K42" s="352"/>
      <c r="L42" s="352"/>
      <c r="M42" s="340"/>
      <c r="N42" s="353"/>
      <c r="O42" s="352"/>
      <c r="P42" s="352"/>
      <c r="Q42" s="340"/>
      <c r="R42" s="353"/>
      <c r="S42" s="352"/>
      <c r="T42" s="352"/>
      <c r="U42" s="340"/>
      <c r="V42" s="353"/>
      <c r="W42" s="352"/>
      <c r="X42" s="352"/>
      <c r="Y42" s="340"/>
      <c r="Z42" s="353"/>
      <c r="AA42" s="352"/>
      <c r="AB42" s="352"/>
      <c r="AC42" s="340"/>
      <c r="AD42" s="352">
        <f t="shared" si="6"/>
        <v>513</v>
      </c>
      <c r="AE42" s="352">
        <f t="shared" si="7"/>
        <v>1270</v>
      </c>
      <c r="AF42" s="352">
        <f t="shared" si="8"/>
        <v>1486</v>
      </c>
      <c r="AG42" s="352">
        <f t="shared" si="9"/>
        <v>1811</v>
      </c>
    </row>
    <row r="43" spans="1:33" s="8" customFormat="1" ht="18" customHeight="1">
      <c r="A43" s="598" t="s">
        <v>931</v>
      </c>
      <c r="B43" s="353">
        <v>941</v>
      </c>
      <c r="C43" s="352">
        <v>1086</v>
      </c>
      <c r="D43" s="352">
        <v>1215</v>
      </c>
      <c r="E43" s="340">
        <v>1181</v>
      </c>
      <c r="F43" s="353">
        <v>883</v>
      </c>
      <c r="G43" s="352">
        <v>1587</v>
      </c>
      <c r="H43" s="352">
        <v>1347</v>
      </c>
      <c r="I43" s="340">
        <v>1333</v>
      </c>
      <c r="J43" s="353"/>
      <c r="K43" s="352"/>
      <c r="L43" s="352"/>
      <c r="M43" s="340"/>
      <c r="N43" s="353"/>
      <c r="O43" s="352"/>
      <c r="P43" s="352"/>
      <c r="Q43" s="340"/>
      <c r="R43" s="353"/>
      <c r="S43" s="352"/>
      <c r="T43" s="352"/>
      <c r="U43" s="340"/>
      <c r="V43" s="353"/>
      <c r="W43" s="352"/>
      <c r="X43" s="352"/>
      <c r="Y43" s="340"/>
      <c r="Z43" s="353"/>
      <c r="AA43" s="352"/>
      <c r="AB43" s="352"/>
      <c r="AC43" s="340"/>
      <c r="AD43" s="352">
        <f t="shared" si="6"/>
        <v>1824</v>
      </c>
      <c r="AE43" s="352">
        <f t="shared" si="7"/>
        <v>2673</v>
      </c>
      <c r="AF43" s="352">
        <f t="shared" si="8"/>
        <v>2562</v>
      </c>
      <c r="AG43" s="352">
        <f t="shared" si="9"/>
        <v>4338</v>
      </c>
    </row>
    <row r="44" spans="1:33" s="8" customFormat="1" ht="18" customHeight="1">
      <c r="A44" s="598" t="s">
        <v>932</v>
      </c>
      <c r="B44" s="353">
        <v>347</v>
      </c>
      <c r="C44" s="352"/>
      <c r="D44" s="352"/>
      <c r="E44" s="340">
        <v>592</v>
      </c>
      <c r="F44" s="353">
        <v>475</v>
      </c>
      <c r="G44" s="352">
        <v>1055</v>
      </c>
      <c r="H44" s="352">
        <v>1160</v>
      </c>
      <c r="I44" s="340">
        <v>1419</v>
      </c>
      <c r="J44" s="353"/>
      <c r="K44" s="352"/>
      <c r="L44" s="352"/>
      <c r="M44" s="340"/>
      <c r="N44" s="353"/>
      <c r="O44" s="352"/>
      <c r="P44" s="352">
        <v>27</v>
      </c>
      <c r="Q44" s="340">
        <v>23</v>
      </c>
      <c r="R44" s="353"/>
      <c r="S44" s="352"/>
      <c r="T44" s="352"/>
      <c r="U44" s="340"/>
      <c r="V44" s="353"/>
      <c r="W44" s="352"/>
      <c r="X44" s="352"/>
      <c r="Y44" s="340"/>
      <c r="Z44" s="353"/>
      <c r="AA44" s="352"/>
      <c r="AB44" s="352"/>
      <c r="AC44" s="340"/>
      <c r="AD44" s="352">
        <f t="shared" si="6"/>
        <v>822</v>
      </c>
      <c r="AE44" s="352">
        <f t="shared" si="7"/>
        <v>1055</v>
      </c>
      <c r="AF44" s="352">
        <f t="shared" si="8"/>
        <v>1187</v>
      </c>
      <c r="AG44" s="352">
        <f t="shared" si="9"/>
        <v>2856</v>
      </c>
    </row>
    <row r="45" spans="1:33" s="8" customFormat="1" ht="18" customHeight="1">
      <c r="A45" s="598" t="s">
        <v>933</v>
      </c>
      <c r="B45" s="353">
        <v>239</v>
      </c>
      <c r="C45" s="352"/>
      <c r="D45" s="352"/>
      <c r="E45" s="340">
        <v>416</v>
      </c>
      <c r="F45" s="353">
        <v>178</v>
      </c>
      <c r="G45" s="352"/>
      <c r="H45" s="352"/>
      <c r="I45" s="340">
        <v>1</v>
      </c>
      <c r="J45" s="353"/>
      <c r="K45" s="352"/>
      <c r="L45" s="352"/>
      <c r="M45" s="340"/>
      <c r="N45" s="353"/>
      <c r="O45" s="352"/>
      <c r="P45" s="352"/>
      <c r="Q45" s="340"/>
      <c r="R45" s="353"/>
      <c r="S45" s="352"/>
      <c r="T45" s="352"/>
      <c r="U45" s="340"/>
      <c r="V45" s="353"/>
      <c r="W45" s="352"/>
      <c r="X45" s="352"/>
      <c r="Y45" s="340"/>
      <c r="Z45" s="353"/>
      <c r="AA45" s="352"/>
      <c r="AB45" s="352"/>
      <c r="AC45" s="340"/>
      <c r="AD45" s="352">
        <f t="shared" si="6"/>
        <v>417</v>
      </c>
      <c r="AE45" s="352">
        <f t="shared" si="7"/>
        <v>0</v>
      </c>
      <c r="AF45" s="352">
        <f t="shared" si="8"/>
        <v>0</v>
      </c>
      <c r="AG45" s="352">
        <f t="shared" si="9"/>
        <v>834</v>
      </c>
    </row>
    <row r="46" spans="1:33" s="8" customFormat="1" ht="18" customHeight="1">
      <c r="A46" s="339" t="s">
        <v>934</v>
      </c>
      <c r="B46" s="353"/>
      <c r="C46" s="352"/>
      <c r="D46" s="352"/>
      <c r="E46" s="340"/>
      <c r="F46" s="353"/>
      <c r="G46" s="352"/>
      <c r="H46" s="352"/>
      <c r="I46" s="340"/>
      <c r="J46" s="353"/>
      <c r="K46" s="352"/>
      <c r="L46" s="352"/>
      <c r="M46" s="340"/>
      <c r="N46" s="353"/>
      <c r="O46" s="352"/>
      <c r="P46" s="352"/>
      <c r="Q46" s="340"/>
      <c r="R46" s="353"/>
      <c r="S46" s="352"/>
      <c r="T46" s="352"/>
      <c r="U46" s="340"/>
      <c r="V46" s="353"/>
      <c r="W46" s="352"/>
      <c r="X46" s="352"/>
      <c r="Y46" s="340"/>
      <c r="Z46" s="353"/>
      <c r="AA46" s="352"/>
      <c r="AB46" s="352"/>
      <c r="AC46" s="340"/>
      <c r="AD46" s="352">
        <f t="shared" si="6"/>
        <v>0</v>
      </c>
      <c r="AE46" s="352">
        <f t="shared" si="7"/>
        <v>0</v>
      </c>
      <c r="AF46" s="352">
        <f t="shared" si="8"/>
        <v>0</v>
      </c>
      <c r="AG46" s="352">
        <f t="shared" si="9"/>
        <v>0</v>
      </c>
    </row>
    <row r="47" spans="1:33" ht="18" customHeight="1">
      <c r="A47" s="339" t="s">
        <v>935</v>
      </c>
      <c r="B47" s="254"/>
      <c r="C47" s="255"/>
      <c r="D47" s="255"/>
      <c r="E47" s="323"/>
      <c r="F47" s="254"/>
      <c r="G47" s="255"/>
      <c r="H47" s="255"/>
      <c r="I47" s="323"/>
      <c r="J47" s="254"/>
      <c r="K47" s="255"/>
      <c r="L47" s="255"/>
      <c r="M47" s="323"/>
      <c r="N47" s="254"/>
      <c r="O47" s="255"/>
      <c r="P47" s="255"/>
      <c r="Q47" s="323"/>
      <c r="R47" s="254"/>
      <c r="S47" s="255"/>
      <c r="T47" s="255"/>
      <c r="U47" s="323"/>
      <c r="V47" s="254"/>
      <c r="W47" s="255"/>
      <c r="X47" s="255"/>
      <c r="Y47" s="323"/>
      <c r="Z47" s="254"/>
      <c r="AA47" s="255"/>
      <c r="AB47" s="255"/>
      <c r="AC47" s="323"/>
      <c r="AD47" s="352">
        <f t="shared" si="6"/>
        <v>0</v>
      </c>
      <c r="AE47" s="352">
        <f t="shared" si="7"/>
        <v>0</v>
      </c>
      <c r="AF47" s="255">
        <f t="shared" si="8"/>
        <v>0</v>
      </c>
      <c r="AG47" s="255">
        <f t="shared" si="9"/>
        <v>0</v>
      </c>
    </row>
    <row r="48" spans="1:33" s="8" customFormat="1" ht="18" customHeight="1">
      <c r="A48" s="339" t="s">
        <v>936</v>
      </c>
      <c r="B48" s="353">
        <v>292</v>
      </c>
      <c r="C48" s="352">
        <v>353</v>
      </c>
      <c r="D48" s="352">
        <v>168</v>
      </c>
      <c r="E48" s="340">
        <v>222</v>
      </c>
      <c r="F48" s="353"/>
      <c r="G48" s="352"/>
      <c r="H48" s="352"/>
      <c r="I48" s="340"/>
      <c r="J48" s="353"/>
      <c r="K48" s="352"/>
      <c r="L48" s="352"/>
      <c r="M48" s="340"/>
      <c r="N48" s="353"/>
      <c r="O48" s="352"/>
      <c r="P48" s="352"/>
      <c r="Q48" s="340"/>
      <c r="R48" s="353"/>
      <c r="S48" s="352"/>
      <c r="T48" s="352"/>
      <c r="U48" s="340"/>
      <c r="V48" s="353"/>
      <c r="W48" s="352"/>
      <c r="X48" s="352"/>
      <c r="Y48" s="340"/>
      <c r="Z48" s="353"/>
      <c r="AA48" s="352"/>
      <c r="AB48" s="352"/>
      <c r="AC48" s="340"/>
      <c r="AD48" s="352">
        <f t="shared" si="6"/>
        <v>292</v>
      </c>
      <c r="AE48" s="352">
        <f t="shared" si="7"/>
        <v>353</v>
      </c>
      <c r="AF48" s="352">
        <f t="shared" si="8"/>
        <v>168</v>
      </c>
      <c r="AG48" s="352">
        <f t="shared" si="9"/>
        <v>514</v>
      </c>
    </row>
    <row r="49" spans="1:33" s="8" customFormat="1" ht="18" customHeight="1">
      <c r="A49" s="599" t="s">
        <v>937</v>
      </c>
      <c r="B49" s="357">
        <v>1645</v>
      </c>
      <c r="C49" s="355">
        <v>1991</v>
      </c>
      <c r="D49" s="355">
        <v>2810</v>
      </c>
      <c r="E49" s="356">
        <v>1711</v>
      </c>
      <c r="F49" s="357">
        <v>496</v>
      </c>
      <c r="G49" s="355">
        <v>806</v>
      </c>
      <c r="H49" s="355">
        <v>1302</v>
      </c>
      <c r="I49" s="356">
        <v>2002</v>
      </c>
      <c r="J49" s="357"/>
      <c r="K49" s="355"/>
      <c r="L49" s="355"/>
      <c r="M49" s="356"/>
      <c r="N49" s="357"/>
      <c r="O49" s="355"/>
      <c r="P49" s="355"/>
      <c r="Q49" s="356"/>
      <c r="R49" s="357"/>
      <c r="S49" s="355"/>
      <c r="T49" s="355"/>
      <c r="U49" s="356"/>
      <c r="V49" s="357"/>
      <c r="W49" s="355"/>
      <c r="X49" s="355"/>
      <c r="Y49" s="356"/>
      <c r="Z49" s="357"/>
      <c r="AA49" s="355"/>
      <c r="AB49" s="355"/>
      <c r="AC49" s="356"/>
      <c r="AD49" s="355">
        <f t="shared" si="6"/>
        <v>2141</v>
      </c>
      <c r="AE49" s="355">
        <f t="shared" si="7"/>
        <v>2797</v>
      </c>
      <c r="AF49" s="355">
        <f t="shared" si="8"/>
        <v>4112</v>
      </c>
      <c r="AG49" s="355">
        <f t="shared" si="9"/>
        <v>5854</v>
      </c>
    </row>
  </sheetData>
  <phoneticPr fontId="18"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G76"/>
  <sheetViews>
    <sheetView zoomScaleNormal="100" workbookViewId="0">
      <selection activeCell="K4" sqref="K4"/>
    </sheetView>
  </sheetViews>
  <sheetFormatPr baseColWidth="10" defaultColWidth="27" defaultRowHeight="12"/>
  <cols>
    <col min="1" max="1" width="27" style="154" customWidth="1"/>
    <col min="2" max="21" width="7.28515625" style="154" customWidth="1"/>
    <col min="22" max="23" width="8.42578125" style="154" customWidth="1"/>
    <col min="24" max="25" width="7.28515625" style="154" customWidth="1"/>
    <col min="26" max="27" width="9.7109375" style="154" customWidth="1"/>
    <col min="28" max="61" width="7.28515625" style="154" customWidth="1"/>
    <col min="62" max="16384" width="27" style="154"/>
  </cols>
  <sheetData>
    <row r="1" spans="1:33" s="277" customFormat="1">
      <c r="A1" s="1504" t="s">
        <v>1276</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row>
    <row r="2" spans="1:33" s="277" customFormat="1">
      <c r="A2" s="1504" t="s">
        <v>941</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row>
    <row r="3" spans="1:33" s="277" customFormat="1">
      <c r="A3" s="1504" t="s">
        <v>814</v>
      </c>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row>
    <row r="6" spans="1:33">
      <c r="A6" s="278" t="s">
        <v>899</v>
      </c>
    </row>
    <row r="7" spans="1:33" ht="18" customHeight="1">
      <c r="A7" s="961" t="s">
        <v>900</v>
      </c>
      <c r="B7" s="1104" t="s">
        <v>901</v>
      </c>
      <c r="C7" s="1105"/>
      <c r="D7" s="1259"/>
      <c r="E7" s="1486"/>
      <c r="F7" s="1104" t="s">
        <v>881</v>
      </c>
      <c r="G7" s="1105"/>
      <c r="H7" s="1259"/>
      <c r="I7" s="1486"/>
      <c r="J7" s="1104" t="s">
        <v>902</v>
      </c>
      <c r="K7" s="1105"/>
      <c r="L7" s="1259"/>
      <c r="M7" s="1486"/>
      <c r="N7" s="1104" t="s">
        <v>1094</v>
      </c>
      <c r="O7" s="1105"/>
      <c r="P7" s="1259"/>
      <c r="Q7" s="1486"/>
      <c r="R7" s="1104" t="s">
        <v>1062</v>
      </c>
      <c r="S7" s="1105"/>
      <c r="T7" s="1259"/>
      <c r="U7" s="1486"/>
      <c r="V7" s="1104" t="s">
        <v>1300</v>
      </c>
      <c r="W7" s="1105"/>
      <c r="X7" s="1259"/>
      <c r="Y7" s="1486"/>
      <c r="Z7" s="1104" t="s">
        <v>1408</v>
      </c>
      <c r="AA7" s="1105"/>
      <c r="AB7" s="1259"/>
      <c r="AC7" s="1486"/>
      <c r="AD7" s="1104" t="s">
        <v>594</v>
      </c>
      <c r="AE7" s="1105"/>
      <c r="AF7" s="1259"/>
      <c r="AG7" s="1486"/>
    </row>
    <row r="8" spans="1:33" ht="18" customHeight="1">
      <c r="A8" s="1101"/>
      <c r="B8" s="1134">
        <f>+'51'!B8</f>
        <v>2020</v>
      </c>
      <c r="C8" s="1134">
        <f>+'51'!C8</f>
        <v>2021</v>
      </c>
      <c r="D8" s="1483">
        <f>+'51'!D8</f>
        <v>2022</v>
      </c>
      <c r="E8" s="1482">
        <f>+'51'!E8</f>
        <v>2023</v>
      </c>
      <c r="F8" s="1483">
        <f>+'51'!F8</f>
        <v>2020</v>
      </c>
      <c r="G8" s="1483">
        <f>+'51'!G8</f>
        <v>2021</v>
      </c>
      <c r="H8" s="1483">
        <f>+'51'!H8</f>
        <v>2022</v>
      </c>
      <c r="I8" s="1482">
        <f>+'51'!I8</f>
        <v>2023</v>
      </c>
      <c r="J8" s="1110">
        <f>+'51'!J8</f>
        <v>2020</v>
      </c>
      <c r="K8" s="1110">
        <f>+'51'!K8</f>
        <v>2021</v>
      </c>
      <c r="L8" s="1483">
        <f>+'51'!L8</f>
        <v>2022</v>
      </c>
      <c r="M8" s="1482">
        <f>+'51'!M8</f>
        <v>2023</v>
      </c>
      <c r="N8" s="1255">
        <f>+'51'!N8</f>
        <v>2020</v>
      </c>
      <c r="O8" s="1255">
        <f>+'51'!O8</f>
        <v>2021</v>
      </c>
      <c r="P8" s="1483">
        <f>+'51'!P8</f>
        <v>2022</v>
      </c>
      <c r="Q8" s="1482">
        <f>+'51'!Q8</f>
        <v>2023</v>
      </c>
      <c r="R8" s="1110">
        <f t="shared" ref="R8:AC8" si="0">+N8</f>
        <v>2020</v>
      </c>
      <c r="S8" s="1110">
        <f t="shared" si="0"/>
        <v>2021</v>
      </c>
      <c r="T8" s="1483">
        <f t="shared" si="0"/>
        <v>2022</v>
      </c>
      <c r="U8" s="1482">
        <f t="shared" si="0"/>
        <v>2023</v>
      </c>
      <c r="V8" s="1134">
        <f t="shared" si="0"/>
        <v>2020</v>
      </c>
      <c r="W8" s="1134">
        <f t="shared" si="0"/>
        <v>2021</v>
      </c>
      <c r="X8" s="1483">
        <f t="shared" si="0"/>
        <v>2022</v>
      </c>
      <c r="Y8" s="1482">
        <f t="shared" si="0"/>
        <v>2023</v>
      </c>
      <c r="Z8" s="1255">
        <f t="shared" si="0"/>
        <v>2020</v>
      </c>
      <c r="AA8" s="1255">
        <f t="shared" si="0"/>
        <v>2021</v>
      </c>
      <c r="AB8" s="1483">
        <f t="shared" si="0"/>
        <v>2022</v>
      </c>
      <c r="AC8" s="1482">
        <f t="shared" si="0"/>
        <v>2023</v>
      </c>
      <c r="AD8" s="1110">
        <f>+'51'!AD8</f>
        <v>2020</v>
      </c>
      <c r="AE8" s="1110">
        <f>+'51'!AE8</f>
        <v>2021</v>
      </c>
      <c r="AF8" s="1483">
        <f>+'51'!AF8</f>
        <v>2022</v>
      </c>
      <c r="AG8" s="1482">
        <f>+'51'!AG8</f>
        <v>2023</v>
      </c>
    </row>
    <row r="9" spans="1:33" ht="18" customHeight="1">
      <c r="A9" s="241" t="s">
        <v>903</v>
      </c>
      <c r="B9" s="359"/>
      <c r="C9" s="359"/>
      <c r="D9" s="359"/>
      <c r="E9" s="360"/>
      <c r="F9" s="359"/>
      <c r="G9" s="359"/>
      <c r="H9" s="359"/>
      <c r="I9" s="360"/>
      <c r="J9" s="359"/>
      <c r="K9" s="359"/>
      <c r="L9" s="359"/>
      <c r="M9" s="360"/>
      <c r="N9" s="359"/>
      <c r="O9" s="359"/>
      <c r="P9" s="359"/>
      <c r="Q9" s="360"/>
      <c r="R9" s="255"/>
      <c r="S9" s="255"/>
      <c r="T9" s="359"/>
      <c r="U9" s="360"/>
      <c r="V9" s="326"/>
      <c r="W9" s="326"/>
      <c r="X9" s="359"/>
      <c r="Y9" s="360"/>
      <c r="Z9" s="255"/>
      <c r="AA9" s="255"/>
      <c r="AB9" s="359"/>
      <c r="AC9" s="360"/>
      <c r="AD9" s="352">
        <f>+N9+J9+F9+B9+R9+V9+Z9</f>
        <v>0</v>
      </c>
      <c r="AE9" s="352">
        <f t="shared" ref="AE9:AG9" si="1">+O9+K9+G9+C9+S9+W9+AA9</f>
        <v>0</v>
      </c>
      <c r="AF9" s="359">
        <f t="shared" si="1"/>
        <v>0</v>
      </c>
      <c r="AG9" s="360">
        <f t="shared" si="1"/>
        <v>0</v>
      </c>
    </row>
    <row r="10" spans="1:33" ht="18" customHeight="1">
      <c r="A10" s="67" t="s">
        <v>904</v>
      </c>
      <c r="B10" s="352">
        <v>2921</v>
      </c>
      <c r="C10" s="352">
        <v>3598</v>
      </c>
      <c r="D10" s="352">
        <v>4799</v>
      </c>
      <c r="E10" s="340">
        <v>5102</v>
      </c>
      <c r="F10" s="352">
        <v>2161</v>
      </c>
      <c r="G10" s="352">
        <v>2807</v>
      </c>
      <c r="H10" s="352">
        <v>5287</v>
      </c>
      <c r="I10" s="340">
        <v>5807</v>
      </c>
      <c r="J10" s="352"/>
      <c r="K10" s="352"/>
      <c r="L10" s="352"/>
      <c r="M10" s="340"/>
      <c r="N10" s="352"/>
      <c r="O10" s="352"/>
      <c r="P10" s="352"/>
      <c r="Q10" s="340"/>
      <c r="R10" s="255"/>
      <c r="S10" s="255"/>
      <c r="T10" s="352"/>
      <c r="U10" s="340"/>
      <c r="V10" s="255"/>
      <c r="W10" s="255"/>
      <c r="X10" s="352"/>
      <c r="Y10" s="340"/>
      <c r="Z10" s="255"/>
      <c r="AA10" s="255"/>
      <c r="AB10" s="352"/>
      <c r="AC10" s="340"/>
      <c r="AD10" s="352">
        <f t="shared" ref="AD10:AD38" si="2">+N10+J10+F10+B10+R10+V10+Z10</f>
        <v>5082</v>
      </c>
      <c r="AE10" s="352">
        <f t="shared" ref="AE10:AE38" si="3">+O10+K10+G10+C10+S10+W10+AA10</f>
        <v>6405</v>
      </c>
      <c r="AF10" s="352">
        <f t="shared" ref="AF10:AG38" si="4">+P10+L10+H10+D10+T10+X10+AB10</f>
        <v>10086</v>
      </c>
      <c r="AG10" s="340">
        <f t="shared" si="4"/>
        <v>10909</v>
      </c>
    </row>
    <row r="11" spans="1:33" ht="18" customHeight="1">
      <c r="A11" s="67" t="s">
        <v>905</v>
      </c>
      <c r="B11" s="352"/>
      <c r="C11" s="352"/>
      <c r="D11" s="352"/>
      <c r="E11" s="340"/>
      <c r="F11" s="352"/>
      <c r="G11" s="352"/>
      <c r="H11" s="352"/>
      <c r="I11" s="340"/>
      <c r="J11" s="352"/>
      <c r="K11" s="352"/>
      <c r="L11" s="352"/>
      <c r="M11" s="340"/>
      <c r="N11" s="352"/>
      <c r="O11" s="352"/>
      <c r="P11" s="352"/>
      <c r="Q11" s="340"/>
      <c r="R11" s="255"/>
      <c r="S11" s="255"/>
      <c r="T11" s="352"/>
      <c r="U11" s="340"/>
      <c r="V11" s="255"/>
      <c r="W11" s="255"/>
      <c r="X11" s="352"/>
      <c r="Y11" s="340"/>
      <c r="Z11" s="255"/>
      <c r="AA11" s="255"/>
      <c r="AB11" s="352"/>
      <c r="AC11" s="340"/>
      <c r="AD11" s="352">
        <f t="shared" si="2"/>
        <v>0</v>
      </c>
      <c r="AE11" s="352">
        <f t="shared" si="3"/>
        <v>0</v>
      </c>
      <c r="AF11" s="352">
        <f t="shared" si="4"/>
        <v>0</v>
      </c>
      <c r="AG11" s="340">
        <f t="shared" si="4"/>
        <v>0</v>
      </c>
    </row>
    <row r="12" spans="1:33" ht="18" customHeight="1">
      <c r="A12" s="67" t="s">
        <v>906</v>
      </c>
      <c r="B12" s="352"/>
      <c r="C12" s="352"/>
      <c r="D12" s="352"/>
      <c r="E12" s="340"/>
      <c r="F12" s="352">
        <v>458</v>
      </c>
      <c r="G12" s="352">
        <v>469</v>
      </c>
      <c r="H12" s="352">
        <v>546</v>
      </c>
      <c r="I12" s="340">
        <v>712</v>
      </c>
      <c r="J12" s="352"/>
      <c r="K12" s="352"/>
      <c r="L12" s="352"/>
      <c r="M12" s="340"/>
      <c r="N12" s="352"/>
      <c r="O12" s="352"/>
      <c r="P12" s="352"/>
      <c r="Q12" s="340"/>
      <c r="R12" s="255"/>
      <c r="S12" s="255"/>
      <c r="T12" s="352"/>
      <c r="U12" s="340"/>
      <c r="V12" s="255"/>
      <c r="W12" s="255"/>
      <c r="X12" s="352"/>
      <c r="Y12" s="340"/>
      <c r="Z12" s="255"/>
      <c r="AA12" s="255"/>
      <c r="AB12" s="352"/>
      <c r="AC12" s="340"/>
      <c r="AD12" s="352">
        <f t="shared" si="2"/>
        <v>458</v>
      </c>
      <c r="AE12" s="352">
        <f t="shared" si="3"/>
        <v>469</v>
      </c>
      <c r="AF12" s="352">
        <f t="shared" si="4"/>
        <v>546</v>
      </c>
      <c r="AG12" s="340">
        <f t="shared" si="4"/>
        <v>712</v>
      </c>
    </row>
    <row r="13" spans="1:33" ht="18" customHeight="1">
      <c r="A13" s="67" t="s">
        <v>939</v>
      </c>
      <c r="B13" s="352">
        <v>474</v>
      </c>
      <c r="C13" s="352">
        <v>1197</v>
      </c>
      <c r="D13" s="352">
        <v>1178</v>
      </c>
      <c r="E13" s="340">
        <v>1659</v>
      </c>
      <c r="F13" s="352">
        <v>849</v>
      </c>
      <c r="G13" s="352">
        <v>702</v>
      </c>
      <c r="H13" s="352">
        <v>1618</v>
      </c>
      <c r="I13" s="340">
        <v>2694</v>
      </c>
      <c r="J13" s="352"/>
      <c r="K13" s="352"/>
      <c r="L13" s="352"/>
      <c r="M13" s="340"/>
      <c r="N13" s="352"/>
      <c r="O13" s="352"/>
      <c r="P13" s="352"/>
      <c r="Q13" s="340"/>
      <c r="R13" s="255"/>
      <c r="S13" s="255"/>
      <c r="T13" s="352"/>
      <c r="U13" s="340"/>
      <c r="V13" s="255"/>
      <c r="W13" s="255"/>
      <c r="X13" s="352"/>
      <c r="Y13" s="340"/>
      <c r="Z13" s="255"/>
      <c r="AA13" s="255"/>
      <c r="AB13" s="352"/>
      <c r="AC13" s="340"/>
      <c r="AD13" s="352">
        <f t="shared" si="2"/>
        <v>1323</v>
      </c>
      <c r="AE13" s="352">
        <f t="shared" si="3"/>
        <v>1899</v>
      </c>
      <c r="AF13" s="352">
        <f t="shared" si="4"/>
        <v>2796</v>
      </c>
      <c r="AG13" s="340">
        <f t="shared" si="4"/>
        <v>4353</v>
      </c>
    </row>
    <row r="14" spans="1:33" ht="18" customHeight="1">
      <c r="A14" s="339" t="s">
        <v>908</v>
      </c>
      <c r="B14" s="352"/>
      <c r="C14" s="352"/>
      <c r="D14" s="352"/>
      <c r="E14" s="340"/>
      <c r="F14" s="352">
        <v>315</v>
      </c>
      <c r="G14" s="352">
        <v>495</v>
      </c>
      <c r="H14" s="352">
        <v>605</v>
      </c>
      <c r="I14" s="340">
        <v>613</v>
      </c>
      <c r="J14" s="352"/>
      <c r="K14" s="352"/>
      <c r="L14" s="352"/>
      <c r="M14" s="340"/>
      <c r="N14" s="352"/>
      <c r="O14" s="352"/>
      <c r="P14" s="352"/>
      <c r="Q14" s="340"/>
      <c r="R14" s="255"/>
      <c r="S14" s="255"/>
      <c r="T14" s="352"/>
      <c r="U14" s="340"/>
      <c r="V14" s="255"/>
      <c r="W14" s="255"/>
      <c r="X14" s="352"/>
      <c r="Y14" s="340"/>
      <c r="Z14" s="255"/>
      <c r="AA14" s="255"/>
      <c r="AB14" s="352"/>
      <c r="AC14" s="340"/>
      <c r="AD14" s="352">
        <f t="shared" si="2"/>
        <v>315</v>
      </c>
      <c r="AE14" s="352">
        <f t="shared" si="3"/>
        <v>495</v>
      </c>
      <c r="AF14" s="352">
        <f t="shared" si="4"/>
        <v>605</v>
      </c>
      <c r="AG14" s="340">
        <f t="shared" si="4"/>
        <v>613</v>
      </c>
    </row>
    <row r="15" spans="1:33" ht="18" customHeight="1">
      <c r="A15" s="339" t="s">
        <v>909</v>
      </c>
      <c r="B15" s="352">
        <v>13</v>
      </c>
      <c r="C15" s="352">
        <v>280</v>
      </c>
      <c r="D15" s="352">
        <v>413</v>
      </c>
      <c r="E15" s="340">
        <v>433</v>
      </c>
      <c r="F15" s="352">
        <v>106</v>
      </c>
      <c r="G15" s="352">
        <v>91</v>
      </c>
      <c r="H15" s="352">
        <v>195</v>
      </c>
      <c r="I15" s="340">
        <v>287</v>
      </c>
      <c r="J15" s="352"/>
      <c r="K15" s="352"/>
      <c r="L15" s="352"/>
      <c r="M15" s="340"/>
      <c r="N15" s="352"/>
      <c r="O15" s="352"/>
      <c r="P15" s="352"/>
      <c r="Q15" s="340"/>
      <c r="R15" s="255"/>
      <c r="S15" s="255"/>
      <c r="T15" s="352"/>
      <c r="U15" s="340"/>
      <c r="V15" s="255"/>
      <c r="W15" s="255"/>
      <c r="X15" s="352"/>
      <c r="Y15" s="340"/>
      <c r="Z15" s="255"/>
      <c r="AA15" s="255"/>
      <c r="AB15" s="352"/>
      <c r="AC15" s="340"/>
      <c r="AD15" s="352">
        <f t="shared" si="2"/>
        <v>119</v>
      </c>
      <c r="AE15" s="352">
        <f t="shared" si="3"/>
        <v>371</v>
      </c>
      <c r="AF15" s="352">
        <f t="shared" si="4"/>
        <v>608</v>
      </c>
      <c r="AG15" s="340">
        <f t="shared" si="4"/>
        <v>720</v>
      </c>
    </row>
    <row r="16" spans="1:33" ht="18" customHeight="1">
      <c r="A16" s="339" t="s">
        <v>910</v>
      </c>
      <c r="B16" s="352"/>
      <c r="C16" s="352"/>
      <c r="D16" s="352"/>
      <c r="E16" s="340">
        <v>286</v>
      </c>
      <c r="F16" s="352"/>
      <c r="G16" s="352"/>
      <c r="H16" s="352"/>
      <c r="I16" s="340"/>
      <c r="J16" s="352"/>
      <c r="K16" s="352"/>
      <c r="L16" s="352"/>
      <c r="M16" s="340"/>
      <c r="N16" s="352"/>
      <c r="O16" s="352"/>
      <c r="P16" s="352"/>
      <c r="Q16" s="340"/>
      <c r="R16" s="255"/>
      <c r="S16" s="255"/>
      <c r="T16" s="352"/>
      <c r="U16" s="340"/>
      <c r="V16" s="255"/>
      <c r="W16" s="255"/>
      <c r="X16" s="352"/>
      <c r="Y16" s="340"/>
      <c r="Z16" s="255"/>
      <c r="AA16" s="255"/>
      <c r="AB16" s="352"/>
      <c r="AC16" s="340"/>
      <c r="AD16" s="352">
        <f t="shared" si="2"/>
        <v>0</v>
      </c>
      <c r="AE16" s="352">
        <f t="shared" si="3"/>
        <v>0</v>
      </c>
      <c r="AF16" s="352">
        <f t="shared" si="4"/>
        <v>0</v>
      </c>
      <c r="AG16" s="340">
        <f t="shared" si="4"/>
        <v>286</v>
      </c>
    </row>
    <row r="17" spans="1:33" ht="18" customHeight="1">
      <c r="A17" s="339" t="s">
        <v>911</v>
      </c>
      <c r="B17" s="352">
        <v>216</v>
      </c>
      <c r="C17" s="352">
        <v>281</v>
      </c>
      <c r="D17" s="352">
        <v>287</v>
      </c>
      <c r="E17" s="340">
        <v>336</v>
      </c>
      <c r="F17" s="352"/>
      <c r="G17" s="352"/>
      <c r="H17" s="352"/>
      <c r="I17" s="340"/>
      <c r="J17" s="352"/>
      <c r="K17" s="352"/>
      <c r="L17" s="352"/>
      <c r="M17" s="340"/>
      <c r="N17" s="352"/>
      <c r="O17" s="352"/>
      <c r="P17" s="352"/>
      <c r="Q17" s="340"/>
      <c r="R17" s="255"/>
      <c r="S17" s="255"/>
      <c r="T17" s="352"/>
      <c r="U17" s="340"/>
      <c r="V17" s="255"/>
      <c r="W17" s="255"/>
      <c r="X17" s="352"/>
      <c r="Y17" s="340"/>
      <c r="Z17" s="255"/>
      <c r="AA17" s="255"/>
      <c r="AB17" s="352"/>
      <c r="AC17" s="340"/>
      <c r="AD17" s="352">
        <f t="shared" si="2"/>
        <v>216</v>
      </c>
      <c r="AE17" s="352">
        <f t="shared" si="3"/>
        <v>281</v>
      </c>
      <c r="AF17" s="352">
        <f t="shared" si="4"/>
        <v>287</v>
      </c>
      <c r="AG17" s="340">
        <f t="shared" si="4"/>
        <v>336</v>
      </c>
    </row>
    <row r="18" spans="1:33" ht="18" customHeight="1">
      <c r="A18" s="339" t="s">
        <v>912</v>
      </c>
      <c r="B18" s="352"/>
      <c r="C18" s="352"/>
      <c r="D18" s="352"/>
      <c r="E18" s="340"/>
      <c r="F18" s="352">
        <v>402</v>
      </c>
      <c r="G18" s="352">
        <v>350</v>
      </c>
      <c r="H18" s="352">
        <v>654</v>
      </c>
      <c r="I18" s="340">
        <v>834</v>
      </c>
      <c r="J18" s="352"/>
      <c r="K18" s="352"/>
      <c r="L18" s="352"/>
      <c r="M18" s="340"/>
      <c r="N18" s="352"/>
      <c r="O18" s="352"/>
      <c r="P18" s="352"/>
      <c r="Q18" s="340"/>
      <c r="R18" s="255"/>
      <c r="S18" s="255"/>
      <c r="T18" s="352"/>
      <c r="U18" s="340"/>
      <c r="V18" s="255"/>
      <c r="W18" s="255"/>
      <c r="X18" s="352"/>
      <c r="Y18" s="340"/>
      <c r="Z18" s="255"/>
      <c r="AA18" s="255"/>
      <c r="AB18" s="352"/>
      <c r="AC18" s="340"/>
      <c r="AD18" s="352">
        <f t="shared" si="2"/>
        <v>402</v>
      </c>
      <c r="AE18" s="352">
        <f t="shared" si="3"/>
        <v>350</v>
      </c>
      <c r="AF18" s="352">
        <f t="shared" si="4"/>
        <v>654</v>
      </c>
      <c r="AG18" s="340">
        <f t="shared" si="4"/>
        <v>834</v>
      </c>
    </row>
    <row r="19" spans="1:33" ht="18" customHeight="1">
      <c r="A19" s="67" t="s">
        <v>913</v>
      </c>
      <c r="B19" s="352"/>
      <c r="C19" s="352"/>
      <c r="D19" s="352"/>
      <c r="E19" s="340"/>
      <c r="F19" s="352">
        <v>220</v>
      </c>
      <c r="G19" s="352">
        <v>20</v>
      </c>
      <c r="H19" s="352">
        <v>0</v>
      </c>
      <c r="I19" s="340">
        <v>0</v>
      </c>
      <c r="J19" s="352"/>
      <c r="K19" s="352"/>
      <c r="L19" s="352"/>
      <c r="M19" s="340"/>
      <c r="N19" s="352"/>
      <c r="O19" s="352"/>
      <c r="P19" s="352"/>
      <c r="Q19" s="340"/>
      <c r="R19" s="255"/>
      <c r="S19" s="255"/>
      <c r="T19" s="352"/>
      <c r="U19" s="340"/>
      <c r="V19" s="255"/>
      <c r="W19" s="255"/>
      <c r="X19" s="352"/>
      <c r="Y19" s="340"/>
      <c r="Z19" s="255"/>
      <c r="AA19" s="255"/>
      <c r="AB19" s="352"/>
      <c r="AC19" s="340"/>
      <c r="AD19" s="352">
        <f t="shared" si="2"/>
        <v>220</v>
      </c>
      <c r="AE19" s="352">
        <f t="shared" si="3"/>
        <v>20</v>
      </c>
      <c r="AF19" s="352">
        <f t="shared" si="4"/>
        <v>0</v>
      </c>
      <c r="AG19" s="340">
        <f t="shared" si="4"/>
        <v>0</v>
      </c>
    </row>
    <row r="20" spans="1:33" ht="18" customHeight="1">
      <c r="A20" s="67" t="s">
        <v>914</v>
      </c>
      <c r="B20" s="352"/>
      <c r="C20" s="352"/>
      <c r="D20" s="352"/>
      <c r="E20" s="340"/>
      <c r="F20" s="352">
        <v>46</v>
      </c>
      <c r="G20" s="352">
        <v>19</v>
      </c>
      <c r="H20" s="352">
        <v>30</v>
      </c>
      <c r="I20" s="340">
        <v>45</v>
      </c>
      <c r="J20" s="352"/>
      <c r="K20" s="352"/>
      <c r="L20" s="352"/>
      <c r="M20" s="340"/>
      <c r="N20" s="352"/>
      <c r="O20" s="352"/>
      <c r="P20" s="352"/>
      <c r="Q20" s="340"/>
      <c r="R20" s="255"/>
      <c r="S20" s="255"/>
      <c r="T20" s="352"/>
      <c r="U20" s="340"/>
      <c r="V20" s="255"/>
      <c r="W20" s="255"/>
      <c r="X20" s="352"/>
      <c r="Y20" s="340"/>
      <c r="Z20" s="255"/>
      <c r="AA20" s="255"/>
      <c r="AB20" s="352"/>
      <c r="AC20" s="340"/>
      <c r="AD20" s="352">
        <f t="shared" si="2"/>
        <v>46</v>
      </c>
      <c r="AE20" s="352">
        <f t="shared" si="3"/>
        <v>19</v>
      </c>
      <c r="AF20" s="352">
        <f t="shared" si="4"/>
        <v>30</v>
      </c>
      <c r="AG20" s="340">
        <f t="shared" si="4"/>
        <v>45</v>
      </c>
    </row>
    <row r="21" spans="1:33" ht="18" customHeight="1">
      <c r="A21" s="600" t="s">
        <v>719</v>
      </c>
      <c r="B21" s="352"/>
      <c r="C21" s="352"/>
      <c r="D21" s="352"/>
      <c r="E21" s="340"/>
      <c r="F21" s="352"/>
      <c r="G21" s="352"/>
      <c r="H21" s="352"/>
      <c r="I21" s="340"/>
      <c r="J21" s="352"/>
      <c r="K21" s="352"/>
      <c r="L21" s="352"/>
      <c r="M21" s="340"/>
      <c r="N21" s="352"/>
      <c r="O21" s="352"/>
      <c r="P21" s="352"/>
      <c r="Q21" s="340"/>
      <c r="R21" s="255"/>
      <c r="S21" s="255"/>
      <c r="T21" s="352"/>
      <c r="U21" s="340"/>
      <c r="V21" s="255"/>
      <c r="W21" s="255"/>
      <c r="X21" s="352"/>
      <c r="Y21" s="340"/>
      <c r="Z21" s="255"/>
      <c r="AA21" s="255"/>
      <c r="AB21" s="352"/>
      <c r="AC21" s="340"/>
      <c r="AD21" s="352">
        <f t="shared" si="2"/>
        <v>0</v>
      </c>
      <c r="AE21" s="352">
        <f t="shared" si="3"/>
        <v>0</v>
      </c>
      <c r="AF21" s="352">
        <f t="shared" si="4"/>
        <v>0</v>
      </c>
      <c r="AG21" s="340">
        <f t="shared" si="4"/>
        <v>0</v>
      </c>
    </row>
    <row r="22" spans="1:33" ht="18" customHeight="1">
      <c r="A22" s="67" t="s">
        <v>915</v>
      </c>
      <c r="B22" s="352">
        <v>1853</v>
      </c>
      <c r="C22" s="352">
        <v>2368</v>
      </c>
      <c r="D22" s="352">
        <v>2593</v>
      </c>
      <c r="E22" s="340">
        <v>1320</v>
      </c>
      <c r="F22" s="352">
        <v>134</v>
      </c>
      <c r="G22" s="352">
        <v>163</v>
      </c>
      <c r="H22" s="352">
        <v>99</v>
      </c>
      <c r="I22" s="340">
        <v>0</v>
      </c>
      <c r="J22" s="352"/>
      <c r="K22" s="352"/>
      <c r="L22" s="352"/>
      <c r="M22" s="340"/>
      <c r="N22" s="352"/>
      <c r="O22" s="352"/>
      <c r="P22" s="352"/>
      <c r="Q22" s="340"/>
      <c r="R22" s="255"/>
      <c r="S22" s="255"/>
      <c r="T22" s="352"/>
      <c r="U22" s="340"/>
      <c r="V22" s="255"/>
      <c r="W22" s="255"/>
      <c r="X22" s="352"/>
      <c r="Y22" s="340"/>
      <c r="Z22" s="255"/>
      <c r="AA22" s="255"/>
      <c r="AB22" s="352"/>
      <c r="AC22" s="340"/>
      <c r="AD22" s="352">
        <f t="shared" si="2"/>
        <v>1987</v>
      </c>
      <c r="AE22" s="352">
        <f t="shared" si="3"/>
        <v>2531</v>
      </c>
      <c r="AF22" s="352">
        <f t="shared" si="4"/>
        <v>2692</v>
      </c>
      <c r="AG22" s="340">
        <f t="shared" si="4"/>
        <v>1320</v>
      </c>
    </row>
    <row r="23" spans="1:33" ht="18" customHeight="1">
      <c r="A23" s="67" t="s">
        <v>916</v>
      </c>
      <c r="B23" s="352"/>
      <c r="C23" s="352"/>
      <c r="D23" s="352"/>
      <c r="E23" s="340"/>
      <c r="F23" s="352"/>
      <c r="G23" s="352"/>
      <c r="H23" s="352"/>
      <c r="I23" s="340"/>
      <c r="J23" s="352">
        <v>85</v>
      </c>
      <c r="K23" s="352">
        <v>113</v>
      </c>
      <c r="L23" s="352">
        <v>81</v>
      </c>
      <c r="M23" s="340">
        <v>60</v>
      </c>
      <c r="N23" s="352"/>
      <c r="O23" s="352"/>
      <c r="P23" s="352"/>
      <c r="Q23" s="340"/>
      <c r="R23" s="255"/>
      <c r="S23" s="255"/>
      <c r="T23" s="352"/>
      <c r="U23" s="340"/>
      <c r="V23" s="352">
        <v>111</v>
      </c>
      <c r="W23" s="255">
        <v>254</v>
      </c>
      <c r="X23" s="352">
        <v>295</v>
      </c>
      <c r="Y23" s="340">
        <v>233</v>
      </c>
      <c r="Z23" s="255">
        <v>412</v>
      </c>
      <c r="AA23" s="255">
        <v>606</v>
      </c>
      <c r="AB23" s="352">
        <f>545+153</f>
        <v>698</v>
      </c>
      <c r="AC23" s="340">
        <v>715</v>
      </c>
      <c r="AD23" s="352">
        <f t="shared" si="2"/>
        <v>608</v>
      </c>
      <c r="AE23" s="352">
        <f t="shared" si="3"/>
        <v>973</v>
      </c>
      <c r="AF23" s="352">
        <f t="shared" si="4"/>
        <v>1074</v>
      </c>
      <c r="AG23" s="340">
        <f t="shared" si="4"/>
        <v>1008</v>
      </c>
    </row>
    <row r="24" spans="1:33" ht="18" customHeight="1">
      <c r="A24" s="67" t="s">
        <v>917</v>
      </c>
      <c r="B24" s="352">
        <v>1843</v>
      </c>
      <c r="C24" s="352">
        <v>2208</v>
      </c>
      <c r="D24" s="352">
        <v>2719</v>
      </c>
      <c r="E24" s="340">
        <v>2614</v>
      </c>
      <c r="F24" s="352">
        <v>1064</v>
      </c>
      <c r="G24" s="352">
        <v>1998</v>
      </c>
      <c r="H24" s="352">
        <v>2479</v>
      </c>
      <c r="I24" s="340">
        <v>2462</v>
      </c>
      <c r="J24" s="352"/>
      <c r="K24" s="352"/>
      <c r="L24" s="352"/>
      <c r="M24" s="340"/>
      <c r="N24" s="352"/>
      <c r="O24" s="352"/>
      <c r="P24" s="352"/>
      <c r="Q24" s="340"/>
      <c r="R24" s="255"/>
      <c r="S24" s="255"/>
      <c r="T24" s="352"/>
      <c r="U24" s="340"/>
      <c r="V24" s="255"/>
      <c r="W24" s="255"/>
      <c r="X24" s="352"/>
      <c r="Y24" s="340"/>
      <c r="Z24" s="255"/>
      <c r="AA24" s="255"/>
      <c r="AB24" s="352"/>
      <c r="AC24" s="340"/>
      <c r="AD24" s="352">
        <f t="shared" si="2"/>
        <v>2907</v>
      </c>
      <c r="AE24" s="352">
        <f t="shared" si="3"/>
        <v>4206</v>
      </c>
      <c r="AF24" s="352">
        <f t="shared" si="4"/>
        <v>5198</v>
      </c>
      <c r="AG24" s="340">
        <f t="shared" si="4"/>
        <v>5076</v>
      </c>
    </row>
    <row r="25" spans="1:33" ht="18" customHeight="1">
      <c r="A25" s="67" t="s">
        <v>918</v>
      </c>
      <c r="B25" s="352"/>
      <c r="C25" s="352"/>
      <c r="D25" s="352"/>
      <c r="E25" s="340"/>
      <c r="F25" s="352"/>
      <c r="G25" s="352"/>
      <c r="H25" s="352"/>
      <c r="I25" s="340"/>
      <c r="J25" s="352"/>
      <c r="K25" s="352"/>
      <c r="L25" s="352"/>
      <c r="M25" s="340"/>
      <c r="N25" s="352"/>
      <c r="O25" s="352"/>
      <c r="P25" s="352"/>
      <c r="Q25" s="340"/>
      <c r="R25" s="255"/>
      <c r="S25" s="255"/>
      <c r="T25" s="352"/>
      <c r="U25" s="340"/>
      <c r="V25" s="255"/>
      <c r="W25" s="255"/>
      <c r="X25" s="352"/>
      <c r="Y25" s="340"/>
      <c r="Z25" s="255"/>
      <c r="AA25" s="255"/>
      <c r="AB25" s="352"/>
      <c r="AC25" s="340"/>
      <c r="AD25" s="352">
        <f t="shared" si="2"/>
        <v>0</v>
      </c>
      <c r="AE25" s="352">
        <f t="shared" si="3"/>
        <v>0</v>
      </c>
      <c r="AF25" s="352">
        <f t="shared" si="4"/>
        <v>0</v>
      </c>
      <c r="AG25" s="340">
        <f t="shared" si="4"/>
        <v>0</v>
      </c>
    </row>
    <row r="26" spans="1:33" ht="18" customHeight="1">
      <c r="A26" s="600" t="s">
        <v>1291</v>
      </c>
      <c r="B26" s="352">
        <v>32</v>
      </c>
      <c r="C26" s="352">
        <v>63</v>
      </c>
      <c r="D26" s="352">
        <v>42</v>
      </c>
      <c r="E26" s="340">
        <v>122</v>
      </c>
      <c r="F26" s="352"/>
      <c r="G26" s="352"/>
      <c r="H26" s="352"/>
      <c r="I26" s="340"/>
      <c r="J26" s="352"/>
      <c r="K26" s="352"/>
      <c r="L26" s="352"/>
      <c r="M26" s="340"/>
      <c r="N26" s="352"/>
      <c r="O26" s="352"/>
      <c r="P26" s="352"/>
      <c r="Q26" s="340"/>
      <c r="R26" s="255"/>
      <c r="S26" s="255"/>
      <c r="T26" s="352"/>
      <c r="U26" s="340"/>
      <c r="V26" s="255"/>
      <c r="W26" s="255"/>
      <c r="X26" s="352"/>
      <c r="Y26" s="340"/>
      <c r="Z26" s="255"/>
      <c r="AA26" s="255"/>
      <c r="AB26" s="352"/>
      <c r="AC26" s="340"/>
      <c r="AD26" s="352">
        <f t="shared" si="2"/>
        <v>32</v>
      </c>
      <c r="AE26" s="352">
        <f t="shared" si="3"/>
        <v>63</v>
      </c>
      <c r="AF26" s="352">
        <f t="shared" si="4"/>
        <v>42</v>
      </c>
      <c r="AG26" s="340">
        <f t="shared" si="4"/>
        <v>122</v>
      </c>
    </row>
    <row r="27" spans="1:33" ht="18" customHeight="1">
      <c r="A27" s="67" t="s">
        <v>919</v>
      </c>
      <c r="B27" s="352"/>
      <c r="C27" s="352"/>
      <c r="D27" s="352"/>
      <c r="E27" s="340"/>
      <c r="F27" s="352">
        <v>149</v>
      </c>
      <c r="G27" s="352">
        <v>261</v>
      </c>
      <c r="H27" s="352">
        <v>325</v>
      </c>
      <c r="I27" s="340">
        <v>450</v>
      </c>
      <c r="J27" s="352"/>
      <c r="K27" s="352"/>
      <c r="L27" s="352"/>
      <c r="M27" s="340"/>
      <c r="N27" s="352"/>
      <c r="O27" s="352"/>
      <c r="P27" s="352"/>
      <c r="Q27" s="340"/>
      <c r="R27" s="255"/>
      <c r="S27" s="255"/>
      <c r="T27" s="352"/>
      <c r="U27" s="340"/>
      <c r="V27" s="255"/>
      <c r="W27" s="255"/>
      <c r="X27" s="352"/>
      <c r="Y27" s="340"/>
      <c r="Z27" s="255"/>
      <c r="AA27" s="255"/>
      <c r="AB27" s="352"/>
      <c r="AC27" s="340"/>
      <c r="AD27" s="352">
        <f t="shared" si="2"/>
        <v>149</v>
      </c>
      <c r="AE27" s="352">
        <f t="shared" si="3"/>
        <v>261</v>
      </c>
      <c r="AF27" s="352">
        <f t="shared" si="4"/>
        <v>325</v>
      </c>
      <c r="AG27" s="340">
        <f t="shared" si="4"/>
        <v>450</v>
      </c>
    </row>
    <row r="28" spans="1:33" ht="18" customHeight="1">
      <c r="A28" s="67" t="s">
        <v>1290</v>
      </c>
      <c r="B28" s="352"/>
      <c r="C28" s="352"/>
      <c r="D28" s="352"/>
      <c r="E28" s="340"/>
      <c r="F28" s="352">
        <v>78</v>
      </c>
      <c r="G28" s="352">
        <v>307</v>
      </c>
      <c r="H28" s="352">
        <v>298</v>
      </c>
      <c r="I28" s="340">
        <v>395</v>
      </c>
      <c r="J28" s="352"/>
      <c r="K28" s="352"/>
      <c r="L28" s="352"/>
      <c r="M28" s="340"/>
      <c r="N28" s="352"/>
      <c r="O28" s="352"/>
      <c r="P28" s="352"/>
      <c r="Q28" s="340"/>
      <c r="R28" s="255"/>
      <c r="S28" s="255"/>
      <c r="T28" s="352"/>
      <c r="U28" s="340"/>
      <c r="V28" s="255"/>
      <c r="W28" s="255"/>
      <c r="X28" s="352"/>
      <c r="Y28" s="340"/>
      <c r="Z28" s="255"/>
      <c r="AA28" s="255"/>
      <c r="AB28" s="352"/>
      <c r="AC28" s="340"/>
      <c r="AD28" s="352">
        <f t="shared" si="2"/>
        <v>78</v>
      </c>
      <c r="AE28" s="352">
        <f t="shared" si="3"/>
        <v>307</v>
      </c>
      <c r="AF28" s="352">
        <f t="shared" si="4"/>
        <v>298</v>
      </c>
      <c r="AG28" s="340">
        <f t="shared" si="4"/>
        <v>395</v>
      </c>
    </row>
    <row r="29" spans="1:33" ht="18" customHeight="1">
      <c r="A29" s="67" t="s">
        <v>920</v>
      </c>
      <c r="B29" s="352">
        <v>580</v>
      </c>
      <c r="C29" s="352">
        <v>887</v>
      </c>
      <c r="D29" s="352">
        <v>1180</v>
      </c>
      <c r="E29" s="340">
        <v>950</v>
      </c>
      <c r="F29" s="352"/>
      <c r="G29" s="352"/>
      <c r="H29" s="352"/>
      <c r="I29" s="340"/>
      <c r="J29" s="352"/>
      <c r="K29" s="352"/>
      <c r="L29" s="352"/>
      <c r="M29" s="340"/>
      <c r="N29" s="352"/>
      <c r="O29" s="352"/>
      <c r="P29" s="352"/>
      <c r="Q29" s="340"/>
      <c r="R29" s="255"/>
      <c r="S29" s="255"/>
      <c r="T29" s="352"/>
      <c r="U29" s="340"/>
      <c r="V29" s="255"/>
      <c r="W29" s="255"/>
      <c r="X29" s="352"/>
      <c r="Y29" s="340"/>
      <c r="Z29" s="255"/>
      <c r="AA29" s="255"/>
      <c r="AB29" s="352"/>
      <c r="AC29" s="340"/>
      <c r="AD29" s="352">
        <f t="shared" si="2"/>
        <v>580</v>
      </c>
      <c r="AE29" s="352">
        <f t="shared" si="3"/>
        <v>887</v>
      </c>
      <c r="AF29" s="352">
        <f t="shared" si="4"/>
        <v>1180</v>
      </c>
      <c r="AG29" s="340">
        <f t="shared" si="4"/>
        <v>950</v>
      </c>
    </row>
    <row r="30" spans="1:33" ht="18" customHeight="1">
      <c r="A30" s="67" t="s">
        <v>921</v>
      </c>
      <c r="B30" s="352"/>
      <c r="C30" s="352"/>
      <c r="D30" s="352"/>
      <c r="E30" s="340"/>
      <c r="F30" s="352">
        <v>1</v>
      </c>
      <c r="G30" s="352">
        <v>2</v>
      </c>
      <c r="H30" s="352"/>
      <c r="I30" s="340">
        <v>4</v>
      </c>
      <c r="J30" s="352"/>
      <c r="K30" s="352"/>
      <c r="L30" s="352"/>
      <c r="M30" s="340"/>
      <c r="N30" s="352"/>
      <c r="O30" s="352"/>
      <c r="P30" s="352"/>
      <c r="Q30" s="340"/>
      <c r="R30" s="255"/>
      <c r="S30" s="255"/>
      <c r="T30" s="352"/>
      <c r="U30" s="340"/>
      <c r="V30" s="255"/>
      <c r="W30" s="255"/>
      <c r="X30" s="352"/>
      <c r="Y30" s="340"/>
      <c r="Z30" s="255"/>
      <c r="AA30" s="255"/>
      <c r="AB30" s="352"/>
      <c r="AC30" s="340"/>
      <c r="AD30" s="352">
        <f t="shared" si="2"/>
        <v>1</v>
      </c>
      <c r="AE30" s="352">
        <f t="shared" si="3"/>
        <v>2</v>
      </c>
      <c r="AF30" s="352">
        <f t="shared" si="4"/>
        <v>0</v>
      </c>
      <c r="AG30" s="340">
        <f t="shared" si="4"/>
        <v>4</v>
      </c>
    </row>
    <row r="31" spans="1:33" ht="18" customHeight="1">
      <c r="A31" s="67" t="s">
        <v>922</v>
      </c>
      <c r="B31" s="352">
        <v>265</v>
      </c>
      <c r="C31" s="352">
        <v>390</v>
      </c>
      <c r="D31" s="352">
        <v>540</v>
      </c>
      <c r="E31" s="340">
        <v>749</v>
      </c>
      <c r="F31" s="352">
        <v>174</v>
      </c>
      <c r="G31" s="352">
        <v>379</v>
      </c>
      <c r="H31" s="352">
        <v>429</v>
      </c>
      <c r="I31" s="340">
        <v>569</v>
      </c>
      <c r="J31" s="352"/>
      <c r="K31" s="352"/>
      <c r="L31" s="352"/>
      <c r="M31" s="340"/>
      <c r="N31" s="352"/>
      <c r="O31" s="352"/>
      <c r="P31" s="352"/>
      <c r="Q31" s="340"/>
      <c r="R31" s="255"/>
      <c r="S31" s="255"/>
      <c r="T31" s="352"/>
      <c r="U31" s="340"/>
      <c r="V31" s="255"/>
      <c r="W31" s="255"/>
      <c r="X31" s="352"/>
      <c r="Y31" s="340"/>
      <c r="Z31" s="255"/>
      <c r="AA31" s="255"/>
      <c r="AB31" s="352"/>
      <c r="AC31" s="340"/>
      <c r="AD31" s="352">
        <f t="shared" si="2"/>
        <v>439</v>
      </c>
      <c r="AE31" s="352">
        <f t="shared" si="3"/>
        <v>769</v>
      </c>
      <c r="AF31" s="352">
        <f t="shared" si="4"/>
        <v>969</v>
      </c>
      <c r="AG31" s="340">
        <f t="shared" si="4"/>
        <v>1318</v>
      </c>
    </row>
    <row r="32" spans="1:33" ht="18" customHeight="1">
      <c r="A32" s="67" t="s">
        <v>923</v>
      </c>
      <c r="B32" s="352">
        <v>1893</v>
      </c>
      <c r="C32" s="352">
        <v>2656</v>
      </c>
      <c r="D32" s="352">
        <v>1812</v>
      </c>
      <c r="E32" s="340">
        <v>1800</v>
      </c>
      <c r="F32" s="352"/>
      <c r="G32" s="352"/>
      <c r="H32" s="352"/>
      <c r="I32" s="340"/>
      <c r="J32" s="352"/>
      <c r="K32" s="352"/>
      <c r="L32" s="352"/>
      <c r="M32" s="340"/>
      <c r="N32" s="352"/>
      <c r="O32" s="352"/>
      <c r="P32" s="352"/>
      <c r="Q32" s="340"/>
      <c r="R32" s="255"/>
      <c r="S32" s="255"/>
      <c r="T32" s="352"/>
      <c r="U32" s="340"/>
      <c r="V32" s="255"/>
      <c r="W32" s="255"/>
      <c r="X32" s="352"/>
      <c r="Y32" s="340"/>
      <c r="Z32" s="255"/>
      <c r="AA32" s="255"/>
      <c r="AB32" s="352"/>
      <c r="AC32" s="340"/>
      <c r="AD32" s="352">
        <f t="shared" si="2"/>
        <v>1893</v>
      </c>
      <c r="AE32" s="352">
        <f t="shared" si="3"/>
        <v>2656</v>
      </c>
      <c r="AF32" s="352">
        <f t="shared" si="4"/>
        <v>1812</v>
      </c>
      <c r="AG32" s="340">
        <f t="shared" si="4"/>
        <v>1800</v>
      </c>
    </row>
    <row r="33" spans="1:33" ht="18" customHeight="1">
      <c r="A33" s="67" t="s">
        <v>924</v>
      </c>
      <c r="B33" s="352">
        <v>971</v>
      </c>
      <c r="C33" s="352">
        <v>1258</v>
      </c>
      <c r="D33" s="352">
        <v>905</v>
      </c>
      <c r="E33" s="340">
        <v>1637</v>
      </c>
      <c r="F33" s="352"/>
      <c r="G33" s="352"/>
      <c r="H33" s="352"/>
      <c r="I33" s="340"/>
      <c r="J33" s="352"/>
      <c r="K33" s="352"/>
      <c r="L33" s="352"/>
      <c r="M33" s="340"/>
      <c r="N33" s="352"/>
      <c r="O33" s="352"/>
      <c r="P33" s="352"/>
      <c r="Q33" s="340"/>
      <c r="R33" s="255"/>
      <c r="S33" s="255"/>
      <c r="T33" s="352"/>
      <c r="U33" s="340"/>
      <c r="V33" s="255"/>
      <c r="W33" s="255"/>
      <c r="X33" s="352"/>
      <c r="Y33" s="340"/>
      <c r="Z33" s="255"/>
      <c r="AA33" s="255"/>
      <c r="AB33" s="352"/>
      <c r="AC33" s="340"/>
      <c r="AD33" s="352">
        <f t="shared" si="2"/>
        <v>971</v>
      </c>
      <c r="AE33" s="352">
        <f t="shared" si="3"/>
        <v>1258</v>
      </c>
      <c r="AF33" s="352">
        <f t="shared" si="4"/>
        <v>905</v>
      </c>
      <c r="AG33" s="340">
        <f t="shared" si="4"/>
        <v>1637</v>
      </c>
    </row>
    <row r="34" spans="1:33" ht="18" customHeight="1">
      <c r="A34" s="67" t="s">
        <v>925</v>
      </c>
      <c r="B34" s="352"/>
      <c r="C34" s="352"/>
      <c r="D34" s="352"/>
      <c r="E34" s="340"/>
      <c r="F34" s="352">
        <v>1888</v>
      </c>
      <c r="G34" s="352">
        <v>2618</v>
      </c>
      <c r="H34" s="352">
        <v>4021</v>
      </c>
      <c r="I34" s="340">
        <v>4659</v>
      </c>
      <c r="J34" s="352"/>
      <c r="K34" s="352"/>
      <c r="L34" s="352"/>
      <c r="M34" s="340"/>
      <c r="N34" s="352"/>
      <c r="O34" s="352"/>
      <c r="P34" s="352"/>
      <c r="Q34" s="340"/>
      <c r="R34" s="255"/>
      <c r="S34" s="255"/>
      <c r="T34" s="352"/>
      <c r="U34" s="340"/>
      <c r="V34" s="255"/>
      <c r="W34" s="255"/>
      <c r="X34" s="352"/>
      <c r="Y34" s="340"/>
      <c r="Z34" s="255"/>
      <c r="AA34" s="255"/>
      <c r="AB34" s="352"/>
      <c r="AC34" s="340"/>
      <c r="AD34" s="352">
        <f t="shared" si="2"/>
        <v>1888</v>
      </c>
      <c r="AE34" s="352">
        <f t="shared" si="3"/>
        <v>2618</v>
      </c>
      <c r="AF34" s="352">
        <f t="shared" si="4"/>
        <v>4021</v>
      </c>
      <c r="AG34" s="340">
        <f t="shared" si="4"/>
        <v>4659</v>
      </c>
    </row>
    <row r="35" spans="1:33" ht="18" customHeight="1">
      <c r="A35" s="67" t="s">
        <v>926</v>
      </c>
      <c r="B35" s="352"/>
      <c r="C35" s="352"/>
      <c r="D35" s="352"/>
      <c r="E35" s="340"/>
      <c r="F35" s="352">
        <v>1188</v>
      </c>
      <c r="G35" s="352">
        <v>2101</v>
      </c>
      <c r="H35" s="352">
        <v>3610</v>
      </c>
      <c r="I35" s="340">
        <v>4161</v>
      </c>
      <c r="J35" s="352"/>
      <c r="K35" s="352"/>
      <c r="L35" s="352"/>
      <c r="M35" s="340"/>
      <c r="N35" s="352"/>
      <c r="O35" s="352"/>
      <c r="P35" s="352"/>
      <c r="Q35" s="340"/>
      <c r="R35" s="255"/>
      <c r="S35" s="255"/>
      <c r="T35" s="352"/>
      <c r="U35" s="340"/>
      <c r="V35" s="255"/>
      <c r="W35" s="255"/>
      <c r="X35" s="352"/>
      <c r="Y35" s="340"/>
      <c r="Z35" s="255"/>
      <c r="AA35" s="255"/>
      <c r="AB35" s="352"/>
      <c r="AC35" s="340"/>
      <c r="AD35" s="352">
        <f t="shared" si="2"/>
        <v>1188</v>
      </c>
      <c r="AE35" s="352">
        <f t="shared" si="3"/>
        <v>2101</v>
      </c>
      <c r="AF35" s="352">
        <f t="shared" si="4"/>
        <v>3610</v>
      </c>
      <c r="AG35" s="340">
        <f t="shared" si="4"/>
        <v>4161</v>
      </c>
    </row>
    <row r="36" spans="1:33" ht="18" customHeight="1">
      <c r="A36" s="67" t="s">
        <v>1409</v>
      </c>
      <c r="B36" s="352"/>
      <c r="C36" s="352"/>
      <c r="D36" s="352"/>
      <c r="E36" s="340"/>
      <c r="F36" s="352"/>
      <c r="G36" s="352"/>
      <c r="H36" s="352"/>
      <c r="I36" s="340"/>
      <c r="J36" s="352"/>
      <c r="K36" s="352"/>
      <c r="L36" s="352"/>
      <c r="M36" s="340"/>
      <c r="N36" s="352"/>
      <c r="O36" s="352"/>
      <c r="P36" s="352"/>
      <c r="Q36" s="340"/>
      <c r="R36" s="255"/>
      <c r="S36" s="255"/>
      <c r="T36" s="352"/>
      <c r="U36" s="340"/>
      <c r="V36" s="255"/>
      <c r="W36" s="255"/>
      <c r="X36" s="352"/>
      <c r="Y36" s="340"/>
      <c r="Z36" s="255"/>
      <c r="AA36" s="255"/>
      <c r="AB36" s="352"/>
      <c r="AC36" s="340"/>
      <c r="AD36" s="352">
        <f t="shared" si="2"/>
        <v>0</v>
      </c>
      <c r="AE36" s="352">
        <f t="shared" si="3"/>
        <v>0</v>
      </c>
      <c r="AF36" s="352">
        <f t="shared" si="4"/>
        <v>0</v>
      </c>
      <c r="AG36" s="340">
        <f t="shared" si="4"/>
        <v>0</v>
      </c>
    </row>
    <row r="37" spans="1:33" ht="18" customHeight="1">
      <c r="A37" s="67" t="s">
        <v>927</v>
      </c>
      <c r="B37" s="352">
        <v>330</v>
      </c>
      <c r="C37" s="352">
        <v>516</v>
      </c>
      <c r="D37" s="352">
        <v>320</v>
      </c>
      <c r="E37" s="340">
        <v>442</v>
      </c>
      <c r="F37" s="352"/>
      <c r="G37" s="352"/>
      <c r="H37" s="352"/>
      <c r="I37" s="340"/>
      <c r="J37" s="352"/>
      <c r="K37" s="352"/>
      <c r="L37" s="352"/>
      <c r="M37" s="340"/>
      <c r="N37" s="352"/>
      <c r="O37" s="352"/>
      <c r="P37" s="352"/>
      <c r="Q37" s="340"/>
      <c r="R37" s="255"/>
      <c r="S37" s="255"/>
      <c r="T37" s="352"/>
      <c r="U37" s="340"/>
      <c r="V37" s="255"/>
      <c r="W37" s="255"/>
      <c r="X37" s="352"/>
      <c r="Y37" s="340"/>
      <c r="Z37" s="255"/>
      <c r="AA37" s="255"/>
      <c r="AB37" s="352"/>
      <c r="AC37" s="340"/>
      <c r="AD37" s="352">
        <f t="shared" si="2"/>
        <v>330</v>
      </c>
      <c r="AE37" s="352">
        <f t="shared" si="3"/>
        <v>516</v>
      </c>
      <c r="AF37" s="352">
        <f t="shared" si="4"/>
        <v>320</v>
      </c>
      <c r="AG37" s="340">
        <f t="shared" si="4"/>
        <v>442</v>
      </c>
    </row>
    <row r="38" spans="1:33" ht="18" customHeight="1">
      <c r="A38" s="14" t="s">
        <v>767</v>
      </c>
      <c r="B38" s="355">
        <v>11391</v>
      </c>
      <c r="C38" s="355">
        <v>15702</v>
      </c>
      <c r="D38" s="355">
        <f>SUM(D9:D37)</f>
        <v>16788</v>
      </c>
      <c r="E38" s="356">
        <f>SUM(E9:E37)</f>
        <v>17450</v>
      </c>
      <c r="F38" s="355">
        <v>9233</v>
      </c>
      <c r="G38" s="355">
        <v>12782</v>
      </c>
      <c r="H38" s="355">
        <f>SUM(H9:H37)</f>
        <v>20196</v>
      </c>
      <c r="I38" s="356">
        <f>SUM(I9:I37)</f>
        <v>23692</v>
      </c>
      <c r="J38" s="355">
        <v>59</v>
      </c>
      <c r="K38" s="355">
        <f>SUM(K23:K37)</f>
        <v>113</v>
      </c>
      <c r="L38" s="355">
        <f>SUM(L9:L37)</f>
        <v>81</v>
      </c>
      <c r="M38" s="356">
        <f>SUM(M9:M37)</f>
        <v>60</v>
      </c>
      <c r="N38" s="259">
        <v>0</v>
      </c>
      <c r="O38" s="355">
        <f>SUM(O9:O37)</f>
        <v>0</v>
      </c>
      <c r="P38" s="355">
        <f>SUM(P9:P37)</f>
        <v>0</v>
      </c>
      <c r="Q38" s="356">
        <f>SUM(Q9:Q37)</f>
        <v>0</v>
      </c>
      <c r="R38" s="259">
        <v>0</v>
      </c>
      <c r="S38" s="355">
        <f>SUM(S9:S37)</f>
        <v>0</v>
      </c>
      <c r="T38" s="355">
        <f>SUM(T9:T37)</f>
        <v>0</v>
      </c>
      <c r="U38" s="356">
        <f>SUM(U9:U37)</f>
        <v>0</v>
      </c>
      <c r="V38" s="355">
        <v>111</v>
      </c>
      <c r="W38" s="259">
        <v>254</v>
      </c>
      <c r="X38" s="355">
        <f>SUM(X12:X37)</f>
        <v>295</v>
      </c>
      <c r="Y38" s="356">
        <f>SUM(Y9:Y37)</f>
        <v>233</v>
      </c>
      <c r="Z38" s="259">
        <f>SUM(Z9:Z37)</f>
        <v>412</v>
      </c>
      <c r="AA38" s="259">
        <v>606</v>
      </c>
      <c r="AB38" s="355">
        <f>SUM(AB9:AB37)</f>
        <v>698</v>
      </c>
      <c r="AC38" s="356">
        <f>SUM(AC9:AC37)</f>
        <v>715</v>
      </c>
      <c r="AD38" s="355">
        <f t="shared" si="2"/>
        <v>21206</v>
      </c>
      <c r="AE38" s="355">
        <f t="shared" si="3"/>
        <v>29457</v>
      </c>
      <c r="AF38" s="355">
        <f t="shared" si="4"/>
        <v>38058</v>
      </c>
      <c r="AG38" s="356">
        <f>+Q38+M38+I38+E38+U38+Y38+AC38</f>
        <v>42150</v>
      </c>
    </row>
    <row r="39" spans="1:33" ht="18" customHeight="1">
      <c r="A39" s="8"/>
      <c r="B39" s="352"/>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row>
    <row r="40" spans="1:33" ht="18" customHeight="1">
      <c r="A40" s="334" t="s">
        <v>928</v>
      </c>
      <c r="B40" s="352"/>
      <c r="C40" s="355"/>
      <c r="D40" s="352"/>
      <c r="E40" s="352"/>
      <c r="F40" s="352"/>
      <c r="G40" s="352"/>
      <c r="H40" s="352"/>
      <c r="I40" s="352"/>
      <c r="J40" s="352"/>
      <c r="K40" s="352"/>
      <c r="L40" s="352"/>
      <c r="M40" s="352"/>
      <c r="N40" s="352"/>
      <c r="O40" s="352"/>
      <c r="P40" s="352"/>
      <c r="Q40" s="352"/>
      <c r="R40" s="352"/>
      <c r="S40" s="355"/>
      <c r="T40" s="352"/>
      <c r="U40" s="352"/>
      <c r="V40" s="352"/>
      <c r="W40" s="352"/>
      <c r="X40" s="352"/>
      <c r="Y40" s="352"/>
      <c r="Z40" s="352"/>
      <c r="AA40" s="352"/>
      <c r="AB40" s="352"/>
      <c r="AC40" s="352"/>
      <c r="AD40" s="352"/>
      <c r="AE40" s="352"/>
      <c r="AF40" s="352"/>
      <c r="AG40" s="352"/>
    </row>
    <row r="41" spans="1:33" ht="18" customHeight="1">
      <c r="A41" s="241" t="s">
        <v>929</v>
      </c>
      <c r="B41" s="359">
        <v>2033</v>
      </c>
      <c r="C41" s="352">
        <v>2617</v>
      </c>
      <c r="D41" s="359">
        <v>2806</v>
      </c>
      <c r="E41" s="359">
        <v>3583</v>
      </c>
      <c r="F41" s="358">
        <v>1449</v>
      </c>
      <c r="G41" s="359">
        <v>3651</v>
      </c>
      <c r="H41" s="359">
        <v>4925</v>
      </c>
      <c r="I41" s="360">
        <v>5218</v>
      </c>
      <c r="J41" s="358"/>
      <c r="K41" s="359"/>
      <c r="L41" s="359"/>
      <c r="M41" s="360"/>
      <c r="N41" s="358"/>
      <c r="O41" s="359"/>
      <c r="P41" s="359">
        <v>176</v>
      </c>
      <c r="Q41" s="360">
        <v>207</v>
      </c>
      <c r="R41" s="358"/>
      <c r="S41" s="359"/>
      <c r="T41" s="359"/>
      <c r="U41" s="360"/>
      <c r="V41" s="358"/>
      <c r="W41" s="359"/>
      <c r="X41" s="359"/>
      <c r="Y41" s="360"/>
      <c r="Z41" s="358"/>
      <c r="AA41" s="359"/>
      <c r="AB41" s="359"/>
      <c r="AC41" s="360"/>
      <c r="AD41" s="358">
        <f t="shared" ref="AD41:AE48" si="5">+N41+J41+F41+B41</f>
        <v>3482</v>
      </c>
      <c r="AE41" s="359">
        <f t="shared" si="5"/>
        <v>6268</v>
      </c>
      <c r="AF41" s="359">
        <f t="shared" ref="AF41:AF49" si="6">+P41+L41+H41+D41+AB41</f>
        <v>7907</v>
      </c>
      <c r="AG41" s="360">
        <f t="shared" ref="AG41:AG49" si="7">+Q41+M41+I41+E41+AC41</f>
        <v>9008</v>
      </c>
    </row>
    <row r="42" spans="1:33" ht="18" customHeight="1">
      <c r="A42" s="67" t="s">
        <v>930</v>
      </c>
      <c r="B42" s="352">
        <v>33</v>
      </c>
      <c r="C42" s="352">
        <v>19</v>
      </c>
      <c r="D42" s="352">
        <v>30</v>
      </c>
      <c r="E42" s="352">
        <v>39</v>
      </c>
      <c r="F42" s="353">
        <v>60</v>
      </c>
      <c r="G42" s="352">
        <v>75</v>
      </c>
      <c r="H42" s="352">
        <v>43</v>
      </c>
      <c r="I42" s="340">
        <v>46</v>
      </c>
      <c r="J42" s="353"/>
      <c r="K42" s="352"/>
      <c r="L42" s="352"/>
      <c r="M42" s="340"/>
      <c r="N42" s="353"/>
      <c r="O42" s="352"/>
      <c r="P42" s="352"/>
      <c r="Q42" s="340"/>
      <c r="R42" s="353"/>
      <c r="S42" s="352"/>
      <c r="T42" s="352"/>
      <c r="U42" s="340"/>
      <c r="V42" s="353"/>
      <c r="W42" s="352"/>
      <c r="X42" s="352"/>
      <c r="Y42" s="340"/>
      <c r="Z42" s="353"/>
      <c r="AA42" s="352"/>
      <c r="AB42" s="352"/>
      <c r="AC42" s="340"/>
      <c r="AD42" s="353">
        <f t="shared" si="5"/>
        <v>93</v>
      </c>
      <c r="AE42" s="352">
        <f t="shared" si="5"/>
        <v>94</v>
      </c>
      <c r="AF42" s="352">
        <f t="shared" si="6"/>
        <v>73</v>
      </c>
      <c r="AG42" s="340">
        <f t="shared" si="7"/>
        <v>85</v>
      </c>
    </row>
    <row r="43" spans="1:33" ht="18" customHeight="1">
      <c r="A43" s="67" t="s">
        <v>931</v>
      </c>
      <c r="B43" s="352">
        <v>406</v>
      </c>
      <c r="C43" s="352">
        <v>416</v>
      </c>
      <c r="D43" s="352">
        <v>368</v>
      </c>
      <c r="E43" s="352">
        <v>506</v>
      </c>
      <c r="F43" s="353">
        <v>284</v>
      </c>
      <c r="G43" s="352">
        <v>429</v>
      </c>
      <c r="H43" s="352">
        <v>633</v>
      </c>
      <c r="I43" s="340">
        <v>602</v>
      </c>
      <c r="J43" s="353"/>
      <c r="K43" s="352"/>
      <c r="L43" s="352"/>
      <c r="M43" s="340"/>
      <c r="N43" s="353"/>
      <c r="O43" s="352"/>
      <c r="P43" s="352"/>
      <c r="Q43" s="340"/>
      <c r="R43" s="353"/>
      <c r="S43" s="352"/>
      <c r="T43" s="352"/>
      <c r="U43" s="340"/>
      <c r="V43" s="353"/>
      <c r="W43" s="352"/>
      <c r="X43" s="352"/>
      <c r="Y43" s="340"/>
      <c r="Z43" s="353"/>
      <c r="AA43" s="352"/>
      <c r="AB43" s="352"/>
      <c r="AC43" s="340"/>
      <c r="AD43" s="353">
        <f t="shared" si="5"/>
        <v>690</v>
      </c>
      <c r="AE43" s="352">
        <f t="shared" si="5"/>
        <v>845</v>
      </c>
      <c r="AF43" s="352">
        <f t="shared" si="6"/>
        <v>1001</v>
      </c>
      <c r="AG43" s="340">
        <f t="shared" si="7"/>
        <v>1108</v>
      </c>
    </row>
    <row r="44" spans="1:33" ht="18" customHeight="1">
      <c r="A44" s="67" t="s">
        <v>932</v>
      </c>
      <c r="B44" s="352">
        <v>159</v>
      </c>
      <c r="C44" s="352"/>
      <c r="D44" s="352"/>
      <c r="E44" s="352">
        <v>455</v>
      </c>
      <c r="F44" s="353">
        <v>146</v>
      </c>
      <c r="G44" s="352">
        <v>376</v>
      </c>
      <c r="H44" s="352">
        <v>482</v>
      </c>
      <c r="I44" s="340">
        <v>364</v>
      </c>
      <c r="J44" s="353"/>
      <c r="K44" s="352"/>
      <c r="L44" s="352"/>
      <c r="M44" s="340"/>
      <c r="N44" s="353"/>
      <c r="O44" s="352"/>
      <c r="P44" s="352">
        <v>61</v>
      </c>
      <c r="Q44" s="340">
        <v>19</v>
      </c>
      <c r="R44" s="353"/>
      <c r="S44" s="352"/>
      <c r="T44" s="352"/>
      <c r="U44" s="340"/>
      <c r="V44" s="353"/>
      <c r="W44" s="352"/>
      <c r="X44" s="352"/>
      <c r="Y44" s="340"/>
      <c r="Z44" s="353"/>
      <c r="AA44" s="352"/>
      <c r="AB44" s="352"/>
      <c r="AC44" s="340"/>
      <c r="AD44" s="353">
        <f t="shared" si="5"/>
        <v>305</v>
      </c>
      <c r="AE44" s="352">
        <f t="shared" si="5"/>
        <v>376</v>
      </c>
      <c r="AF44" s="352">
        <f t="shared" si="6"/>
        <v>543</v>
      </c>
      <c r="AG44" s="340">
        <f t="shared" si="7"/>
        <v>838</v>
      </c>
    </row>
    <row r="45" spans="1:33" ht="18" customHeight="1">
      <c r="A45" s="67" t="s">
        <v>933</v>
      </c>
      <c r="B45" s="352">
        <v>164</v>
      </c>
      <c r="C45" s="352"/>
      <c r="D45" s="352"/>
      <c r="E45" s="352">
        <v>186</v>
      </c>
      <c r="F45" s="353">
        <v>428</v>
      </c>
      <c r="G45" s="352"/>
      <c r="H45" s="352"/>
      <c r="I45" s="340"/>
      <c r="J45" s="353"/>
      <c r="K45" s="352"/>
      <c r="L45" s="352"/>
      <c r="M45" s="340"/>
      <c r="N45" s="353"/>
      <c r="O45" s="352"/>
      <c r="P45" s="352"/>
      <c r="Q45" s="340"/>
      <c r="R45" s="353"/>
      <c r="S45" s="352"/>
      <c r="T45" s="352"/>
      <c r="U45" s="340"/>
      <c r="V45" s="353"/>
      <c r="W45" s="352"/>
      <c r="X45" s="352"/>
      <c r="Y45" s="340"/>
      <c r="Z45" s="353"/>
      <c r="AA45" s="352"/>
      <c r="AB45" s="352"/>
      <c r="AC45" s="340"/>
      <c r="AD45" s="353">
        <f t="shared" si="5"/>
        <v>592</v>
      </c>
      <c r="AE45" s="352">
        <f t="shared" si="5"/>
        <v>0</v>
      </c>
      <c r="AF45" s="352">
        <f t="shared" si="6"/>
        <v>0</v>
      </c>
      <c r="AG45" s="340">
        <f t="shared" si="7"/>
        <v>186</v>
      </c>
    </row>
    <row r="46" spans="1:33" ht="18" customHeight="1">
      <c r="A46" s="339" t="s">
        <v>934</v>
      </c>
      <c r="B46" s="352"/>
      <c r="C46" s="352"/>
      <c r="D46" s="352"/>
      <c r="E46" s="352"/>
      <c r="F46" s="353"/>
      <c r="G46" s="352"/>
      <c r="H46" s="352"/>
      <c r="I46" s="340"/>
      <c r="J46" s="353"/>
      <c r="K46" s="352"/>
      <c r="L46" s="352"/>
      <c r="M46" s="340"/>
      <c r="N46" s="353"/>
      <c r="O46" s="352"/>
      <c r="P46" s="352"/>
      <c r="Q46" s="340"/>
      <c r="R46" s="353"/>
      <c r="S46" s="352"/>
      <c r="T46" s="352"/>
      <c r="U46" s="340"/>
      <c r="V46" s="353"/>
      <c r="W46" s="352"/>
      <c r="X46" s="352"/>
      <c r="Y46" s="340"/>
      <c r="Z46" s="353"/>
      <c r="AA46" s="352"/>
      <c r="AB46" s="352"/>
      <c r="AC46" s="340"/>
      <c r="AD46" s="353">
        <f t="shared" si="5"/>
        <v>0</v>
      </c>
      <c r="AE46" s="352">
        <f t="shared" si="5"/>
        <v>0</v>
      </c>
      <c r="AF46" s="352">
        <f t="shared" si="6"/>
        <v>0</v>
      </c>
      <c r="AG46" s="340">
        <f t="shared" si="7"/>
        <v>0</v>
      </c>
    </row>
    <row r="47" spans="1:33" ht="18" customHeight="1">
      <c r="A47" s="339" t="s">
        <v>935</v>
      </c>
      <c r="B47" s="255"/>
      <c r="C47" s="255"/>
      <c r="D47" s="255"/>
      <c r="E47" s="255"/>
      <c r="F47" s="254"/>
      <c r="G47" s="255"/>
      <c r="H47" s="255"/>
      <c r="I47" s="323"/>
      <c r="J47" s="254"/>
      <c r="K47" s="255"/>
      <c r="L47" s="255"/>
      <c r="M47" s="323"/>
      <c r="N47" s="254"/>
      <c r="O47" s="255"/>
      <c r="P47" s="255"/>
      <c r="Q47" s="323"/>
      <c r="R47" s="254"/>
      <c r="S47" s="255"/>
      <c r="T47" s="255"/>
      <c r="U47" s="323"/>
      <c r="V47" s="254"/>
      <c r="W47" s="255"/>
      <c r="X47" s="255"/>
      <c r="Y47" s="323"/>
      <c r="Z47" s="254"/>
      <c r="AA47" s="255"/>
      <c r="AB47" s="255"/>
      <c r="AC47" s="323"/>
      <c r="AD47" s="353">
        <f t="shared" si="5"/>
        <v>0</v>
      </c>
      <c r="AE47" s="352">
        <f t="shared" si="5"/>
        <v>0</v>
      </c>
      <c r="AF47" s="255">
        <f t="shared" si="6"/>
        <v>0</v>
      </c>
      <c r="AG47" s="323">
        <f t="shared" si="7"/>
        <v>0</v>
      </c>
    </row>
    <row r="48" spans="1:33" ht="18" customHeight="1">
      <c r="A48" s="67" t="str">
        <f>+'51'!A48</f>
        <v xml:space="preserve"> TECNOLOGO  MEDICO</v>
      </c>
      <c r="B48" s="352">
        <v>1928</v>
      </c>
      <c r="C48" s="352">
        <v>2276</v>
      </c>
      <c r="D48" s="352">
        <v>2643</v>
      </c>
      <c r="E48" s="352">
        <v>3397</v>
      </c>
      <c r="F48" s="353"/>
      <c r="G48" s="352"/>
      <c r="H48" s="352"/>
      <c r="I48" s="340"/>
      <c r="J48" s="353"/>
      <c r="K48" s="352"/>
      <c r="L48" s="352"/>
      <c r="M48" s="340"/>
      <c r="N48" s="353"/>
      <c r="O48" s="352"/>
      <c r="P48" s="352"/>
      <c r="Q48" s="340"/>
      <c r="R48" s="353"/>
      <c r="S48" s="352"/>
      <c r="T48" s="352"/>
      <c r="U48" s="340"/>
      <c r="V48" s="353"/>
      <c r="W48" s="352"/>
      <c r="X48" s="352"/>
      <c r="Y48" s="340"/>
      <c r="Z48" s="353"/>
      <c r="AA48" s="352"/>
      <c r="AB48" s="352"/>
      <c r="AC48" s="340"/>
      <c r="AD48" s="353">
        <f t="shared" si="5"/>
        <v>1928</v>
      </c>
      <c r="AE48" s="352">
        <f t="shared" si="5"/>
        <v>2276</v>
      </c>
      <c r="AF48" s="352">
        <f t="shared" si="6"/>
        <v>2643</v>
      </c>
      <c r="AG48" s="340">
        <f t="shared" si="7"/>
        <v>3397</v>
      </c>
    </row>
    <row r="49" spans="1:33" ht="18" customHeight="1">
      <c r="A49" s="14" t="s">
        <v>937</v>
      </c>
      <c r="B49" s="355">
        <v>765</v>
      </c>
      <c r="C49" s="355">
        <v>1512</v>
      </c>
      <c r="D49" s="355">
        <v>2137</v>
      </c>
      <c r="E49" s="355">
        <v>743</v>
      </c>
      <c r="F49" s="357">
        <v>368</v>
      </c>
      <c r="G49" s="355">
        <v>807</v>
      </c>
      <c r="H49" s="355">
        <v>1297</v>
      </c>
      <c r="I49" s="356">
        <v>1894</v>
      </c>
      <c r="J49" s="357"/>
      <c r="K49" s="355"/>
      <c r="L49" s="355"/>
      <c r="M49" s="356"/>
      <c r="N49" s="357"/>
      <c r="O49" s="355"/>
      <c r="P49" s="355"/>
      <c r="Q49" s="356"/>
      <c r="R49" s="357"/>
      <c r="S49" s="355"/>
      <c r="T49" s="355"/>
      <c r="U49" s="356"/>
      <c r="V49" s="357"/>
      <c r="W49" s="355"/>
      <c r="X49" s="355"/>
      <c r="Y49" s="356"/>
      <c r="Z49" s="357"/>
      <c r="AA49" s="355"/>
      <c r="AB49" s="355"/>
      <c r="AC49" s="356"/>
      <c r="AD49" s="357">
        <f>+N49+J49+F49+B49+R49</f>
        <v>1133</v>
      </c>
      <c r="AE49" s="355">
        <f>+O49+K49+G49+C49+S49</f>
        <v>2319</v>
      </c>
      <c r="AF49" s="355">
        <f t="shared" si="6"/>
        <v>3434</v>
      </c>
      <c r="AG49" s="356">
        <f t="shared" si="7"/>
        <v>2637</v>
      </c>
    </row>
    <row r="50" spans="1:33">
      <c r="B50" s="352"/>
      <c r="C50" s="352"/>
      <c r="D50" s="352"/>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row>
    <row r="51" spans="1:33">
      <c r="B51" s="352"/>
      <c r="C51" s="352"/>
      <c r="D51" s="352"/>
      <c r="E51" s="352"/>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row>
    <row r="52" spans="1:33">
      <c r="B52" s="352"/>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row>
    <row r="53" spans="1:33">
      <c r="B53" s="352"/>
      <c r="C53" s="352"/>
      <c r="D53" s="352"/>
      <c r="E53" s="352"/>
      <c r="F53" s="352"/>
      <c r="G53" s="352"/>
      <c r="H53" s="352"/>
      <c r="I53" s="352"/>
      <c r="J53" s="352"/>
      <c r="K53" s="352"/>
      <c r="L53" s="352"/>
      <c r="M53" s="352"/>
      <c r="N53" s="352"/>
      <c r="O53" s="352"/>
      <c r="P53" s="352"/>
      <c r="Q53" s="352"/>
      <c r="R53" s="352"/>
      <c r="S53" s="352"/>
      <c r="T53" s="352"/>
      <c r="U53" s="352"/>
      <c r="V53" s="352"/>
      <c r="W53" s="352"/>
      <c r="X53" s="352"/>
      <c r="Y53" s="352"/>
      <c r="Z53" s="352"/>
      <c r="AA53" s="352"/>
      <c r="AB53" s="352"/>
      <c r="AC53" s="352"/>
      <c r="AD53" s="352"/>
      <c r="AE53" s="352"/>
      <c r="AF53" s="352"/>
      <c r="AG53" s="352"/>
    </row>
    <row r="54" spans="1:33">
      <c r="B54" s="352"/>
      <c r="C54" s="352"/>
      <c r="D54" s="352"/>
      <c r="E54" s="352"/>
      <c r="F54" s="352"/>
      <c r="G54" s="352"/>
      <c r="H54" s="352"/>
      <c r="I54" s="352"/>
      <c r="J54" s="352"/>
      <c r="K54" s="352"/>
      <c r="L54" s="352"/>
      <c r="M54" s="352"/>
      <c r="N54" s="352"/>
      <c r="O54" s="352"/>
      <c r="P54" s="352"/>
      <c r="Q54" s="352"/>
      <c r="R54" s="352"/>
      <c r="S54" s="352"/>
      <c r="T54" s="352"/>
      <c r="U54" s="352"/>
      <c r="V54" s="352"/>
      <c r="W54" s="352"/>
      <c r="X54" s="352"/>
      <c r="Y54" s="352"/>
      <c r="Z54" s="352"/>
      <c r="AA54" s="352"/>
      <c r="AB54" s="352"/>
      <c r="AC54" s="352"/>
      <c r="AD54" s="352"/>
      <c r="AE54" s="352"/>
      <c r="AF54" s="352"/>
      <c r="AG54" s="352"/>
    </row>
    <row r="55" spans="1:33">
      <c r="B55" s="352"/>
      <c r="C55" s="352"/>
      <c r="D55" s="352"/>
      <c r="E55" s="352"/>
      <c r="F55" s="352"/>
      <c r="G55" s="352"/>
      <c r="H55" s="352"/>
      <c r="I55" s="352"/>
      <c r="J55" s="352"/>
      <c r="K55" s="352"/>
      <c r="L55" s="352"/>
      <c r="M55" s="352"/>
      <c r="N55" s="352"/>
      <c r="O55" s="352"/>
      <c r="P55" s="352"/>
      <c r="Q55" s="352"/>
      <c r="R55" s="352"/>
      <c r="S55" s="352"/>
      <c r="T55" s="352"/>
      <c r="U55" s="352"/>
      <c r="V55" s="352"/>
      <c r="W55" s="352"/>
      <c r="X55" s="352"/>
      <c r="Y55" s="352"/>
      <c r="Z55" s="352"/>
      <c r="AA55" s="352"/>
      <c r="AB55" s="352"/>
      <c r="AC55" s="352"/>
      <c r="AD55" s="352"/>
      <c r="AE55" s="352"/>
      <c r="AF55" s="352"/>
      <c r="AG55" s="352"/>
    </row>
    <row r="56" spans="1:33">
      <c r="B56" s="352"/>
      <c r="C56" s="352"/>
      <c r="D56" s="352"/>
      <c r="E56" s="352"/>
      <c r="F56" s="352"/>
      <c r="G56" s="352"/>
      <c r="H56" s="352"/>
      <c r="I56" s="352"/>
      <c r="J56" s="352"/>
      <c r="K56" s="352"/>
      <c r="L56" s="352"/>
      <c r="M56" s="352"/>
      <c r="N56" s="352"/>
      <c r="O56" s="352"/>
      <c r="P56" s="352"/>
      <c r="Q56" s="352"/>
      <c r="R56" s="352"/>
      <c r="S56" s="352"/>
      <c r="T56" s="352"/>
      <c r="U56" s="352"/>
      <c r="V56" s="352"/>
      <c r="W56" s="352"/>
      <c r="X56" s="352"/>
      <c r="Y56" s="352"/>
      <c r="Z56" s="352"/>
      <c r="AA56" s="352"/>
      <c r="AB56" s="352"/>
      <c r="AC56" s="352"/>
      <c r="AD56" s="352"/>
      <c r="AE56" s="352"/>
      <c r="AF56" s="352"/>
      <c r="AG56" s="352"/>
    </row>
    <row r="57" spans="1:33">
      <c r="B57" s="352"/>
      <c r="C57" s="352"/>
      <c r="D57" s="352"/>
      <c r="E57" s="352"/>
      <c r="F57" s="352"/>
      <c r="G57" s="352"/>
      <c r="H57" s="352"/>
      <c r="I57" s="352"/>
      <c r="J57" s="352"/>
      <c r="K57" s="352"/>
      <c r="L57" s="352"/>
      <c r="M57" s="352"/>
      <c r="N57" s="352"/>
      <c r="O57" s="352"/>
      <c r="P57" s="352"/>
      <c r="Q57" s="352"/>
      <c r="R57" s="352"/>
      <c r="S57" s="352"/>
      <c r="T57" s="352"/>
      <c r="U57" s="352"/>
      <c r="V57" s="352"/>
      <c r="W57" s="352"/>
      <c r="X57" s="352"/>
      <c r="Y57" s="352"/>
      <c r="Z57" s="352"/>
      <c r="AA57" s="352"/>
      <c r="AB57" s="352"/>
      <c r="AC57" s="352"/>
      <c r="AD57" s="352"/>
      <c r="AE57" s="352"/>
      <c r="AF57" s="352"/>
      <c r="AG57" s="352"/>
    </row>
    <row r="58" spans="1:33">
      <c r="B58" s="352"/>
      <c r="C58" s="352"/>
      <c r="D58" s="352"/>
      <c r="E58" s="352"/>
      <c r="F58" s="352"/>
      <c r="G58" s="352"/>
      <c r="H58" s="352"/>
      <c r="I58" s="352"/>
      <c r="J58" s="352"/>
      <c r="K58" s="352"/>
      <c r="L58" s="352"/>
      <c r="M58" s="352"/>
      <c r="N58" s="352"/>
      <c r="O58" s="352"/>
      <c r="P58" s="352"/>
      <c r="Q58" s="352"/>
      <c r="R58" s="352"/>
      <c r="S58" s="352"/>
      <c r="T58" s="352"/>
      <c r="U58" s="352"/>
      <c r="V58" s="352"/>
      <c r="W58" s="352"/>
      <c r="X58" s="352"/>
      <c r="Y58" s="352"/>
      <c r="Z58" s="352"/>
      <c r="AA58" s="352"/>
      <c r="AB58" s="352"/>
      <c r="AC58" s="352"/>
      <c r="AD58" s="352"/>
      <c r="AE58" s="352"/>
      <c r="AF58" s="352"/>
      <c r="AG58" s="352"/>
    </row>
    <row r="59" spans="1:33">
      <c r="B59" s="352"/>
      <c r="C59" s="352"/>
      <c r="D59" s="352"/>
      <c r="E59" s="352"/>
      <c r="F59" s="352"/>
      <c r="G59" s="352"/>
      <c r="H59" s="352"/>
      <c r="I59" s="352"/>
      <c r="J59" s="352"/>
      <c r="K59" s="352"/>
      <c r="L59" s="352"/>
      <c r="M59" s="352"/>
      <c r="N59" s="352"/>
      <c r="O59" s="352"/>
      <c r="P59" s="352"/>
      <c r="Q59" s="352"/>
      <c r="R59" s="352"/>
      <c r="S59" s="352"/>
      <c r="T59" s="352"/>
      <c r="U59" s="352"/>
      <c r="V59" s="352"/>
      <c r="W59" s="352"/>
      <c r="X59" s="352"/>
      <c r="Y59" s="352"/>
      <c r="Z59" s="352"/>
      <c r="AA59" s="352"/>
      <c r="AB59" s="352"/>
      <c r="AC59" s="352"/>
      <c r="AD59" s="352"/>
      <c r="AE59" s="352"/>
      <c r="AF59" s="352"/>
      <c r="AG59" s="352"/>
    </row>
    <row r="60" spans="1:33">
      <c r="B60" s="352"/>
      <c r="C60" s="352"/>
      <c r="D60" s="352"/>
      <c r="E60" s="352"/>
      <c r="F60" s="352"/>
      <c r="G60" s="352"/>
      <c r="H60" s="352"/>
      <c r="I60" s="352"/>
      <c r="J60" s="352"/>
      <c r="K60" s="352"/>
      <c r="L60" s="352"/>
      <c r="M60" s="352"/>
      <c r="N60" s="352"/>
      <c r="O60" s="352"/>
      <c r="P60" s="352"/>
      <c r="Q60" s="352"/>
      <c r="R60" s="352"/>
      <c r="S60" s="352"/>
      <c r="T60" s="352"/>
      <c r="U60" s="352"/>
      <c r="V60" s="352"/>
      <c r="W60" s="352"/>
      <c r="X60" s="352"/>
      <c r="Y60" s="352"/>
      <c r="Z60" s="352"/>
      <c r="AA60" s="352"/>
      <c r="AB60" s="352"/>
      <c r="AC60" s="352"/>
      <c r="AD60" s="352"/>
      <c r="AE60" s="352"/>
      <c r="AF60" s="352"/>
      <c r="AG60" s="352"/>
    </row>
    <row r="61" spans="1:33">
      <c r="B61" s="352"/>
      <c r="C61" s="352"/>
      <c r="D61" s="352"/>
      <c r="E61" s="352"/>
      <c r="F61" s="352"/>
      <c r="G61" s="352"/>
      <c r="H61" s="352"/>
      <c r="I61" s="352"/>
      <c r="J61" s="352"/>
      <c r="K61" s="352"/>
      <c r="L61" s="352"/>
      <c r="M61" s="352"/>
      <c r="N61" s="352"/>
      <c r="O61" s="352"/>
      <c r="P61" s="352"/>
      <c r="Q61" s="352"/>
      <c r="R61" s="352"/>
      <c r="S61" s="352"/>
      <c r="T61" s="352"/>
      <c r="U61" s="352"/>
      <c r="V61" s="352"/>
      <c r="W61" s="352"/>
      <c r="X61" s="352"/>
      <c r="Y61" s="352"/>
      <c r="Z61" s="352"/>
      <c r="AA61" s="352"/>
      <c r="AB61" s="352"/>
      <c r="AC61" s="352"/>
      <c r="AD61" s="352"/>
      <c r="AE61" s="352"/>
      <c r="AF61" s="352"/>
      <c r="AG61" s="352"/>
    </row>
    <row r="62" spans="1:33">
      <c r="B62" s="352"/>
      <c r="C62" s="352"/>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c r="AE62" s="352"/>
      <c r="AF62" s="352"/>
      <c r="AG62" s="352"/>
    </row>
    <row r="63" spans="1:33">
      <c r="B63" s="352"/>
      <c r="C63" s="352"/>
      <c r="D63" s="352"/>
      <c r="E63" s="352"/>
      <c r="F63" s="352"/>
      <c r="G63" s="352"/>
      <c r="H63" s="352"/>
      <c r="I63" s="352"/>
      <c r="J63" s="352"/>
      <c r="K63" s="352"/>
      <c r="L63" s="352"/>
      <c r="M63" s="352"/>
      <c r="N63" s="352"/>
      <c r="O63" s="352"/>
      <c r="P63" s="352"/>
      <c r="Q63" s="352"/>
      <c r="R63" s="352"/>
      <c r="S63" s="352"/>
      <c r="T63" s="352"/>
      <c r="U63" s="352"/>
      <c r="V63" s="352"/>
      <c r="W63" s="352"/>
      <c r="X63" s="352"/>
      <c r="Y63" s="352"/>
      <c r="Z63" s="352"/>
      <c r="AA63" s="352"/>
      <c r="AB63" s="352"/>
      <c r="AC63" s="352"/>
      <c r="AD63" s="352"/>
      <c r="AE63" s="352"/>
      <c r="AF63" s="352"/>
      <c r="AG63" s="352"/>
    </row>
    <row r="64" spans="1:33">
      <c r="B64" s="352"/>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52"/>
      <c r="AC64" s="352"/>
      <c r="AD64" s="352"/>
      <c r="AE64" s="352"/>
      <c r="AF64" s="352"/>
      <c r="AG64" s="352"/>
    </row>
    <row r="65" spans="2:33">
      <c r="B65" s="352"/>
      <c r="C65" s="352"/>
      <c r="D65" s="352"/>
      <c r="E65" s="352"/>
      <c r="F65" s="352"/>
      <c r="G65" s="352"/>
      <c r="H65" s="352"/>
      <c r="I65" s="352"/>
      <c r="J65" s="352"/>
      <c r="K65" s="352"/>
      <c r="L65" s="352"/>
      <c r="M65" s="352"/>
      <c r="N65" s="352"/>
      <c r="O65" s="352"/>
      <c r="P65" s="352"/>
      <c r="Q65" s="352"/>
      <c r="R65" s="352"/>
      <c r="S65" s="352"/>
      <c r="T65" s="352"/>
      <c r="U65" s="352"/>
      <c r="V65" s="352"/>
      <c r="W65" s="352"/>
      <c r="X65" s="352"/>
      <c r="Y65" s="352"/>
      <c r="Z65" s="352"/>
      <c r="AA65" s="352"/>
      <c r="AB65" s="352"/>
      <c r="AC65" s="352"/>
      <c r="AD65" s="352"/>
      <c r="AE65" s="352"/>
      <c r="AF65" s="352"/>
      <c r="AG65" s="352"/>
    </row>
    <row r="66" spans="2:33">
      <c r="B66" s="352"/>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c r="AE66" s="352"/>
      <c r="AF66" s="352"/>
      <c r="AG66" s="352"/>
    </row>
    <row r="67" spans="2:33">
      <c r="B67" s="352"/>
      <c r="C67" s="352"/>
      <c r="D67" s="352"/>
      <c r="E67" s="352"/>
      <c r="F67" s="352"/>
      <c r="G67" s="352"/>
      <c r="H67" s="352"/>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2"/>
      <c r="AG67" s="352"/>
    </row>
    <row r="68" spans="2:33">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row>
    <row r="69" spans="2:33">
      <c r="B69" s="352"/>
      <c r="C69" s="352"/>
      <c r="D69" s="352"/>
      <c r="E69" s="352"/>
      <c r="F69" s="352"/>
      <c r="G69" s="352"/>
      <c r="H69" s="352"/>
      <c r="I69" s="352"/>
      <c r="J69" s="352"/>
      <c r="K69" s="352"/>
      <c r="L69" s="352"/>
      <c r="M69" s="352"/>
      <c r="N69" s="352"/>
      <c r="O69" s="352"/>
      <c r="P69" s="352"/>
      <c r="Q69" s="352"/>
      <c r="R69" s="352"/>
      <c r="S69" s="352"/>
      <c r="T69" s="352"/>
      <c r="U69" s="352"/>
      <c r="V69" s="352"/>
      <c r="W69" s="352"/>
      <c r="X69" s="352"/>
      <c r="Y69" s="352"/>
      <c r="Z69" s="352"/>
      <c r="AA69" s="352"/>
      <c r="AB69" s="352"/>
      <c r="AC69" s="352"/>
      <c r="AD69" s="352"/>
      <c r="AE69" s="352"/>
      <c r="AF69" s="352"/>
      <c r="AG69" s="352"/>
    </row>
    <row r="70" spans="2:33">
      <c r="B70" s="352"/>
      <c r="C70" s="352"/>
      <c r="D70" s="352"/>
      <c r="E70" s="352"/>
      <c r="F70" s="352"/>
      <c r="G70" s="352"/>
      <c r="H70" s="352"/>
      <c r="I70" s="352"/>
      <c r="J70" s="352"/>
      <c r="K70" s="352"/>
      <c r="L70" s="352"/>
      <c r="M70" s="352"/>
      <c r="N70" s="352"/>
      <c r="O70" s="352"/>
      <c r="P70" s="352"/>
      <c r="Q70" s="352"/>
      <c r="R70" s="352"/>
      <c r="S70" s="352"/>
      <c r="T70" s="352"/>
      <c r="U70" s="352"/>
      <c r="V70" s="352"/>
      <c r="W70" s="352"/>
      <c r="X70" s="352"/>
      <c r="Y70" s="352"/>
      <c r="Z70" s="352"/>
      <c r="AA70" s="352"/>
      <c r="AB70" s="352"/>
      <c r="AC70" s="352"/>
      <c r="AD70" s="352"/>
      <c r="AE70" s="352"/>
      <c r="AF70" s="352"/>
      <c r="AG70" s="352"/>
    </row>
    <row r="71" spans="2:33">
      <c r="B71" s="352"/>
      <c r="C71" s="352"/>
      <c r="D71" s="352"/>
      <c r="E71" s="352"/>
      <c r="F71" s="352"/>
      <c r="G71" s="352"/>
      <c r="H71" s="352"/>
      <c r="I71" s="352"/>
      <c r="J71" s="352"/>
      <c r="K71" s="352"/>
      <c r="L71" s="352"/>
      <c r="M71" s="352"/>
      <c r="N71" s="352"/>
      <c r="O71" s="352"/>
      <c r="P71" s="352"/>
      <c r="Q71" s="352"/>
      <c r="R71" s="352"/>
      <c r="S71" s="352"/>
      <c r="T71" s="352"/>
      <c r="U71" s="352"/>
      <c r="V71" s="352"/>
      <c r="W71" s="352"/>
      <c r="X71" s="352"/>
      <c r="Y71" s="352"/>
      <c r="Z71" s="352"/>
      <c r="AA71" s="352"/>
      <c r="AB71" s="352"/>
      <c r="AC71" s="352"/>
      <c r="AD71" s="352"/>
      <c r="AE71" s="352"/>
      <c r="AF71" s="352"/>
      <c r="AG71" s="352"/>
    </row>
    <row r="72" spans="2:33">
      <c r="B72" s="352"/>
      <c r="C72" s="352"/>
      <c r="D72" s="352"/>
      <c r="E72" s="352"/>
      <c r="F72" s="352"/>
      <c r="G72" s="352"/>
      <c r="H72" s="352"/>
      <c r="I72" s="352"/>
      <c r="J72" s="352"/>
      <c r="K72" s="352"/>
      <c r="L72" s="352"/>
      <c r="M72" s="352"/>
      <c r="N72" s="352"/>
      <c r="O72" s="352"/>
      <c r="P72" s="352"/>
      <c r="Q72" s="352"/>
      <c r="R72" s="352"/>
      <c r="S72" s="352"/>
      <c r="T72" s="352"/>
      <c r="U72" s="352"/>
      <c r="V72" s="352"/>
      <c r="W72" s="352"/>
      <c r="X72" s="352"/>
      <c r="Y72" s="352"/>
      <c r="Z72" s="352"/>
      <c r="AA72" s="352"/>
      <c r="AB72" s="352"/>
      <c r="AC72" s="352"/>
      <c r="AD72" s="352"/>
      <c r="AE72" s="352"/>
      <c r="AF72" s="352"/>
      <c r="AG72" s="352"/>
    </row>
    <row r="73" spans="2:33">
      <c r="B73" s="352"/>
      <c r="C73" s="352"/>
      <c r="D73" s="352"/>
      <c r="E73" s="352"/>
      <c r="F73" s="352"/>
      <c r="G73" s="352"/>
      <c r="H73" s="352"/>
      <c r="I73" s="352"/>
      <c r="J73" s="352"/>
      <c r="K73" s="352"/>
      <c r="L73" s="352"/>
      <c r="M73" s="352"/>
      <c r="N73" s="352"/>
      <c r="O73" s="352"/>
      <c r="P73" s="352"/>
      <c r="Q73" s="352"/>
      <c r="R73" s="352"/>
      <c r="S73" s="352"/>
      <c r="T73" s="352"/>
      <c r="U73" s="352"/>
      <c r="V73" s="352"/>
      <c r="W73" s="352"/>
      <c r="X73" s="352"/>
      <c r="Y73" s="352"/>
      <c r="Z73" s="352"/>
      <c r="AA73" s="352"/>
      <c r="AB73" s="352"/>
      <c r="AC73" s="352"/>
      <c r="AD73" s="352"/>
      <c r="AE73" s="352"/>
      <c r="AF73" s="352"/>
      <c r="AG73" s="352"/>
    </row>
    <row r="74" spans="2:33">
      <c r="B74" s="352"/>
      <c r="C74" s="352"/>
      <c r="D74" s="352"/>
      <c r="E74" s="352"/>
      <c r="F74" s="352"/>
      <c r="G74" s="352"/>
      <c r="H74" s="352"/>
      <c r="I74" s="352"/>
      <c r="J74" s="352"/>
      <c r="K74" s="352"/>
      <c r="L74" s="352"/>
      <c r="M74" s="352"/>
      <c r="N74" s="352"/>
      <c r="O74" s="352"/>
      <c r="P74" s="352"/>
      <c r="Q74" s="352"/>
      <c r="R74" s="352"/>
      <c r="S74" s="352"/>
      <c r="T74" s="352"/>
      <c r="U74" s="352"/>
      <c r="V74" s="352"/>
      <c r="W74" s="352"/>
      <c r="X74" s="352"/>
      <c r="Y74" s="352"/>
      <c r="Z74" s="352"/>
      <c r="AA74" s="352"/>
      <c r="AB74" s="352"/>
      <c r="AC74" s="352"/>
      <c r="AD74" s="352"/>
      <c r="AE74" s="352"/>
      <c r="AF74" s="352"/>
      <c r="AG74" s="352"/>
    </row>
    <row r="75" spans="2:33">
      <c r="B75" s="352"/>
      <c r="C75" s="352"/>
      <c r="D75" s="352"/>
      <c r="E75" s="352"/>
      <c r="F75" s="352"/>
      <c r="G75" s="352"/>
      <c r="H75" s="352"/>
      <c r="I75" s="352"/>
      <c r="J75" s="352"/>
      <c r="K75" s="352"/>
      <c r="L75" s="352"/>
      <c r="M75" s="352"/>
      <c r="N75" s="352"/>
      <c r="O75" s="352"/>
      <c r="P75" s="352"/>
      <c r="Q75" s="352"/>
      <c r="R75" s="352"/>
      <c r="S75" s="352"/>
      <c r="T75" s="352"/>
      <c r="U75" s="352"/>
      <c r="V75" s="352"/>
      <c r="W75" s="352"/>
      <c r="X75" s="352"/>
      <c r="Y75" s="352"/>
      <c r="Z75" s="352"/>
      <c r="AA75" s="352"/>
      <c r="AB75" s="352"/>
      <c r="AC75" s="352"/>
      <c r="AD75" s="352"/>
      <c r="AE75" s="352"/>
      <c r="AF75" s="352"/>
      <c r="AG75" s="352"/>
    </row>
    <row r="76" spans="2:33">
      <c r="B76" s="352"/>
      <c r="C76" s="352"/>
      <c r="D76" s="352"/>
      <c r="E76" s="352"/>
      <c r="F76" s="352"/>
      <c r="G76" s="352"/>
      <c r="H76" s="352"/>
      <c r="I76" s="352"/>
      <c r="J76" s="352"/>
      <c r="K76" s="352"/>
      <c r="L76" s="352"/>
      <c r="M76" s="352"/>
      <c r="N76" s="352"/>
      <c r="O76" s="352"/>
      <c r="P76" s="352"/>
      <c r="Q76" s="352"/>
      <c r="R76" s="352"/>
      <c r="S76" s="352"/>
      <c r="T76" s="352"/>
      <c r="U76" s="352"/>
      <c r="V76" s="352"/>
      <c r="W76" s="352"/>
      <c r="X76" s="352"/>
      <c r="Y76" s="352"/>
      <c r="Z76" s="352"/>
      <c r="AA76" s="352"/>
      <c r="AB76" s="352"/>
      <c r="AC76" s="352"/>
      <c r="AD76" s="352"/>
      <c r="AE76" s="352"/>
      <c r="AF76" s="352"/>
      <c r="AG76" s="352"/>
    </row>
  </sheetData>
  <phoneticPr fontId="18"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H61"/>
  <sheetViews>
    <sheetView zoomScaleNormal="100" workbookViewId="0">
      <selection activeCell="B7" sqref="B7:AG7"/>
    </sheetView>
  </sheetViews>
  <sheetFormatPr baseColWidth="10" defaultColWidth="27" defaultRowHeight="12"/>
  <cols>
    <col min="1" max="1" width="27" style="154" customWidth="1"/>
    <col min="2" max="22" width="7.28515625" style="8" customWidth="1"/>
    <col min="23" max="23" width="9.5703125" style="8" customWidth="1"/>
    <col min="24" max="25" width="7.28515625" style="8" customWidth="1"/>
    <col min="26" max="27" width="9.85546875" style="8" customWidth="1"/>
    <col min="28" max="29" width="7.28515625" style="8" customWidth="1"/>
    <col min="30" max="31" width="9.85546875" style="8" customWidth="1"/>
    <col min="32" max="33" width="7.28515625" style="8" customWidth="1"/>
    <col min="34" max="34" width="10.7109375" style="8" customWidth="1"/>
    <col min="35" max="35" width="13.28515625" style="154" customWidth="1"/>
    <col min="36" max="16384" width="27" style="154"/>
  </cols>
  <sheetData>
    <row r="1" spans="1:34" s="277" customFormat="1">
      <c r="A1" s="1504" t="s">
        <v>1276</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row>
    <row r="2" spans="1:34" s="277" customFormat="1">
      <c r="A2" s="1504" t="s">
        <v>942</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row>
    <row r="3" spans="1:34" s="277" customFormat="1">
      <c r="A3" s="1504" t="s">
        <v>814</v>
      </c>
      <c r="B3" s="1504"/>
      <c r="C3" s="1504"/>
      <c r="D3" s="1504"/>
      <c r="E3" s="1504"/>
      <c r="F3" s="1504"/>
      <c r="G3" s="1504"/>
      <c r="H3" s="1504"/>
      <c r="I3" s="1504"/>
      <c r="J3" s="1504"/>
      <c r="K3" s="1504"/>
      <c r="L3" s="1504"/>
      <c r="M3" s="1504"/>
      <c r="N3" s="1504"/>
      <c r="O3" s="1504"/>
      <c r="P3" s="1504"/>
      <c r="Q3" s="1504"/>
      <c r="R3" s="1504"/>
      <c r="S3" s="1504"/>
      <c r="T3" s="1504"/>
      <c r="U3" s="1504"/>
      <c r="V3" s="1504"/>
      <c r="W3" s="1504"/>
      <c r="X3" s="1504"/>
      <c r="Y3" s="1504"/>
      <c r="Z3" s="1504"/>
      <c r="AA3" s="1504"/>
      <c r="AB3" s="1504"/>
      <c r="AC3" s="1504"/>
      <c r="AD3" s="1504"/>
    </row>
    <row r="6" spans="1:34">
      <c r="A6" s="278" t="s">
        <v>899</v>
      </c>
    </row>
    <row r="7" spans="1:34" ht="18" customHeight="1">
      <c r="A7" s="961" t="s">
        <v>900</v>
      </c>
      <c r="B7" s="1104" t="s">
        <v>901</v>
      </c>
      <c r="C7" s="1105"/>
      <c r="D7" s="1259"/>
      <c r="E7" s="1486"/>
      <c r="F7" s="1104" t="s">
        <v>820</v>
      </c>
      <c r="G7" s="1105"/>
      <c r="H7" s="1259"/>
      <c r="I7" s="1486"/>
      <c r="J7" s="1104" t="s">
        <v>902</v>
      </c>
      <c r="K7" s="1105"/>
      <c r="L7" s="1259"/>
      <c r="M7" s="1486"/>
      <c r="N7" s="1104" t="s">
        <v>1094</v>
      </c>
      <c r="O7" s="1105"/>
      <c r="P7" s="1259"/>
      <c r="Q7" s="1486"/>
      <c r="R7" s="1104" t="s">
        <v>1062</v>
      </c>
      <c r="S7" s="1105"/>
      <c r="T7" s="1259"/>
      <c r="U7" s="1486"/>
      <c r="V7" s="1104" t="s">
        <v>1300</v>
      </c>
      <c r="W7" s="1105"/>
      <c r="X7" s="1259"/>
      <c r="Y7" s="1486"/>
      <c r="Z7" s="1104" t="s">
        <v>1408</v>
      </c>
      <c r="AA7" s="1105"/>
      <c r="AB7" s="1259"/>
      <c r="AC7" s="1486"/>
      <c r="AD7" s="1104" t="s">
        <v>594</v>
      </c>
      <c r="AE7" s="1105"/>
      <c r="AF7" s="1259"/>
      <c r="AG7" s="1486"/>
    </row>
    <row r="8" spans="1:34" ht="18" customHeight="1">
      <c r="A8" s="1101"/>
      <c r="B8" s="1110">
        <f>+'52'!B8</f>
        <v>2020</v>
      </c>
      <c r="C8" s="1110">
        <f>+'52'!C8</f>
        <v>2021</v>
      </c>
      <c r="D8" s="1255">
        <f>+'52'!D8</f>
        <v>2022</v>
      </c>
      <c r="E8" s="1256">
        <f>+'52'!E8</f>
        <v>2023</v>
      </c>
      <c r="F8" s="1254">
        <f>+'52'!F8</f>
        <v>2020</v>
      </c>
      <c r="G8" s="1255">
        <f>+'52'!G8</f>
        <v>2021</v>
      </c>
      <c r="H8" s="1255">
        <f>+'52'!H8</f>
        <v>2022</v>
      </c>
      <c r="I8" s="1256">
        <f>+'52'!I8</f>
        <v>2023</v>
      </c>
      <c r="J8" s="1110">
        <f>+'52'!J8</f>
        <v>2020</v>
      </c>
      <c r="K8" s="1110">
        <f>+'52'!K8</f>
        <v>2021</v>
      </c>
      <c r="L8" s="1255">
        <f>+'52'!L8</f>
        <v>2022</v>
      </c>
      <c r="M8" s="1256">
        <f>+'52'!M8</f>
        <v>2023</v>
      </c>
      <c r="N8" s="1110">
        <f>+'52'!N8</f>
        <v>2020</v>
      </c>
      <c r="O8" s="1255">
        <f>+'52'!O8</f>
        <v>2021</v>
      </c>
      <c r="P8" s="1255">
        <f>+'52'!P8</f>
        <v>2022</v>
      </c>
      <c r="Q8" s="1256">
        <f>+'52'!Q8</f>
        <v>2023</v>
      </c>
      <c r="R8" s="1110">
        <f>+N8</f>
        <v>2020</v>
      </c>
      <c r="S8" s="1134">
        <f>+O8</f>
        <v>2021</v>
      </c>
      <c r="T8" s="1255">
        <f>+P8</f>
        <v>2022</v>
      </c>
      <c r="U8" s="1256">
        <f>+Q8</f>
        <v>2023</v>
      </c>
      <c r="V8" s="1110">
        <f>+N8</f>
        <v>2020</v>
      </c>
      <c r="W8" s="1255">
        <f t="shared" ref="W8:AC8" si="0">+S8</f>
        <v>2021</v>
      </c>
      <c r="X8" s="1255">
        <f t="shared" si="0"/>
        <v>2022</v>
      </c>
      <c r="Y8" s="1256">
        <f t="shared" si="0"/>
        <v>2023</v>
      </c>
      <c r="Z8" s="1255">
        <f t="shared" si="0"/>
        <v>2020</v>
      </c>
      <c r="AA8" s="1255">
        <f t="shared" si="0"/>
        <v>2021</v>
      </c>
      <c r="AB8" s="1255">
        <f t="shared" si="0"/>
        <v>2022</v>
      </c>
      <c r="AC8" s="1256">
        <f t="shared" si="0"/>
        <v>2023</v>
      </c>
      <c r="AD8" s="1255">
        <f>+'52'!AD8</f>
        <v>2020</v>
      </c>
      <c r="AE8" s="1255">
        <f>+'52'!AE8</f>
        <v>2021</v>
      </c>
      <c r="AF8" s="1255">
        <f>+'52'!AF8</f>
        <v>2022</v>
      </c>
      <c r="AG8" s="1256">
        <f>+'52'!AG8</f>
        <v>2023</v>
      </c>
    </row>
    <row r="9" spans="1:34" ht="18" customHeight="1">
      <c r="A9" s="241" t="s">
        <v>903</v>
      </c>
      <c r="B9" s="359">
        <f>+'49'!B9+'50'!B9+'51'!B9+'52'!B9</f>
        <v>3511</v>
      </c>
      <c r="C9" s="359">
        <f>+'49'!C9+'50'!C9+'51'!C9+'52'!C9</f>
        <v>3080</v>
      </c>
      <c r="D9" s="352">
        <f>+'49'!D9+'50'!D9+'51'!D9+'52'!D9</f>
        <v>4300</v>
      </c>
      <c r="E9" s="340">
        <f>+'49'!E9+'50'!E9+'51'!E9+'52'!E9</f>
        <v>4742</v>
      </c>
      <c r="F9" s="353">
        <f>+'49'!F9+'50'!F9+'51'!F9+'52'!F9</f>
        <v>288</v>
      </c>
      <c r="G9" s="352">
        <f>+'49'!G9+'50'!G9+'51'!G9+'52'!G9</f>
        <v>445</v>
      </c>
      <c r="H9" s="352">
        <f>+'49'!H9+'50'!H9+'51'!H9+'52'!H9</f>
        <v>644</v>
      </c>
      <c r="I9" s="340">
        <f>+'49'!I9+'50'!I9+'51'!I9+'52'!I9</f>
        <v>854</v>
      </c>
      <c r="J9" s="359">
        <f>+'49'!J9+'50'!J9+'51'!J9+'52'!J9</f>
        <v>0</v>
      </c>
      <c r="K9" s="359">
        <f>+'49'!K9+'50'!K9+'51'!K9+'52'!K9</f>
        <v>0</v>
      </c>
      <c r="L9" s="352">
        <f>+'49'!L9+'50'!L9+'51'!L9+'52'!L9</f>
        <v>0</v>
      </c>
      <c r="M9" s="340">
        <f>+'49'!M9+'50'!M9+'51'!M9+'52'!M9</f>
        <v>0</v>
      </c>
      <c r="N9" s="359">
        <f>+'49'!N9+'50'!N9+'51'!N9+'52'!N9</f>
        <v>0</v>
      </c>
      <c r="O9" s="352">
        <f>+'49'!O9+'50'!O9+'51'!O9+'52'!O9</f>
        <v>0</v>
      </c>
      <c r="P9" s="352">
        <f>+'49'!O9+'50'!O9+'51'!O9+'52'!O9</f>
        <v>0</v>
      </c>
      <c r="Q9" s="340">
        <f>+'49'!P9+'50'!P9+'51'!P9+'52'!P9</f>
        <v>0</v>
      </c>
      <c r="R9" s="359">
        <f>+'49'!R9+'50'!R9+'51'!R9+'52'!R9</f>
        <v>0</v>
      </c>
      <c r="S9" s="326">
        <f>+'49'!S9+'50'!S9+'51'!S9+'52'!S9</f>
        <v>0</v>
      </c>
      <c r="T9" s="352">
        <f>+'49'!T9+'50'!T9+'51'!T9+'52'!T9</f>
        <v>0</v>
      </c>
      <c r="U9" s="340">
        <f>+'49'!U9+'50'!U9+'51'!U9+'52'!U9</f>
        <v>0</v>
      </c>
      <c r="V9" s="359"/>
      <c r="W9" s="326"/>
      <c r="X9" s="352"/>
      <c r="Y9" s="340"/>
      <c r="Z9" s="255"/>
      <c r="AA9" s="255"/>
      <c r="AB9" s="352"/>
      <c r="AC9" s="340"/>
      <c r="AD9" s="255">
        <f>+N9+J9+F9+B9+R9+V9+Z9</f>
        <v>3799</v>
      </c>
      <c r="AE9" s="255">
        <f t="shared" ref="AE9:AG9" si="1">+O9+K9+G9+C9+S9+W9+AA9</f>
        <v>3525</v>
      </c>
      <c r="AF9" s="352">
        <f t="shared" si="1"/>
        <v>4944</v>
      </c>
      <c r="AG9" s="340">
        <f t="shared" si="1"/>
        <v>5596</v>
      </c>
      <c r="AH9" s="763"/>
    </row>
    <row r="10" spans="1:34" ht="18" customHeight="1">
      <c r="A10" s="67" t="s">
        <v>904</v>
      </c>
      <c r="B10" s="352">
        <f>+'49'!B10+'50'!B10+'51'!B10+'52'!B10</f>
        <v>7545</v>
      </c>
      <c r="C10" s="352">
        <f>+'49'!C10+'50'!C10+'51'!C10+'52'!C10</f>
        <v>9384</v>
      </c>
      <c r="D10" s="352">
        <f>+'49'!D10+'50'!D10+'51'!D10+'52'!D10</f>
        <v>9922</v>
      </c>
      <c r="E10" s="340">
        <f>+'49'!E10+'50'!E10+'51'!E10+'52'!E10</f>
        <v>11913</v>
      </c>
      <c r="F10" s="353">
        <f>+'49'!F10+'50'!F10+'51'!F10+'52'!F10</f>
        <v>4660</v>
      </c>
      <c r="G10" s="352">
        <f>+'49'!G10+'50'!G10+'51'!G10+'52'!G10</f>
        <v>6230</v>
      </c>
      <c r="H10" s="352">
        <f>+'49'!H10+'50'!H10+'51'!H10+'52'!H10</f>
        <v>10386</v>
      </c>
      <c r="I10" s="340">
        <f>+'49'!I10+'50'!I10+'51'!I10+'52'!I10</f>
        <v>11607</v>
      </c>
      <c r="J10" s="352">
        <f>+'49'!J10+'50'!J10+'51'!J10+'52'!J10</f>
        <v>0</v>
      </c>
      <c r="K10" s="352">
        <f>+'49'!K10+'50'!K10+'51'!K10+'52'!K10</f>
        <v>0</v>
      </c>
      <c r="L10" s="352">
        <f>+'49'!L10+'50'!L10+'51'!L10+'52'!L10</f>
        <v>0</v>
      </c>
      <c r="M10" s="340">
        <f>+'49'!M10+'50'!M10+'51'!M10+'52'!M10</f>
        <v>0</v>
      </c>
      <c r="N10" s="352">
        <f>+'49'!N10+'50'!N10+'51'!N10+'52'!N10</f>
        <v>0</v>
      </c>
      <c r="O10" s="352">
        <f>+'49'!O10+'50'!O10+'51'!O10+'52'!O10</f>
        <v>0</v>
      </c>
      <c r="P10" s="352">
        <f>+'49'!O10+'50'!O10+'51'!O10+'52'!O10</f>
        <v>0</v>
      </c>
      <c r="Q10" s="340">
        <f>+'49'!P10+'50'!P10+'51'!P10+'52'!P10</f>
        <v>0</v>
      </c>
      <c r="R10" s="352">
        <f>+'49'!R10+'50'!R10+'51'!R10+'52'!R10</f>
        <v>0</v>
      </c>
      <c r="S10" s="255">
        <f>+'49'!S10+'50'!S10+'51'!S10+'52'!S10</f>
        <v>0</v>
      </c>
      <c r="T10" s="352">
        <f>+'49'!T10+'50'!T10+'51'!T10+'52'!T10</f>
        <v>0</v>
      </c>
      <c r="U10" s="340">
        <f>+'49'!U10+'50'!U10+'51'!U10+'52'!U10</f>
        <v>0</v>
      </c>
      <c r="V10" s="352"/>
      <c r="W10" s="255"/>
      <c r="X10" s="352"/>
      <c r="Y10" s="340"/>
      <c r="Z10" s="255"/>
      <c r="AA10" s="255"/>
      <c r="AB10" s="352"/>
      <c r="AC10" s="340"/>
      <c r="AD10" s="255">
        <f t="shared" ref="AD10:AD38" si="2">+N10+J10+F10+B10+R10+V10+Z10</f>
        <v>12205</v>
      </c>
      <c r="AE10" s="255">
        <f t="shared" ref="AE10:AE38" si="3">+O10+K10+G10+C10+S10+W10+AA10</f>
        <v>15614</v>
      </c>
      <c r="AF10" s="352">
        <f t="shared" ref="AF10:AF38" si="4">+P10+L10+H10+D10+T10+X10+AB10</f>
        <v>20308</v>
      </c>
      <c r="AG10" s="340">
        <f t="shared" ref="AG10:AG37" si="5">+Q10+M10+I10+E10+U10+Y10+AC10</f>
        <v>23520</v>
      </c>
      <c r="AH10" s="763"/>
    </row>
    <row r="11" spans="1:34" ht="18" customHeight="1">
      <c r="A11" s="67" t="s">
        <v>905</v>
      </c>
      <c r="B11" s="352">
        <f>+'49'!B11+'50'!B11+'51'!B11+'52'!B11</f>
        <v>659</v>
      </c>
      <c r="C11" s="352">
        <f>+'49'!C11+'50'!C11+'51'!C11+'52'!C11</f>
        <v>1137</v>
      </c>
      <c r="D11" s="352">
        <f>+'49'!D11+'50'!D11+'51'!D11+'52'!D11</f>
        <v>1212</v>
      </c>
      <c r="E11" s="340">
        <f>+'49'!E11+'50'!E11+'51'!E11+'52'!E11</f>
        <v>1556</v>
      </c>
      <c r="F11" s="353">
        <f>+'49'!F11+'50'!F11+'51'!F11+'52'!F11</f>
        <v>0</v>
      </c>
      <c r="G11" s="352">
        <f>+'49'!G11+'50'!G11+'51'!G11+'52'!G11</f>
        <v>211</v>
      </c>
      <c r="H11" s="352">
        <f>+'49'!H11+'50'!H11+'51'!H11+'52'!H11</f>
        <v>327</v>
      </c>
      <c r="I11" s="340">
        <f>+'49'!I11+'50'!I11+'51'!I11+'52'!I11</f>
        <v>478</v>
      </c>
      <c r="J11" s="352">
        <f>+'49'!J11+'50'!J11+'51'!J11+'52'!J11</f>
        <v>0</v>
      </c>
      <c r="K11" s="352">
        <f>+'49'!K11+'50'!K11+'51'!K11+'52'!K11</f>
        <v>0</v>
      </c>
      <c r="L11" s="352">
        <f>+'49'!L11+'50'!L11+'51'!L11+'52'!L11</f>
        <v>0</v>
      </c>
      <c r="M11" s="340">
        <f>+'49'!M11+'50'!M11+'51'!M11+'52'!M11</f>
        <v>0</v>
      </c>
      <c r="N11" s="352">
        <f>+'49'!N11+'50'!N11+'51'!N11+'52'!N11</f>
        <v>0</v>
      </c>
      <c r="O11" s="352">
        <f>+'49'!O11+'50'!O11+'51'!O11+'52'!O11</f>
        <v>0</v>
      </c>
      <c r="P11" s="352">
        <f>+'49'!O11+'50'!O11+'51'!O11+'52'!O11</f>
        <v>0</v>
      </c>
      <c r="Q11" s="340">
        <f>+'49'!P11+'50'!P11+'51'!P11+'52'!P11</f>
        <v>0</v>
      </c>
      <c r="R11" s="352">
        <f>+'49'!R11+'50'!R11+'51'!R11+'52'!R11</f>
        <v>0</v>
      </c>
      <c r="S11" s="255">
        <f>+'49'!S11+'50'!S11+'51'!S11+'52'!S11</f>
        <v>0</v>
      </c>
      <c r="T11" s="352">
        <f>+'49'!T11+'50'!T11+'51'!T11+'52'!T11</f>
        <v>0</v>
      </c>
      <c r="U11" s="340">
        <f>+'49'!U11+'50'!U11+'51'!U11+'52'!U11</f>
        <v>0</v>
      </c>
      <c r="V11" s="352"/>
      <c r="W11" s="255"/>
      <c r="X11" s="352"/>
      <c r="Y11" s="340"/>
      <c r="Z11" s="255"/>
      <c r="AA11" s="255"/>
      <c r="AB11" s="352"/>
      <c r="AC11" s="340"/>
      <c r="AD11" s="255">
        <f t="shared" si="2"/>
        <v>659</v>
      </c>
      <c r="AE11" s="255">
        <f t="shared" si="3"/>
        <v>1348</v>
      </c>
      <c r="AF11" s="352">
        <f t="shared" si="4"/>
        <v>1539</v>
      </c>
      <c r="AG11" s="340">
        <f t="shared" si="5"/>
        <v>2034</v>
      </c>
      <c r="AH11" s="763"/>
    </row>
    <row r="12" spans="1:34" ht="18" customHeight="1">
      <c r="A12" s="67" t="s">
        <v>906</v>
      </c>
      <c r="B12" s="352">
        <f>+'49'!B12+'50'!B12+'51'!B12+'52'!B12</f>
        <v>0</v>
      </c>
      <c r="C12" s="352">
        <f>+'49'!C12+'50'!C12+'51'!C12+'52'!C12</f>
        <v>0</v>
      </c>
      <c r="D12" s="352">
        <f>+'49'!D12+'50'!D12+'51'!D12+'52'!D12</f>
        <v>0</v>
      </c>
      <c r="E12" s="340">
        <f>+'49'!E12+'50'!E12+'51'!E12+'52'!E12</f>
        <v>0</v>
      </c>
      <c r="F12" s="353">
        <f>+'49'!F12+'50'!F12+'51'!F12+'52'!F12</f>
        <v>1082</v>
      </c>
      <c r="G12" s="352">
        <f>+'49'!G12+'50'!G12+'51'!G12+'52'!G12</f>
        <v>1335</v>
      </c>
      <c r="H12" s="352">
        <f>+'49'!H12+'50'!H12+'51'!H12+'52'!H12</f>
        <v>1498</v>
      </c>
      <c r="I12" s="340">
        <f>+'49'!I12+'50'!I12+'51'!I12+'52'!I12</f>
        <v>1744</v>
      </c>
      <c r="J12" s="352">
        <f>+'49'!J12+'50'!J12+'51'!J12+'52'!J12</f>
        <v>0</v>
      </c>
      <c r="K12" s="352">
        <f>+'49'!K12+'50'!K12+'51'!K12+'52'!K12</f>
        <v>0</v>
      </c>
      <c r="L12" s="352">
        <f>+'49'!L12+'50'!L12+'51'!L12+'52'!L12</f>
        <v>0</v>
      </c>
      <c r="M12" s="340">
        <f>+'49'!M12+'50'!M12+'51'!M12+'52'!M12</f>
        <v>0</v>
      </c>
      <c r="N12" s="352">
        <f>+'49'!N12+'50'!N12+'51'!N12+'52'!N12</f>
        <v>0</v>
      </c>
      <c r="O12" s="352">
        <f>+'49'!O12+'50'!O12+'51'!O12+'52'!O12</f>
        <v>0</v>
      </c>
      <c r="P12" s="352">
        <f>+'49'!O12+'50'!O12+'51'!O12+'52'!O12</f>
        <v>0</v>
      </c>
      <c r="Q12" s="340">
        <f>+'49'!P12+'50'!P12+'51'!P12+'52'!P12</f>
        <v>0</v>
      </c>
      <c r="R12" s="352">
        <f>+'49'!R12+'50'!R12+'51'!R12+'52'!R12</f>
        <v>0</v>
      </c>
      <c r="S12" s="255">
        <f>+'49'!S12+'50'!S12+'51'!S12+'52'!S12</f>
        <v>0</v>
      </c>
      <c r="T12" s="352">
        <f>+'49'!T12+'50'!T12+'51'!T12+'52'!T12</f>
        <v>0</v>
      </c>
      <c r="U12" s="340">
        <f>+'49'!U12+'50'!U12+'51'!U12+'52'!U12</f>
        <v>0</v>
      </c>
      <c r="V12" s="352"/>
      <c r="W12" s="255"/>
      <c r="X12" s="352"/>
      <c r="Y12" s="340"/>
      <c r="Z12" s="255"/>
      <c r="AA12" s="255"/>
      <c r="AB12" s="352"/>
      <c r="AC12" s="340"/>
      <c r="AD12" s="255">
        <f t="shared" si="2"/>
        <v>1082</v>
      </c>
      <c r="AE12" s="255">
        <f t="shared" si="3"/>
        <v>1335</v>
      </c>
      <c r="AF12" s="352">
        <f t="shared" si="4"/>
        <v>1498</v>
      </c>
      <c r="AG12" s="340">
        <f t="shared" si="5"/>
        <v>1744</v>
      </c>
      <c r="AH12" s="763"/>
    </row>
    <row r="13" spans="1:34" ht="18" customHeight="1">
      <c r="A13" s="67" t="s">
        <v>939</v>
      </c>
      <c r="B13" s="352">
        <f>+'49'!B13+'50'!B13+'51'!B13+'52'!B13</f>
        <v>1140</v>
      </c>
      <c r="C13" s="352">
        <f>+'49'!C13+'50'!C13+'51'!C13+'52'!C13</f>
        <v>2074</v>
      </c>
      <c r="D13" s="352">
        <f>+'49'!D13+'50'!D13+'51'!D13+'52'!D13</f>
        <v>2633</v>
      </c>
      <c r="E13" s="340">
        <f>+'49'!E13+'50'!E13+'51'!E13+'52'!E13</f>
        <v>3229</v>
      </c>
      <c r="F13" s="353">
        <f>+'49'!F13+'50'!F13+'51'!F13+'52'!F13</f>
        <v>1272</v>
      </c>
      <c r="G13" s="352">
        <f>+'49'!G13+'50'!G13+'51'!G13+'52'!G13</f>
        <v>1115</v>
      </c>
      <c r="H13" s="352">
        <f>+'49'!H13+'50'!H13+'51'!H13+'52'!H13</f>
        <v>2536</v>
      </c>
      <c r="I13" s="340">
        <f>+'49'!I13+'50'!I13+'51'!I13+'52'!I13</f>
        <v>4210</v>
      </c>
      <c r="J13" s="352">
        <f>+'49'!J13+'50'!J13+'51'!J13+'52'!J13</f>
        <v>0</v>
      </c>
      <c r="K13" s="352">
        <f>+'49'!K13+'50'!K13+'51'!K13+'52'!K13</f>
        <v>0</v>
      </c>
      <c r="L13" s="352">
        <f>+'49'!L13+'50'!L13+'51'!L13+'52'!L13</f>
        <v>0</v>
      </c>
      <c r="M13" s="340">
        <f>+'49'!M13+'50'!M13+'51'!M13+'52'!M13</f>
        <v>0</v>
      </c>
      <c r="N13" s="352">
        <f>+'49'!N13+'50'!N13+'51'!N13+'52'!N13</f>
        <v>0</v>
      </c>
      <c r="O13" s="352">
        <f>+'49'!O13+'50'!O13+'51'!O13+'52'!O13</f>
        <v>0</v>
      </c>
      <c r="P13" s="352">
        <f>+'49'!O13+'50'!O13+'51'!O13+'52'!O13</f>
        <v>0</v>
      </c>
      <c r="Q13" s="340">
        <f>+'49'!P13+'50'!P13+'51'!P13+'52'!P13</f>
        <v>0</v>
      </c>
      <c r="R13" s="352">
        <f>+'49'!R13+'50'!R13+'51'!R13+'52'!R13</f>
        <v>0</v>
      </c>
      <c r="S13" s="255">
        <f>+'49'!S13+'50'!S13+'51'!S13+'52'!S13</f>
        <v>0</v>
      </c>
      <c r="T13" s="352">
        <f>+'49'!T13+'50'!T13+'51'!T13+'52'!T13</f>
        <v>0</v>
      </c>
      <c r="U13" s="340">
        <f>+'49'!U13+'50'!U13+'51'!U13+'52'!U13</f>
        <v>0</v>
      </c>
      <c r="V13" s="352"/>
      <c r="W13" s="255"/>
      <c r="X13" s="352"/>
      <c r="Y13" s="340"/>
      <c r="Z13" s="255"/>
      <c r="AA13" s="255"/>
      <c r="AB13" s="352"/>
      <c r="AC13" s="340"/>
      <c r="AD13" s="255">
        <f t="shared" si="2"/>
        <v>2412</v>
      </c>
      <c r="AE13" s="255">
        <f t="shared" si="3"/>
        <v>3189</v>
      </c>
      <c r="AF13" s="352">
        <f t="shared" si="4"/>
        <v>5169</v>
      </c>
      <c r="AG13" s="340">
        <f t="shared" si="5"/>
        <v>7439</v>
      </c>
      <c r="AH13" s="763"/>
    </row>
    <row r="14" spans="1:34" ht="18" customHeight="1">
      <c r="A14" s="339" t="s">
        <v>908</v>
      </c>
      <c r="B14" s="352">
        <f>+'49'!B14+'50'!B14+'51'!B14+'52'!B14</f>
        <v>0</v>
      </c>
      <c r="C14" s="352">
        <f>+'49'!C14+'50'!C14+'51'!C14+'52'!C14</f>
        <v>0</v>
      </c>
      <c r="D14" s="352">
        <f>+'49'!D14+'50'!D14+'51'!D14+'52'!D14</f>
        <v>0</v>
      </c>
      <c r="E14" s="340">
        <f>+'49'!E14+'50'!E14+'51'!E14+'52'!E14</f>
        <v>0</v>
      </c>
      <c r="F14" s="353">
        <f>+'49'!F14+'50'!F14+'51'!F14+'52'!F14</f>
        <v>1450</v>
      </c>
      <c r="G14" s="352">
        <f>+'49'!G14+'50'!G14+'51'!G14+'52'!G14</f>
        <v>2271</v>
      </c>
      <c r="H14" s="352">
        <f>+'49'!H14+'50'!H14+'51'!H14+'52'!H14</f>
        <v>2659</v>
      </c>
      <c r="I14" s="340">
        <f>+'49'!I14+'50'!I14+'51'!I14+'52'!I14</f>
        <v>2581</v>
      </c>
      <c r="J14" s="352">
        <f>+'49'!J14+'50'!J14+'51'!J14+'52'!J14</f>
        <v>0</v>
      </c>
      <c r="K14" s="352">
        <f>+'49'!K14+'50'!K14+'51'!K14+'52'!K14</f>
        <v>0</v>
      </c>
      <c r="L14" s="352">
        <f>+'49'!L14+'50'!L14+'51'!L14+'52'!L14</f>
        <v>0</v>
      </c>
      <c r="M14" s="340">
        <f>+'49'!M14+'50'!M14+'51'!M14+'52'!M14</f>
        <v>0</v>
      </c>
      <c r="N14" s="352">
        <f>+'49'!N14+'50'!N14+'51'!N14+'52'!N14</f>
        <v>0</v>
      </c>
      <c r="O14" s="352">
        <f>+'49'!O14+'50'!O14+'51'!O14+'52'!O14</f>
        <v>0</v>
      </c>
      <c r="P14" s="352">
        <f>+'49'!O14+'50'!O14+'51'!O14+'52'!O14</f>
        <v>0</v>
      </c>
      <c r="Q14" s="340">
        <f>+'49'!P14+'50'!P14+'51'!P14+'52'!P14</f>
        <v>0</v>
      </c>
      <c r="R14" s="352">
        <f>+'49'!R14+'50'!R14+'51'!R14+'52'!R14</f>
        <v>0</v>
      </c>
      <c r="S14" s="255">
        <f>+'49'!S14+'50'!S14+'51'!S14+'52'!S14</f>
        <v>0</v>
      </c>
      <c r="T14" s="352">
        <f>+'49'!T14+'50'!T14+'51'!T14+'52'!T14</f>
        <v>0</v>
      </c>
      <c r="U14" s="340">
        <f>+'49'!U14+'50'!U14+'51'!U14+'52'!U14</f>
        <v>0</v>
      </c>
      <c r="V14" s="352"/>
      <c r="W14" s="255"/>
      <c r="X14" s="352"/>
      <c r="Y14" s="340"/>
      <c r="Z14" s="255"/>
      <c r="AA14" s="255"/>
      <c r="AB14" s="352"/>
      <c r="AC14" s="340"/>
      <c r="AD14" s="255">
        <f t="shared" si="2"/>
        <v>1450</v>
      </c>
      <c r="AE14" s="255">
        <f t="shared" si="3"/>
        <v>2271</v>
      </c>
      <c r="AF14" s="352">
        <f t="shared" si="4"/>
        <v>2659</v>
      </c>
      <c r="AG14" s="340">
        <f t="shared" si="5"/>
        <v>2581</v>
      </c>
      <c r="AH14" s="763"/>
    </row>
    <row r="15" spans="1:34" ht="18" customHeight="1">
      <c r="A15" s="339" t="s">
        <v>909</v>
      </c>
      <c r="B15" s="352">
        <f>+'49'!B15+'50'!B15+'51'!B15+'52'!B15</f>
        <v>66</v>
      </c>
      <c r="C15" s="352">
        <f>+'49'!C15+'50'!C15+'51'!C15+'52'!C15</f>
        <v>919</v>
      </c>
      <c r="D15" s="352">
        <f>+'49'!D15+'50'!D15+'51'!D15+'52'!D15</f>
        <v>1256</v>
      </c>
      <c r="E15" s="340">
        <f>+'49'!E15+'50'!E15+'51'!E15+'52'!E15</f>
        <v>1362</v>
      </c>
      <c r="F15" s="353">
        <f>+'49'!F15+'50'!F15+'51'!F15+'52'!F15</f>
        <v>462</v>
      </c>
      <c r="G15" s="352">
        <f>+'49'!G15+'50'!G15+'51'!G15+'52'!G15</f>
        <v>622</v>
      </c>
      <c r="H15" s="352">
        <f>+'49'!H15+'50'!H15+'51'!H15+'52'!H15</f>
        <v>932</v>
      </c>
      <c r="I15" s="340">
        <f>+'49'!I15+'50'!I15+'51'!I15+'52'!I15</f>
        <v>1246</v>
      </c>
      <c r="J15" s="352">
        <f>+'49'!J15+'50'!J15+'51'!J15+'52'!J15</f>
        <v>0</v>
      </c>
      <c r="K15" s="352">
        <f>+'49'!K15+'50'!K15+'51'!K15+'52'!K15</f>
        <v>0</v>
      </c>
      <c r="L15" s="352">
        <f>+'49'!L15+'50'!L15+'51'!L15+'52'!L15</f>
        <v>0</v>
      </c>
      <c r="M15" s="340">
        <f>+'49'!M15+'50'!M15+'51'!M15+'52'!M15</f>
        <v>0</v>
      </c>
      <c r="N15" s="352">
        <f>+'49'!N15+'50'!N15+'51'!N15+'52'!N15</f>
        <v>0</v>
      </c>
      <c r="O15" s="352">
        <f>+'49'!O15+'50'!O15+'51'!O15+'52'!O15</f>
        <v>0</v>
      </c>
      <c r="P15" s="352">
        <f>+'49'!O15+'50'!O15+'51'!O15+'52'!O15</f>
        <v>0</v>
      </c>
      <c r="Q15" s="340">
        <f>+'49'!P15+'50'!P15+'51'!P15+'52'!P15</f>
        <v>0</v>
      </c>
      <c r="R15" s="352">
        <f>+'49'!R15+'50'!R15+'51'!R15+'52'!R15</f>
        <v>0</v>
      </c>
      <c r="S15" s="255">
        <f>+'49'!S15+'50'!S15+'51'!S15+'52'!S15</f>
        <v>0</v>
      </c>
      <c r="T15" s="352">
        <f>+'49'!T15+'50'!T15+'51'!T15+'52'!T15</f>
        <v>0</v>
      </c>
      <c r="U15" s="340">
        <f>+'49'!U15+'50'!U15+'51'!U15+'52'!U15</f>
        <v>0</v>
      </c>
      <c r="V15" s="352"/>
      <c r="W15" s="255"/>
      <c r="X15" s="352"/>
      <c r="Y15" s="340"/>
      <c r="Z15" s="255"/>
      <c r="AA15" s="255"/>
      <c r="AB15" s="352"/>
      <c r="AC15" s="340"/>
      <c r="AD15" s="255">
        <f t="shared" si="2"/>
        <v>528</v>
      </c>
      <c r="AE15" s="255">
        <f t="shared" si="3"/>
        <v>1541</v>
      </c>
      <c r="AF15" s="352">
        <f t="shared" si="4"/>
        <v>2188</v>
      </c>
      <c r="AG15" s="340">
        <f t="shared" si="5"/>
        <v>2608</v>
      </c>
      <c r="AH15" s="763"/>
    </row>
    <row r="16" spans="1:34" ht="18" customHeight="1">
      <c r="A16" s="339" t="s">
        <v>910</v>
      </c>
      <c r="B16" s="352">
        <f>+'49'!B16+'50'!B16+'51'!B16+'52'!B16</f>
        <v>0</v>
      </c>
      <c r="C16" s="352">
        <f>+'49'!C16+'50'!C16+'51'!C16+'52'!C16</f>
        <v>0</v>
      </c>
      <c r="D16" s="352">
        <f>+'49'!D16+'50'!D16+'51'!D16+'52'!D16</f>
        <v>0</v>
      </c>
      <c r="E16" s="340">
        <f>+'49'!E16+'50'!E16+'51'!E16+'52'!E16</f>
        <v>658</v>
      </c>
      <c r="F16" s="353">
        <f>+'49'!F16+'50'!F16+'51'!F16+'52'!F16</f>
        <v>0</v>
      </c>
      <c r="G16" s="352">
        <f>+'49'!G16+'50'!G16+'51'!G16+'52'!G16</f>
        <v>0</v>
      </c>
      <c r="H16" s="352">
        <f>+'49'!H16+'50'!H16+'51'!H16+'52'!H16</f>
        <v>0</v>
      </c>
      <c r="I16" s="340">
        <f>+'49'!I16+'50'!I16+'51'!I16+'52'!I16</f>
        <v>0</v>
      </c>
      <c r="J16" s="352">
        <f>+'49'!J16+'50'!J16+'51'!J16+'52'!J16</f>
        <v>0</v>
      </c>
      <c r="K16" s="352">
        <f>+'49'!K16+'50'!K16+'51'!K16+'52'!K16</f>
        <v>0</v>
      </c>
      <c r="L16" s="352">
        <f>+'49'!L16+'50'!L16+'51'!L16+'52'!L16</f>
        <v>0</v>
      </c>
      <c r="M16" s="340">
        <f>+'49'!M16+'50'!M16+'51'!M16+'52'!M16</f>
        <v>0</v>
      </c>
      <c r="N16" s="352">
        <f>+'49'!N16+'50'!N16+'51'!N16+'52'!N16</f>
        <v>0</v>
      </c>
      <c r="O16" s="352">
        <f>+'49'!O16+'50'!O16+'51'!O16+'52'!O16</f>
        <v>0</v>
      </c>
      <c r="P16" s="352">
        <f>+'49'!O16+'50'!O16+'51'!O16+'52'!O16</f>
        <v>0</v>
      </c>
      <c r="Q16" s="340">
        <f>+'49'!P16+'50'!P16+'51'!P16+'52'!P16</f>
        <v>0</v>
      </c>
      <c r="R16" s="352">
        <f>+'49'!R16+'50'!R16+'51'!R16+'52'!R16</f>
        <v>0</v>
      </c>
      <c r="S16" s="255">
        <f>+'49'!S16+'50'!S16+'51'!S16+'52'!S16</f>
        <v>0</v>
      </c>
      <c r="T16" s="352">
        <f>+'49'!T16+'50'!T16+'51'!T16+'52'!T16</f>
        <v>0</v>
      </c>
      <c r="U16" s="340">
        <f>+'49'!U16+'50'!U16+'51'!U16+'52'!U16</f>
        <v>0</v>
      </c>
      <c r="V16" s="352"/>
      <c r="W16" s="255"/>
      <c r="X16" s="352"/>
      <c r="Y16" s="340"/>
      <c r="Z16" s="255"/>
      <c r="AA16" s="255"/>
      <c r="AB16" s="352"/>
      <c r="AC16" s="340"/>
      <c r="AD16" s="255">
        <f t="shared" si="2"/>
        <v>0</v>
      </c>
      <c r="AE16" s="255">
        <f t="shared" si="3"/>
        <v>0</v>
      </c>
      <c r="AF16" s="352">
        <f t="shared" si="4"/>
        <v>0</v>
      </c>
      <c r="AG16" s="340">
        <f t="shared" si="5"/>
        <v>658</v>
      </c>
      <c r="AH16" s="763"/>
    </row>
    <row r="17" spans="1:34" ht="18" customHeight="1">
      <c r="A17" s="339" t="s">
        <v>911</v>
      </c>
      <c r="B17" s="352">
        <f>+'49'!B17+'50'!B17+'51'!B17+'52'!B17</f>
        <v>508</v>
      </c>
      <c r="C17" s="352">
        <f>+'49'!C17+'50'!C17+'51'!C17+'52'!C17</f>
        <v>590</v>
      </c>
      <c r="D17" s="352">
        <f>+'49'!D17+'50'!D17+'51'!D17+'52'!D17</f>
        <v>585</v>
      </c>
      <c r="E17" s="340">
        <f>+'49'!E17+'50'!E17+'51'!E17+'52'!E17</f>
        <v>704</v>
      </c>
      <c r="F17" s="353">
        <f>+'49'!F17+'50'!F17+'51'!F17+'52'!F17</f>
        <v>0</v>
      </c>
      <c r="G17" s="352">
        <f>+'49'!G17+'50'!G17+'51'!G17+'52'!G17</f>
        <v>0</v>
      </c>
      <c r="H17" s="352">
        <f>+'49'!H17+'50'!H17+'51'!H17+'52'!H17</f>
        <v>0</v>
      </c>
      <c r="I17" s="340">
        <f>+'49'!I17+'50'!I17+'51'!I17+'52'!I17</f>
        <v>0</v>
      </c>
      <c r="J17" s="352">
        <f>+'49'!J17+'50'!J17+'51'!J17+'52'!J17</f>
        <v>0</v>
      </c>
      <c r="K17" s="352">
        <f>+'49'!K17+'50'!K17+'51'!K17+'52'!K17</f>
        <v>0</v>
      </c>
      <c r="L17" s="352">
        <f>+'49'!L17+'50'!L17+'51'!L17+'52'!L17</f>
        <v>0</v>
      </c>
      <c r="M17" s="340">
        <f>+'49'!M17+'50'!M17+'51'!M17+'52'!M17</f>
        <v>0</v>
      </c>
      <c r="N17" s="352">
        <f>+'49'!N17+'50'!N17+'51'!N17+'52'!N17</f>
        <v>0</v>
      </c>
      <c r="O17" s="352">
        <f>+'49'!O17+'50'!O17+'51'!O17+'52'!O17</f>
        <v>0</v>
      </c>
      <c r="P17" s="352">
        <f>+'49'!O17+'50'!O17+'51'!O17+'52'!O17</f>
        <v>0</v>
      </c>
      <c r="Q17" s="340">
        <f>+'49'!P17+'50'!P17+'51'!P17+'52'!P17</f>
        <v>0</v>
      </c>
      <c r="R17" s="352">
        <f>+'49'!R17+'50'!R17+'51'!R17+'52'!R17</f>
        <v>0</v>
      </c>
      <c r="S17" s="255">
        <f>+'49'!S17+'50'!S17+'51'!S17+'52'!S17</f>
        <v>0</v>
      </c>
      <c r="T17" s="352">
        <f>+'49'!T17+'50'!T17+'51'!T17+'52'!T17</f>
        <v>0</v>
      </c>
      <c r="U17" s="340">
        <f>+'49'!U17+'50'!U17+'51'!U17+'52'!U17</f>
        <v>0</v>
      </c>
      <c r="V17" s="352"/>
      <c r="W17" s="255"/>
      <c r="X17" s="352"/>
      <c r="Y17" s="340"/>
      <c r="Z17" s="255"/>
      <c r="AA17" s="255"/>
      <c r="AB17" s="352"/>
      <c r="AC17" s="340"/>
      <c r="AD17" s="255">
        <f t="shared" si="2"/>
        <v>508</v>
      </c>
      <c r="AE17" s="255">
        <f t="shared" si="3"/>
        <v>590</v>
      </c>
      <c r="AF17" s="352">
        <f t="shared" si="4"/>
        <v>585</v>
      </c>
      <c r="AG17" s="340">
        <f t="shared" si="5"/>
        <v>704</v>
      </c>
      <c r="AH17" s="763"/>
    </row>
    <row r="18" spans="1:34" ht="18" customHeight="1">
      <c r="A18" s="339" t="s">
        <v>912</v>
      </c>
      <c r="B18" s="352">
        <f>+'49'!B18+'50'!B18+'51'!B18+'52'!B18</f>
        <v>0</v>
      </c>
      <c r="C18" s="352">
        <f>+'49'!C18+'50'!C18+'51'!C18+'52'!C18</f>
        <v>0</v>
      </c>
      <c r="D18" s="352">
        <f>+'49'!D18+'50'!D18+'51'!D18+'52'!D18</f>
        <v>0</v>
      </c>
      <c r="E18" s="340">
        <f>+'49'!E18+'50'!E18+'51'!E18+'52'!E18</f>
        <v>0</v>
      </c>
      <c r="F18" s="353">
        <f>+'49'!F18+'50'!F18+'51'!F18+'52'!F18</f>
        <v>1457</v>
      </c>
      <c r="G18" s="352">
        <f>+'49'!G18+'50'!G18+'51'!G18+'52'!G18</f>
        <v>1619</v>
      </c>
      <c r="H18" s="352">
        <f>+'49'!H18+'50'!H18+'51'!H18+'52'!H18</f>
        <v>2294</v>
      </c>
      <c r="I18" s="340">
        <f>+'49'!I18+'50'!I18+'51'!I18+'52'!I18</f>
        <v>2927</v>
      </c>
      <c r="J18" s="352">
        <f>+'49'!J18+'50'!J18+'51'!J18+'52'!J18</f>
        <v>0</v>
      </c>
      <c r="K18" s="352">
        <f>+'49'!K18+'50'!K18+'51'!K18+'52'!K18</f>
        <v>0</v>
      </c>
      <c r="L18" s="352">
        <f>+'49'!L18+'50'!L18+'51'!L18+'52'!L18</f>
        <v>0</v>
      </c>
      <c r="M18" s="340">
        <f>+'49'!M18+'50'!M18+'51'!M18+'52'!M18</f>
        <v>0</v>
      </c>
      <c r="N18" s="352">
        <f>+'49'!N18+'50'!N18+'51'!N18+'52'!N18</f>
        <v>0</v>
      </c>
      <c r="O18" s="352">
        <f>+'49'!O18+'50'!O18+'51'!O18+'52'!O18</f>
        <v>0</v>
      </c>
      <c r="P18" s="352">
        <f>+'49'!O18+'50'!O18+'51'!O18+'52'!O18</f>
        <v>0</v>
      </c>
      <c r="Q18" s="340">
        <f>+'49'!P18+'50'!P18+'51'!P18+'52'!P18</f>
        <v>0</v>
      </c>
      <c r="R18" s="352">
        <f>+'49'!R18+'50'!R18+'51'!R18+'52'!R18</f>
        <v>0</v>
      </c>
      <c r="S18" s="255">
        <f>+'49'!S18+'50'!S18+'51'!S18+'52'!S18</f>
        <v>0</v>
      </c>
      <c r="T18" s="352">
        <f>+'49'!T18+'50'!T18+'51'!T18+'52'!T18</f>
        <v>0</v>
      </c>
      <c r="U18" s="340">
        <f>+'49'!U18+'50'!U18+'51'!U18+'52'!U18</f>
        <v>0</v>
      </c>
      <c r="V18" s="352"/>
      <c r="W18" s="255"/>
      <c r="X18" s="352"/>
      <c r="Y18" s="340"/>
      <c r="Z18" s="255"/>
      <c r="AA18" s="255"/>
      <c r="AB18" s="352"/>
      <c r="AC18" s="340"/>
      <c r="AD18" s="255">
        <f t="shared" si="2"/>
        <v>1457</v>
      </c>
      <c r="AE18" s="255">
        <f t="shared" si="3"/>
        <v>1619</v>
      </c>
      <c r="AF18" s="352">
        <f t="shared" si="4"/>
        <v>2294</v>
      </c>
      <c r="AG18" s="340">
        <f t="shared" si="5"/>
        <v>2927</v>
      </c>
      <c r="AH18" s="763"/>
    </row>
    <row r="19" spans="1:34" ht="18" customHeight="1">
      <c r="A19" s="67" t="s">
        <v>913</v>
      </c>
      <c r="B19" s="352">
        <f>+'49'!B19+'50'!B19+'51'!B19+'52'!B19</f>
        <v>0</v>
      </c>
      <c r="C19" s="352">
        <f>+'49'!C19+'50'!C19+'51'!C19+'52'!C19</f>
        <v>0</v>
      </c>
      <c r="D19" s="352">
        <f>+'49'!D19+'50'!D19+'51'!D19+'52'!D19</f>
        <v>0</v>
      </c>
      <c r="E19" s="340">
        <f>+'49'!E19+'50'!E19+'51'!E19+'52'!E19</f>
        <v>0</v>
      </c>
      <c r="F19" s="353">
        <f>+'49'!F19+'50'!F19+'51'!F19+'52'!F19</f>
        <v>671</v>
      </c>
      <c r="G19" s="352">
        <f>+'49'!G19+'50'!G19+'51'!G19+'52'!G19</f>
        <v>62</v>
      </c>
      <c r="H19" s="352">
        <f>+'49'!H19+'50'!H19+'51'!H19+'52'!H19</f>
        <v>0</v>
      </c>
      <c r="I19" s="340">
        <f>+'49'!I19+'50'!I19+'51'!I19+'52'!I19</f>
        <v>0</v>
      </c>
      <c r="J19" s="352">
        <f>+'49'!J19+'50'!J19+'51'!J19+'52'!J19</f>
        <v>0</v>
      </c>
      <c r="K19" s="352">
        <f>+'49'!K19+'50'!K19+'51'!K19+'52'!K19</f>
        <v>0</v>
      </c>
      <c r="L19" s="352">
        <f>+'49'!L19+'50'!L19+'51'!L19+'52'!L19</f>
        <v>0</v>
      </c>
      <c r="M19" s="340">
        <f>+'49'!M19+'50'!M19+'51'!M19+'52'!M19</f>
        <v>0</v>
      </c>
      <c r="N19" s="352">
        <f>+'49'!N19+'50'!N19+'51'!N19+'52'!N19</f>
        <v>0</v>
      </c>
      <c r="O19" s="352">
        <f>+'49'!O19+'50'!O19+'51'!O19+'52'!O19</f>
        <v>0</v>
      </c>
      <c r="P19" s="352">
        <f>+'49'!O19+'50'!O19+'51'!O19+'52'!O19</f>
        <v>0</v>
      </c>
      <c r="Q19" s="340">
        <f>+'49'!P19+'50'!P19+'51'!P19+'52'!P19</f>
        <v>0</v>
      </c>
      <c r="R19" s="352">
        <f>+'49'!R19+'50'!R19+'51'!R19+'52'!R19</f>
        <v>0</v>
      </c>
      <c r="S19" s="255">
        <f>+'49'!S19+'50'!S19+'51'!S19+'52'!S19</f>
        <v>0</v>
      </c>
      <c r="T19" s="352">
        <f>+'49'!T19+'50'!T19+'51'!T19+'52'!T19</f>
        <v>0</v>
      </c>
      <c r="U19" s="340">
        <f>+'49'!U19+'50'!U19+'51'!U19+'52'!U19</f>
        <v>0</v>
      </c>
      <c r="V19" s="352"/>
      <c r="W19" s="255"/>
      <c r="X19" s="352"/>
      <c r="Y19" s="340"/>
      <c r="Z19" s="255"/>
      <c r="AA19" s="255"/>
      <c r="AB19" s="352"/>
      <c r="AC19" s="340"/>
      <c r="AD19" s="255">
        <f t="shared" si="2"/>
        <v>671</v>
      </c>
      <c r="AE19" s="255">
        <f t="shared" si="3"/>
        <v>62</v>
      </c>
      <c r="AF19" s="352">
        <f t="shared" si="4"/>
        <v>0</v>
      </c>
      <c r="AG19" s="340">
        <f t="shared" si="5"/>
        <v>0</v>
      </c>
      <c r="AH19" s="763"/>
    </row>
    <row r="20" spans="1:34" ht="18" customHeight="1">
      <c r="A20" s="67" t="s">
        <v>914</v>
      </c>
      <c r="B20" s="352">
        <f>+'49'!B20+'50'!B20+'51'!B20+'52'!B20</f>
        <v>0</v>
      </c>
      <c r="C20" s="352">
        <f>+'49'!C20+'50'!C20+'51'!C20+'52'!C20</f>
        <v>0</v>
      </c>
      <c r="D20" s="352">
        <f>+'49'!D20+'50'!D20+'51'!D20+'52'!D20</f>
        <v>0</v>
      </c>
      <c r="E20" s="340">
        <f>+'49'!E20+'50'!E20+'51'!E20+'52'!E20</f>
        <v>0</v>
      </c>
      <c r="F20" s="353">
        <f>+'49'!F20+'50'!F20+'51'!F20+'52'!F20</f>
        <v>799</v>
      </c>
      <c r="G20" s="352">
        <f>+'49'!G20+'50'!G20+'51'!G20+'52'!G20</f>
        <v>570</v>
      </c>
      <c r="H20" s="352">
        <f>+'49'!H20+'50'!H20+'51'!H20+'52'!H20</f>
        <v>686</v>
      </c>
      <c r="I20" s="340">
        <f>+'49'!I20+'50'!I20+'51'!I20+'52'!I20</f>
        <v>867</v>
      </c>
      <c r="J20" s="352">
        <f>+'49'!J20+'50'!J20+'51'!J20+'52'!J20</f>
        <v>0</v>
      </c>
      <c r="K20" s="352">
        <f>+'49'!K20+'50'!K20+'51'!K20+'52'!K20</f>
        <v>0</v>
      </c>
      <c r="L20" s="352">
        <f>+'49'!L20+'50'!L20+'51'!L20+'52'!L20</f>
        <v>0</v>
      </c>
      <c r="M20" s="340">
        <f>+'49'!M20+'50'!M20+'51'!M20+'52'!M20</f>
        <v>0</v>
      </c>
      <c r="N20" s="352">
        <f>+'49'!N20+'50'!N20+'51'!N20+'52'!N20</f>
        <v>0</v>
      </c>
      <c r="O20" s="352">
        <f>+'49'!O20+'50'!O20+'51'!O20+'52'!O20</f>
        <v>0</v>
      </c>
      <c r="P20" s="352">
        <f>+'49'!O20+'50'!O20+'51'!O20+'52'!O20</f>
        <v>0</v>
      </c>
      <c r="Q20" s="340">
        <f>+'49'!P20+'50'!P20+'51'!P20+'52'!P20</f>
        <v>0</v>
      </c>
      <c r="R20" s="352">
        <f>+'49'!R20+'50'!R20+'51'!R20+'52'!R20</f>
        <v>0</v>
      </c>
      <c r="S20" s="255">
        <f>+'49'!S20+'50'!S20+'51'!S20+'52'!S20</f>
        <v>0</v>
      </c>
      <c r="T20" s="352">
        <f>+'49'!T20+'50'!T20+'51'!T20+'52'!T20</f>
        <v>0</v>
      </c>
      <c r="U20" s="340">
        <f>+'49'!U20+'50'!U20+'51'!U20+'52'!U20</f>
        <v>0</v>
      </c>
      <c r="V20" s="352"/>
      <c r="W20" s="255"/>
      <c r="X20" s="352"/>
      <c r="Y20" s="340"/>
      <c r="Z20" s="255"/>
      <c r="AA20" s="255"/>
      <c r="AB20" s="352"/>
      <c r="AC20" s="340"/>
      <c r="AD20" s="255">
        <f t="shared" si="2"/>
        <v>799</v>
      </c>
      <c r="AE20" s="255">
        <f t="shared" si="3"/>
        <v>570</v>
      </c>
      <c r="AF20" s="352">
        <f t="shared" si="4"/>
        <v>686</v>
      </c>
      <c r="AG20" s="340">
        <f t="shared" si="5"/>
        <v>867</v>
      </c>
      <c r="AH20" s="763"/>
    </row>
    <row r="21" spans="1:34" ht="18" customHeight="1">
      <c r="A21" s="600" t="s">
        <v>719</v>
      </c>
      <c r="B21" s="352">
        <f>+'49'!B21+'50'!B21+'51'!B21+'52'!B21</f>
        <v>0</v>
      </c>
      <c r="C21" s="352">
        <f>+'49'!C21+'50'!C21+'51'!C21+'52'!C21</f>
        <v>0</v>
      </c>
      <c r="D21" s="352">
        <f>+'49'!D21+'50'!D21+'51'!D21+'52'!D21</f>
        <v>0</v>
      </c>
      <c r="E21" s="340">
        <f>+'49'!E21+'50'!E21+'51'!E21+'52'!E21</f>
        <v>0</v>
      </c>
      <c r="F21" s="353">
        <f>+'49'!F21+'50'!F21+'51'!F21+'52'!F21</f>
        <v>0</v>
      </c>
      <c r="G21" s="352">
        <f>+'49'!G21+'50'!G21+'51'!G21+'52'!G21</f>
        <v>0</v>
      </c>
      <c r="H21" s="352">
        <f>+'49'!H21+'50'!H21+'51'!H21+'52'!H21</f>
        <v>0</v>
      </c>
      <c r="I21" s="340">
        <f>+'49'!I21+'50'!I21+'51'!I21+'52'!I21</f>
        <v>0</v>
      </c>
      <c r="J21" s="352">
        <f>+'49'!J21+'50'!J21+'51'!J21+'52'!J21</f>
        <v>0</v>
      </c>
      <c r="K21" s="352">
        <f>+'49'!K21+'50'!K21+'51'!K21+'52'!K21</f>
        <v>0</v>
      </c>
      <c r="L21" s="352">
        <f>+'49'!L21+'50'!L21+'51'!L21+'52'!L21</f>
        <v>0</v>
      </c>
      <c r="M21" s="340">
        <f>+'49'!M21+'50'!M21+'51'!M21+'52'!M21</f>
        <v>0</v>
      </c>
      <c r="N21" s="352">
        <f>+'49'!N21+'50'!N21+'51'!N21+'52'!N21</f>
        <v>0</v>
      </c>
      <c r="O21" s="352">
        <f>+'49'!O21+'50'!O21+'51'!O21+'52'!O21</f>
        <v>0</v>
      </c>
      <c r="P21" s="352">
        <f>+'49'!O21+'50'!O21+'51'!O21+'52'!O21</f>
        <v>0</v>
      </c>
      <c r="Q21" s="340">
        <f>+'49'!P21+'50'!P21+'51'!P21+'52'!P21</f>
        <v>0</v>
      </c>
      <c r="R21" s="352">
        <f>+'49'!R21+'50'!R21+'51'!R21+'52'!R21</f>
        <v>0</v>
      </c>
      <c r="S21" s="255">
        <f>+'49'!S21+'50'!S21+'51'!S21+'52'!S21</f>
        <v>0</v>
      </c>
      <c r="T21" s="352">
        <f>+'49'!T21+'50'!T21+'51'!T21+'52'!T21</f>
        <v>0</v>
      </c>
      <c r="U21" s="340">
        <f>+'49'!U21+'50'!U21+'51'!U21+'52'!U21</f>
        <v>0</v>
      </c>
      <c r="V21" s="352"/>
      <c r="W21" s="255"/>
      <c r="X21" s="352"/>
      <c r="Y21" s="340"/>
      <c r="Z21" s="255"/>
      <c r="AA21" s="255"/>
      <c r="AB21" s="352"/>
      <c r="AC21" s="340"/>
      <c r="AD21" s="255">
        <f t="shared" si="2"/>
        <v>0</v>
      </c>
      <c r="AE21" s="255">
        <f t="shared" si="3"/>
        <v>0</v>
      </c>
      <c r="AF21" s="352">
        <f t="shared" si="4"/>
        <v>0</v>
      </c>
      <c r="AG21" s="340">
        <f t="shared" si="5"/>
        <v>0</v>
      </c>
      <c r="AH21" s="763"/>
    </row>
    <row r="22" spans="1:34" ht="18" customHeight="1">
      <c r="A22" s="67" t="s">
        <v>915</v>
      </c>
      <c r="B22" s="352">
        <f>+'49'!B22+'50'!B22+'51'!B22+'52'!B22</f>
        <v>5926</v>
      </c>
      <c r="C22" s="352">
        <f>+'49'!C22+'50'!C22+'51'!C22+'52'!C22</f>
        <v>7691</v>
      </c>
      <c r="D22" s="352">
        <f>+'49'!D22+'50'!D22+'51'!D22+'52'!D22</f>
        <v>7434</v>
      </c>
      <c r="E22" s="340">
        <f>+'49'!E22+'50'!E22+'51'!E22+'52'!E22</f>
        <v>4442</v>
      </c>
      <c r="F22" s="353">
        <f>+'49'!F22+'50'!F22+'51'!F22+'52'!F22</f>
        <v>465</v>
      </c>
      <c r="G22" s="352">
        <f>+'49'!G22+'50'!G22+'51'!G22+'52'!G22</f>
        <v>600</v>
      </c>
      <c r="H22" s="352">
        <f>+'49'!H22+'50'!H22+'51'!H22+'52'!H22</f>
        <v>622</v>
      </c>
      <c r="I22" s="340">
        <f>+'49'!I22+'50'!I22+'51'!I22+'52'!I22</f>
        <v>386</v>
      </c>
      <c r="J22" s="352">
        <f>+'49'!J22+'50'!J22+'51'!J22+'52'!J22</f>
        <v>0</v>
      </c>
      <c r="K22" s="352">
        <f>+'49'!K22+'50'!K22+'51'!K22+'52'!K22</f>
        <v>0</v>
      </c>
      <c r="L22" s="352">
        <f>+'49'!L22+'50'!L22+'51'!L22+'52'!L22</f>
        <v>0</v>
      </c>
      <c r="M22" s="340">
        <f>+'49'!M22+'50'!M22+'51'!M22+'52'!M22</f>
        <v>0</v>
      </c>
      <c r="N22" s="352">
        <f>+'49'!N22+'50'!N22+'51'!N22+'52'!N22</f>
        <v>0</v>
      </c>
      <c r="O22" s="352">
        <f>+'49'!O22+'50'!O22+'51'!O22+'52'!O22</f>
        <v>0</v>
      </c>
      <c r="P22" s="352">
        <f>+'49'!O22+'50'!O22+'51'!O22+'52'!O22</f>
        <v>0</v>
      </c>
      <c r="Q22" s="340">
        <f>+'49'!P22+'50'!P22+'51'!P22+'52'!P22</f>
        <v>0</v>
      </c>
      <c r="R22" s="352">
        <f>+'49'!R22+'50'!R22+'51'!R22+'52'!R22</f>
        <v>0</v>
      </c>
      <c r="S22" s="255">
        <f>+'49'!S22+'50'!S22+'51'!S22+'52'!S22</f>
        <v>0</v>
      </c>
      <c r="T22" s="352">
        <f>+'49'!T22+'50'!T22+'51'!T22+'52'!T22</f>
        <v>0</v>
      </c>
      <c r="U22" s="340">
        <f>+'49'!U22+'50'!U22+'51'!U22+'52'!U22</f>
        <v>0</v>
      </c>
      <c r="V22" s="352"/>
      <c r="W22" s="255"/>
      <c r="X22" s="352"/>
      <c r="Y22" s="340"/>
      <c r="Z22" s="255"/>
      <c r="AA22" s="255"/>
      <c r="AB22" s="352"/>
      <c r="AC22" s="340"/>
      <c r="AD22" s="255">
        <f t="shared" si="2"/>
        <v>6391</v>
      </c>
      <c r="AE22" s="255">
        <f t="shared" si="3"/>
        <v>8291</v>
      </c>
      <c r="AF22" s="352">
        <f t="shared" si="4"/>
        <v>8056</v>
      </c>
      <c r="AG22" s="340">
        <f t="shared" si="5"/>
        <v>4828</v>
      </c>
      <c r="AH22" s="763"/>
    </row>
    <row r="23" spans="1:34" ht="18" customHeight="1">
      <c r="A23" s="67" t="s">
        <v>916</v>
      </c>
      <c r="B23" s="352">
        <f>+'49'!B23+'50'!B23+'51'!B23+'52'!B23</f>
        <v>0</v>
      </c>
      <c r="C23" s="352">
        <f>+'49'!C23+'50'!C23+'51'!C23+'52'!C23</f>
        <v>0</v>
      </c>
      <c r="D23" s="352">
        <f>+'49'!D23+'50'!D23+'51'!D23+'52'!D23</f>
        <v>0</v>
      </c>
      <c r="E23" s="340">
        <f>+'49'!E23+'50'!E23+'51'!E23+'52'!E23</f>
        <v>0</v>
      </c>
      <c r="F23" s="353">
        <f>+'49'!F23+'50'!F23+'51'!F23+'52'!F23</f>
        <v>0</v>
      </c>
      <c r="G23" s="352">
        <f>+'49'!G23+'50'!G23+'51'!G23+'52'!G23</f>
        <v>0</v>
      </c>
      <c r="H23" s="352">
        <f>+'49'!H23+'50'!H23+'51'!H23+'52'!H23</f>
        <v>0</v>
      </c>
      <c r="I23" s="340">
        <f>+'49'!I23+'50'!I23+'51'!I23+'52'!I23</f>
        <v>0</v>
      </c>
      <c r="J23" s="352">
        <f>+'49'!J23+'50'!J23+'51'!J23+'52'!J23</f>
        <v>730</v>
      </c>
      <c r="K23" s="352">
        <f>+'49'!K23+'50'!K23+'51'!K23+'52'!K23</f>
        <v>925</v>
      </c>
      <c r="L23" s="352">
        <f>+'49'!L23+'50'!L23+'51'!L23+'52'!L23</f>
        <v>631</v>
      </c>
      <c r="M23" s="340">
        <f>+'49'!M23+'50'!M23+'51'!M23+'52'!M23</f>
        <v>673</v>
      </c>
      <c r="N23" s="352">
        <f>+'49'!N23+'50'!N23+'51'!N23+'52'!N23</f>
        <v>0</v>
      </c>
      <c r="O23" s="352">
        <f>+'49'!O23+'50'!O23+'51'!O23+'52'!O23</f>
        <v>0</v>
      </c>
      <c r="P23" s="352">
        <f>+'49'!O23+'50'!O23+'51'!O23+'52'!O23</f>
        <v>0</v>
      </c>
      <c r="Q23" s="340">
        <f>+'49'!P23+'50'!P23+'51'!P23+'52'!P23</f>
        <v>0</v>
      </c>
      <c r="R23" s="352">
        <f>+'49'!R23+'50'!R23+'51'!R23+'52'!R23</f>
        <v>0</v>
      </c>
      <c r="S23" s="255">
        <f>+'49'!S23+'50'!S23+'51'!S23+'52'!S23</f>
        <v>0</v>
      </c>
      <c r="T23" s="352">
        <f>+'49'!T23+'50'!T23+'51'!T23+'52'!T23</f>
        <v>0</v>
      </c>
      <c r="U23" s="340">
        <f>+'49'!U23+'50'!U23+'51'!U23+'52'!U23</f>
        <v>0</v>
      </c>
      <c r="V23" s="352">
        <f>+'49'!V23+'50'!V23+'51'!V23+'52'!V23</f>
        <v>1249</v>
      </c>
      <c r="W23" s="255">
        <f>+'49'!W23+'50'!W23+'51'!W23+'52'!W23</f>
        <v>2898</v>
      </c>
      <c r="X23" s="352">
        <f>+'49'!X23+'50'!X23+'51'!X23+'52'!X23</f>
        <v>3377</v>
      </c>
      <c r="Y23" s="340">
        <f>+'49'!Y23+'50'!Y23+'51'!Y23+'52'!Y23</f>
        <v>3352</v>
      </c>
      <c r="Z23" s="255">
        <f>+'49'!Z23+'50'!Z23++'51'!Z23+'52'!Z23</f>
        <v>2810</v>
      </c>
      <c r="AA23" s="352">
        <f>+'49'!AB23+'50'!AA23++'51'!AA23+'52'!AA23</f>
        <v>3209</v>
      </c>
      <c r="AB23" s="352">
        <f>+'49'!AB23+'50'!AB23++'51'!AB23+'52'!AB23</f>
        <v>3321</v>
      </c>
      <c r="AC23" s="340">
        <f>+'49'!AC23+'50'!AC23++'51'!AC23+'52'!AC23</f>
        <v>3945</v>
      </c>
      <c r="AD23" s="255">
        <f t="shared" si="2"/>
        <v>4789</v>
      </c>
      <c r="AE23" s="352">
        <f t="shared" si="3"/>
        <v>7032</v>
      </c>
      <c r="AF23" s="352">
        <f t="shared" si="4"/>
        <v>7329</v>
      </c>
      <c r="AG23" s="340">
        <f t="shared" si="5"/>
        <v>7970</v>
      </c>
      <c r="AH23" s="763"/>
    </row>
    <row r="24" spans="1:34" ht="18" customHeight="1">
      <c r="A24" s="67" t="s">
        <v>917</v>
      </c>
      <c r="B24" s="352">
        <f>+'49'!B24+'50'!B24+'51'!B24+'52'!B24</f>
        <v>6855</v>
      </c>
      <c r="C24" s="352">
        <f>+'49'!C24+'50'!C24+'51'!C24+'52'!C24</f>
        <v>8114</v>
      </c>
      <c r="D24" s="352">
        <f>+'49'!D24+'50'!D24+'51'!D24+'52'!D24</f>
        <v>10194</v>
      </c>
      <c r="E24" s="340">
        <f>+'49'!E24+'50'!E24+'51'!E24+'52'!E24</f>
        <v>9951</v>
      </c>
      <c r="F24" s="353">
        <f>+'49'!F24+'50'!F24+'51'!F24+'52'!F24</f>
        <v>3078</v>
      </c>
      <c r="G24" s="352">
        <f>+'49'!G24+'50'!G24+'51'!G24+'52'!G24</f>
        <v>5870</v>
      </c>
      <c r="H24" s="352">
        <f>+'49'!H24+'50'!H24+'51'!H24+'52'!H24</f>
        <v>7048</v>
      </c>
      <c r="I24" s="340">
        <f>+'49'!I24+'50'!I24+'51'!I24+'52'!I24</f>
        <v>6848</v>
      </c>
      <c r="J24" s="352">
        <f>+'49'!J24+'50'!J24+'51'!J24+'52'!J24</f>
        <v>0</v>
      </c>
      <c r="K24" s="352">
        <f>+'49'!K24+'50'!K24+'51'!K24+'52'!K24</f>
        <v>0</v>
      </c>
      <c r="L24" s="352">
        <f>+'49'!L24+'50'!L24+'51'!L24+'52'!L24</f>
        <v>0</v>
      </c>
      <c r="M24" s="340">
        <f>+'49'!M24+'50'!M24+'51'!M24+'52'!M24</f>
        <v>0</v>
      </c>
      <c r="N24" s="352">
        <f>+'49'!N24+'50'!N24+'51'!N24+'52'!N24</f>
        <v>0</v>
      </c>
      <c r="O24" s="352">
        <f>+'49'!O24+'50'!O24+'51'!O24+'52'!O24</f>
        <v>0</v>
      </c>
      <c r="P24" s="352">
        <f>+'49'!O24+'50'!O24+'51'!O24+'52'!O24</f>
        <v>0</v>
      </c>
      <c r="Q24" s="340">
        <f>+'49'!P24+'50'!P24+'51'!P24+'52'!P24</f>
        <v>0</v>
      </c>
      <c r="R24" s="352">
        <f>+'49'!R24+'50'!R24+'51'!R24+'52'!R24</f>
        <v>0</v>
      </c>
      <c r="S24" s="255">
        <f>+'49'!S24+'50'!S24+'51'!S24+'52'!S24</f>
        <v>0</v>
      </c>
      <c r="T24" s="352">
        <f>+'49'!T24+'50'!T24+'51'!T24+'52'!T24</f>
        <v>0</v>
      </c>
      <c r="U24" s="340">
        <f>+'49'!U24+'50'!U24+'51'!U24+'52'!U24</f>
        <v>0</v>
      </c>
      <c r="V24" s="352"/>
      <c r="W24" s="255"/>
      <c r="X24" s="352"/>
      <c r="Y24" s="340"/>
      <c r="Z24" s="255"/>
      <c r="AA24" s="255"/>
      <c r="AB24" s="352"/>
      <c r="AC24" s="340"/>
      <c r="AD24" s="255">
        <f t="shared" si="2"/>
        <v>9933</v>
      </c>
      <c r="AE24" s="255">
        <f t="shared" si="3"/>
        <v>13984</v>
      </c>
      <c r="AF24" s="352">
        <f t="shared" si="4"/>
        <v>17242</v>
      </c>
      <c r="AG24" s="340">
        <f t="shared" si="5"/>
        <v>16799</v>
      </c>
      <c r="AH24" s="763"/>
    </row>
    <row r="25" spans="1:34" ht="18" customHeight="1">
      <c r="A25" s="67" t="s">
        <v>918</v>
      </c>
      <c r="B25" s="352">
        <f>+'49'!B25+'50'!B25+'51'!B25+'52'!B25</f>
        <v>0</v>
      </c>
      <c r="C25" s="352">
        <f>+'49'!C25+'50'!C25+'51'!C25+'52'!C25</f>
        <v>0</v>
      </c>
      <c r="D25" s="352">
        <f>+'49'!D25+'50'!D25+'51'!D25+'52'!D25</f>
        <v>0</v>
      </c>
      <c r="E25" s="340">
        <f>+'49'!E25+'50'!E25+'51'!E25+'52'!E25</f>
        <v>0</v>
      </c>
      <c r="F25" s="353">
        <f>+'49'!F25+'50'!F25+'51'!F25+'52'!F25</f>
        <v>0</v>
      </c>
      <c r="G25" s="352">
        <f>+'49'!G25+'50'!G25+'51'!G25+'52'!G25</f>
        <v>0</v>
      </c>
      <c r="H25" s="352">
        <f>+'49'!H25+'50'!H25+'51'!H25+'52'!H25</f>
        <v>0</v>
      </c>
      <c r="I25" s="340">
        <f>+'49'!I25+'50'!I25+'51'!I25+'52'!I25</f>
        <v>0</v>
      </c>
      <c r="J25" s="352">
        <f>+'49'!J25+'50'!J25+'51'!J25+'52'!J25</f>
        <v>0</v>
      </c>
      <c r="K25" s="352">
        <f>+'49'!K25+'50'!K25+'51'!K25+'52'!K25</f>
        <v>0</v>
      </c>
      <c r="L25" s="352">
        <f>+'49'!L25+'50'!L25+'51'!L25+'52'!L25</f>
        <v>0</v>
      </c>
      <c r="M25" s="340">
        <f>+'49'!M25+'50'!M25+'51'!M25+'52'!M25</f>
        <v>0</v>
      </c>
      <c r="N25" s="352">
        <f>+'49'!N25+'50'!N25+'51'!N25+'52'!N25</f>
        <v>0</v>
      </c>
      <c r="O25" s="352">
        <f>+'49'!O25+'50'!O25+'51'!O25+'52'!O25</f>
        <v>0</v>
      </c>
      <c r="P25" s="352">
        <f>+'49'!O25+'50'!O25+'51'!O25+'52'!O25</f>
        <v>0</v>
      </c>
      <c r="Q25" s="340">
        <f>+'49'!P25+'50'!P25+'51'!P25+'52'!P25</f>
        <v>0</v>
      </c>
      <c r="R25" s="352">
        <f>+'49'!R25+'50'!R25+'51'!R25+'52'!R25</f>
        <v>0</v>
      </c>
      <c r="S25" s="255">
        <f>+'49'!S25+'50'!S25+'51'!S25+'52'!S25</f>
        <v>0</v>
      </c>
      <c r="T25" s="352">
        <f>+'49'!T25+'50'!T25+'51'!T25+'52'!T25</f>
        <v>0</v>
      </c>
      <c r="U25" s="340">
        <f>+'49'!U25+'50'!U25+'51'!U25+'52'!U25</f>
        <v>0</v>
      </c>
      <c r="V25" s="352"/>
      <c r="W25" s="255"/>
      <c r="X25" s="352"/>
      <c r="Y25" s="340"/>
      <c r="Z25" s="255"/>
      <c r="AA25" s="255"/>
      <c r="AB25" s="352"/>
      <c r="AC25" s="340"/>
      <c r="AD25" s="255">
        <f t="shared" si="2"/>
        <v>0</v>
      </c>
      <c r="AE25" s="255">
        <f t="shared" si="3"/>
        <v>0</v>
      </c>
      <c r="AF25" s="352">
        <f t="shared" si="4"/>
        <v>0</v>
      </c>
      <c r="AG25" s="340">
        <f t="shared" si="5"/>
        <v>0</v>
      </c>
      <c r="AH25" s="763"/>
    </row>
    <row r="26" spans="1:34" ht="18" customHeight="1">
      <c r="A26" s="600" t="s">
        <v>1291</v>
      </c>
      <c r="B26" s="352">
        <f>+'49'!B26+'50'!B26+'51'!B26+'52'!B26</f>
        <v>70</v>
      </c>
      <c r="C26" s="352">
        <f>+'49'!C26+'50'!C26+'51'!C26+'52'!C26</f>
        <v>147</v>
      </c>
      <c r="D26" s="352">
        <f>+'49'!D26+'50'!D26+'51'!D26+'52'!D26</f>
        <v>161</v>
      </c>
      <c r="E26" s="340">
        <f>+'49'!E26+'50'!E26+'51'!E26+'52'!E26</f>
        <v>341</v>
      </c>
      <c r="F26" s="353">
        <f>+'49'!F26+'50'!F26+'51'!F26+'52'!F26</f>
        <v>0</v>
      </c>
      <c r="G26" s="352">
        <f>+'49'!G26+'50'!G26+'51'!G26+'52'!G26</f>
        <v>0</v>
      </c>
      <c r="H26" s="352">
        <f>+'49'!H26+'50'!H26+'51'!H26+'52'!H26</f>
        <v>0</v>
      </c>
      <c r="I26" s="340">
        <f>+'49'!I26+'50'!I26+'51'!I26+'52'!I26</f>
        <v>0</v>
      </c>
      <c r="J26" s="352">
        <f>+'49'!J26+'50'!J26+'51'!J26+'52'!J26</f>
        <v>0</v>
      </c>
      <c r="K26" s="352">
        <f>+'49'!K26+'50'!K26+'51'!K26+'52'!K26</f>
        <v>0</v>
      </c>
      <c r="L26" s="352">
        <f>+'49'!L26+'50'!L26+'51'!L26+'52'!L26</f>
        <v>0</v>
      </c>
      <c r="M26" s="340">
        <f>+'49'!M26+'50'!M26+'51'!M26+'52'!M26</f>
        <v>0</v>
      </c>
      <c r="N26" s="352">
        <f>+'49'!N26+'50'!N26+'51'!N26+'52'!N26</f>
        <v>0</v>
      </c>
      <c r="O26" s="352">
        <f>+'49'!O26+'50'!O26+'51'!O26+'52'!O26</f>
        <v>0</v>
      </c>
      <c r="P26" s="352">
        <f>+'49'!O26+'50'!O26+'51'!O26+'52'!O26</f>
        <v>0</v>
      </c>
      <c r="Q26" s="340">
        <f>+'49'!P26+'50'!P26+'51'!P26+'52'!P26</f>
        <v>0</v>
      </c>
      <c r="R26" s="352">
        <f>+'49'!R26+'50'!R26+'51'!R26+'52'!R26</f>
        <v>0</v>
      </c>
      <c r="S26" s="255">
        <f>+'49'!S26+'50'!S26+'51'!S26+'52'!S26</f>
        <v>0</v>
      </c>
      <c r="T26" s="352">
        <f>+'49'!T26+'50'!T26+'51'!T26+'52'!T26</f>
        <v>0</v>
      </c>
      <c r="U26" s="340">
        <f>+'49'!U26+'50'!U26+'51'!U26+'52'!U26</f>
        <v>0</v>
      </c>
      <c r="V26" s="352"/>
      <c r="W26" s="255"/>
      <c r="X26" s="352"/>
      <c r="Y26" s="340"/>
      <c r="Z26" s="255"/>
      <c r="AA26" s="255"/>
      <c r="AB26" s="352"/>
      <c r="AC26" s="340"/>
      <c r="AD26" s="255">
        <f t="shared" si="2"/>
        <v>70</v>
      </c>
      <c r="AE26" s="255">
        <f t="shared" si="3"/>
        <v>147</v>
      </c>
      <c r="AF26" s="352">
        <f t="shared" si="4"/>
        <v>161</v>
      </c>
      <c r="AG26" s="340">
        <f t="shared" si="5"/>
        <v>341</v>
      </c>
      <c r="AH26" s="763"/>
    </row>
    <row r="27" spans="1:34" ht="18" customHeight="1">
      <c r="A27" s="67" t="s">
        <v>919</v>
      </c>
      <c r="B27" s="352">
        <f>+'49'!B27+'50'!B27+'51'!B27+'52'!B27</f>
        <v>0</v>
      </c>
      <c r="C27" s="352">
        <f>+'49'!C27+'50'!C27+'51'!C27+'52'!C27</f>
        <v>0</v>
      </c>
      <c r="D27" s="352">
        <f>+'49'!D27+'50'!D27+'51'!D27+'52'!D27</f>
        <v>0</v>
      </c>
      <c r="E27" s="340">
        <f>+'49'!E27+'50'!E27+'51'!E27+'52'!E27</f>
        <v>0</v>
      </c>
      <c r="F27" s="353">
        <f>+'49'!F27+'50'!F27+'51'!F27+'52'!F27</f>
        <v>372</v>
      </c>
      <c r="G27" s="352">
        <f>+'49'!G27+'50'!G27+'51'!G27+'52'!G27</f>
        <v>584</v>
      </c>
      <c r="H27" s="352">
        <f>+'49'!H27+'50'!H27+'51'!H27+'52'!H27</f>
        <v>872</v>
      </c>
      <c r="I27" s="340">
        <f>+'49'!I27+'50'!I27+'51'!I27+'52'!I27</f>
        <v>1335</v>
      </c>
      <c r="J27" s="352">
        <f>+'49'!J27+'50'!J27+'51'!J27+'52'!J27</f>
        <v>0</v>
      </c>
      <c r="K27" s="352">
        <f>+'49'!K27+'50'!K27+'51'!K27+'52'!K27</f>
        <v>0</v>
      </c>
      <c r="L27" s="352">
        <f>+'49'!L27+'50'!L27+'51'!L27+'52'!L27</f>
        <v>0</v>
      </c>
      <c r="M27" s="340">
        <f>+'49'!M27+'50'!M27+'51'!M27+'52'!M27</f>
        <v>0</v>
      </c>
      <c r="N27" s="352">
        <f>+'49'!N27+'50'!N27+'51'!N27+'52'!N27</f>
        <v>0</v>
      </c>
      <c r="O27" s="352">
        <f>+'49'!O27+'50'!O27+'51'!O27+'52'!O27</f>
        <v>0</v>
      </c>
      <c r="P27" s="352">
        <f>+'49'!O27+'50'!O27+'51'!O27+'52'!O27</f>
        <v>0</v>
      </c>
      <c r="Q27" s="340">
        <f>+'49'!P27+'50'!P27+'51'!P27+'52'!P27</f>
        <v>0</v>
      </c>
      <c r="R27" s="352">
        <f>+'49'!R27+'50'!R27+'51'!R27+'52'!R27</f>
        <v>0</v>
      </c>
      <c r="S27" s="255">
        <f>+'49'!S27+'50'!S27+'51'!S27+'52'!S27</f>
        <v>0</v>
      </c>
      <c r="T27" s="352">
        <f>+'49'!T27+'50'!T27+'51'!T27+'52'!T27</f>
        <v>0</v>
      </c>
      <c r="U27" s="340">
        <f>+'49'!U27+'50'!U27+'51'!U27+'52'!U27</f>
        <v>0</v>
      </c>
      <c r="V27" s="352"/>
      <c r="W27" s="255"/>
      <c r="X27" s="352"/>
      <c r="Y27" s="340"/>
      <c r="Z27" s="255"/>
      <c r="AA27" s="255"/>
      <c r="AB27" s="352"/>
      <c r="AC27" s="340"/>
      <c r="AD27" s="255">
        <f t="shared" si="2"/>
        <v>372</v>
      </c>
      <c r="AE27" s="255">
        <f t="shared" si="3"/>
        <v>584</v>
      </c>
      <c r="AF27" s="352">
        <f t="shared" si="4"/>
        <v>872</v>
      </c>
      <c r="AG27" s="340">
        <f t="shared" si="5"/>
        <v>1335</v>
      </c>
      <c r="AH27" s="763"/>
    </row>
    <row r="28" spans="1:34" ht="18" customHeight="1">
      <c r="A28" s="67" t="s">
        <v>1290</v>
      </c>
      <c r="B28" s="352">
        <f>+'49'!B28+'50'!B28+'51'!B28+'52'!B28</f>
        <v>0</v>
      </c>
      <c r="C28" s="352">
        <f>+'49'!C28+'50'!C28+'51'!C28+'52'!C28</f>
        <v>0</v>
      </c>
      <c r="D28" s="352">
        <f>+'49'!D28+'50'!D28+'51'!D28+'52'!D28</f>
        <v>0</v>
      </c>
      <c r="E28" s="340">
        <f>+'49'!E28+'50'!E28+'51'!E28+'52'!E28</f>
        <v>0</v>
      </c>
      <c r="F28" s="353">
        <f>+'49'!F28+'50'!F28+'51'!F28+'52'!F28</f>
        <v>148</v>
      </c>
      <c r="G28" s="352">
        <f>+'49'!G28+'50'!G28+'51'!G28+'52'!G28</f>
        <v>590</v>
      </c>
      <c r="H28" s="352">
        <f>+'49'!H28+'50'!H28+'51'!H28+'52'!H28</f>
        <v>589</v>
      </c>
      <c r="I28" s="340">
        <f>+'49'!I28+'50'!I28+'51'!I28+'52'!I28</f>
        <v>704</v>
      </c>
      <c r="J28" s="352">
        <f>+'49'!J28+'50'!J28+'51'!J28+'52'!J28</f>
        <v>0</v>
      </c>
      <c r="K28" s="352">
        <f>+'49'!K28+'50'!K28+'51'!K28+'52'!K28</f>
        <v>0</v>
      </c>
      <c r="L28" s="352">
        <f>+'49'!L28+'50'!L28+'51'!L28+'52'!L28</f>
        <v>0</v>
      </c>
      <c r="M28" s="340">
        <f>+'49'!M28+'50'!M28+'51'!M28+'52'!M28</f>
        <v>0</v>
      </c>
      <c r="N28" s="352">
        <f>+'49'!N28+'50'!N28+'51'!N28+'52'!N28</f>
        <v>0</v>
      </c>
      <c r="O28" s="352">
        <f>+'49'!O28+'50'!O28+'51'!O28+'52'!O28</f>
        <v>0</v>
      </c>
      <c r="P28" s="352">
        <f>+'49'!O28+'50'!O28+'51'!O28+'52'!O28</f>
        <v>0</v>
      </c>
      <c r="Q28" s="340">
        <f>+'49'!P28+'50'!P28+'51'!P28+'52'!P28</f>
        <v>0</v>
      </c>
      <c r="R28" s="352">
        <f>+'49'!R28+'50'!R28+'51'!R28+'52'!R28</f>
        <v>0</v>
      </c>
      <c r="S28" s="255">
        <f>+'49'!S28+'50'!S28+'51'!S28+'52'!S28</f>
        <v>0</v>
      </c>
      <c r="T28" s="352">
        <f>+'49'!T28+'50'!T28+'51'!T28+'52'!T28</f>
        <v>0</v>
      </c>
      <c r="U28" s="340">
        <f>+'49'!U28+'50'!U28+'51'!U28+'52'!U28</f>
        <v>0</v>
      </c>
      <c r="V28" s="352"/>
      <c r="W28" s="255"/>
      <c r="X28" s="352"/>
      <c r="Y28" s="340"/>
      <c r="Z28" s="255"/>
      <c r="AA28" s="255"/>
      <c r="AB28" s="352"/>
      <c r="AC28" s="340"/>
      <c r="AD28" s="255">
        <f t="shared" si="2"/>
        <v>148</v>
      </c>
      <c r="AE28" s="255">
        <f t="shared" si="3"/>
        <v>590</v>
      </c>
      <c r="AF28" s="352">
        <f t="shared" si="4"/>
        <v>589</v>
      </c>
      <c r="AG28" s="340">
        <f t="shared" si="5"/>
        <v>704</v>
      </c>
      <c r="AH28" s="763"/>
    </row>
    <row r="29" spans="1:34" ht="18" customHeight="1">
      <c r="A29" s="67" t="s">
        <v>920</v>
      </c>
      <c r="B29" s="352">
        <f>+'49'!B29+'50'!B29+'51'!B29+'52'!B29</f>
        <v>2495</v>
      </c>
      <c r="C29" s="352">
        <f>+'49'!C29+'50'!C29+'51'!C29+'52'!C29</f>
        <v>3455</v>
      </c>
      <c r="D29" s="352">
        <f>+'49'!D29+'50'!D29+'51'!D29+'52'!D29</f>
        <v>4567</v>
      </c>
      <c r="E29" s="340">
        <f>+'49'!E29+'50'!E29+'51'!E29+'52'!E29</f>
        <v>3941</v>
      </c>
      <c r="F29" s="353">
        <f>+'49'!F29+'50'!F29+'51'!F29+'52'!F29</f>
        <v>0</v>
      </c>
      <c r="G29" s="352">
        <f>+'49'!G29+'50'!G29+'51'!G29+'52'!G29</f>
        <v>0</v>
      </c>
      <c r="H29" s="352">
        <f>+'49'!H29+'50'!H29+'51'!H29+'52'!H29</f>
        <v>0</v>
      </c>
      <c r="I29" s="340">
        <f>+'49'!I29+'50'!I29+'51'!I29+'52'!I29</f>
        <v>0</v>
      </c>
      <c r="J29" s="352">
        <f>+'49'!J29+'50'!J29+'51'!J29+'52'!J29</f>
        <v>0</v>
      </c>
      <c r="K29" s="352">
        <f>+'49'!K29+'50'!K29+'51'!K29+'52'!K29</f>
        <v>0</v>
      </c>
      <c r="L29" s="352">
        <f>+'49'!L29+'50'!L29+'51'!L29+'52'!L29</f>
        <v>0</v>
      </c>
      <c r="M29" s="340">
        <f>+'49'!M29+'50'!M29+'51'!M29+'52'!M29</f>
        <v>0</v>
      </c>
      <c r="N29" s="352">
        <f>+'49'!N29+'50'!N29+'51'!N29+'52'!N29</f>
        <v>0</v>
      </c>
      <c r="O29" s="352">
        <f>+'49'!O29+'50'!O29+'51'!O29+'52'!O29</f>
        <v>0</v>
      </c>
      <c r="P29" s="352">
        <f>+'49'!O29+'50'!O29+'51'!O29+'52'!O29</f>
        <v>0</v>
      </c>
      <c r="Q29" s="340">
        <f>+'49'!P29+'50'!P29+'51'!P29+'52'!P29</f>
        <v>0</v>
      </c>
      <c r="R29" s="352">
        <f>+'49'!R29+'50'!R29+'51'!R29+'52'!R29</f>
        <v>0</v>
      </c>
      <c r="S29" s="255">
        <f>+'49'!S29+'50'!S29+'51'!S29+'52'!S29</f>
        <v>0</v>
      </c>
      <c r="T29" s="352">
        <f>+'49'!T29+'50'!T29+'51'!T29+'52'!T29</f>
        <v>0</v>
      </c>
      <c r="U29" s="340">
        <f>+'49'!U29+'50'!U29+'51'!U29+'52'!U29</f>
        <v>0</v>
      </c>
      <c r="V29" s="352"/>
      <c r="W29" s="255"/>
      <c r="X29" s="352"/>
      <c r="Y29" s="340"/>
      <c r="Z29" s="255"/>
      <c r="AA29" s="255"/>
      <c r="AB29" s="352"/>
      <c r="AC29" s="340"/>
      <c r="AD29" s="255">
        <f t="shared" si="2"/>
        <v>2495</v>
      </c>
      <c r="AE29" s="255">
        <f t="shared" si="3"/>
        <v>3455</v>
      </c>
      <c r="AF29" s="352">
        <f t="shared" si="4"/>
        <v>4567</v>
      </c>
      <c r="AG29" s="340">
        <f t="shared" si="5"/>
        <v>3941</v>
      </c>
      <c r="AH29" s="763"/>
    </row>
    <row r="30" spans="1:34" ht="18" customHeight="1">
      <c r="A30" s="67" t="s">
        <v>921</v>
      </c>
      <c r="B30" s="352">
        <f>+'49'!B30+'50'!B30+'51'!B30+'52'!B30</f>
        <v>2642</v>
      </c>
      <c r="C30" s="352">
        <f>+'49'!C30+'50'!C30+'51'!C30+'52'!C30</f>
        <v>3016</v>
      </c>
      <c r="D30" s="352">
        <f>+'49'!D30+'50'!D30+'51'!D30+'52'!D30</f>
        <v>4247</v>
      </c>
      <c r="E30" s="340">
        <f>+'49'!E30+'50'!E30+'51'!E30+'52'!E30</f>
        <v>4801</v>
      </c>
      <c r="F30" s="353">
        <f>+'49'!F30+'50'!F30+'51'!F30+'52'!F30</f>
        <v>2554</v>
      </c>
      <c r="G30" s="352">
        <f>+'49'!G30+'50'!G30+'51'!G30+'52'!G30</f>
        <v>2728</v>
      </c>
      <c r="H30" s="352">
        <f>+'49'!H30+'50'!H30+'51'!H30+'52'!H30</f>
        <v>2972</v>
      </c>
      <c r="I30" s="340">
        <f>+'49'!I30+'50'!I30+'51'!I30+'52'!I30</f>
        <v>1904</v>
      </c>
      <c r="J30" s="352">
        <f>+'49'!J30+'50'!J30+'51'!J30+'52'!J30</f>
        <v>734</v>
      </c>
      <c r="K30" s="352">
        <f>+'49'!K30+'50'!K30+'51'!K30+'52'!K30</f>
        <v>871</v>
      </c>
      <c r="L30" s="352">
        <f>+'49'!L30+'50'!L30+'51'!L30+'52'!L30</f>
        <v>927</v>
      </c>
      <c r="M30" s="340">
        <f>+'49'!M30+'50'!M30+'51'!M30+'52'!M30</f>
        <v>826</v>
      </c>
      <c r="N30" s="352">
        <f>+'49'!N30+'50'!N30+'51'!N30+'52'!N30</f>
        <v>0</v>
      </c>
      <c r="O30" s="352">
        <f>+'49'!O30+'50'!O30+'51'!O30+'52'!O30</f>
        <v>0</v>
      </c>
      <c r="P30" s="352">
        <f>+'49'!O30+'50'!O30+'51'!O30+'52'!O30</f>
        <v>0</v>
      </c>
      <c r="Q30" s="340">
        <f>+'49'!P30+'50'!P30+'51'!P30+'52'!P30</f>
        <v>0</v>
      </c>
      <c r="R30" s="352">
        <f>+'49'!R30+'50'!R30+'51'!R30+'52'!R30</f>
        <v>0</v>
      </c>
      <c r="S30" s="255">
        <f>+'49'!S30+'50'!S30+'51'!S30+'52'!S30</f>
        <v>0</v>
      </c>
      <c r="T30" s="352">
        <f>+'49'!T30+'50'!T30+'51'!T30+'52'!T30</f>
        <v>0</v>
      </c>
      <c r="U30" s="340">
        <f>+'49'!U30+'50'!U30+'51'!U30+'52'!U30</f>
        <v>0</v>
      </c>
      <c r="V30" s="352"/>
      <c r="W30" s="255"/>
      <c r="X30" s="352"/>
      <c r="Y30" s="340"/>
      <c r="Z30" s="255"/>
      <c r="AA30" s="255"/>
      <c r="AB30" s="352"/>
      <c r="AC30" s="340"/>
      <c r="AD30" s="255">
        <f t="shared" si="2"/>
        <v>5930</v>
      </c>
      <c r="AE30" s="255">
        <f t="shared" si="3"/>
        <v>6615</v>
      </c>
      <c r="AF30" s="352">
        <f t="shared" si="4"/>
        <v>8146</v>
      </c>
      <c r="AG30" s="340">
        <f t="shared" si="5"/>
        <v>7531</v>
      </c>
      <c r="AH30" s="763"/>
    </row>
    <row r="31" spans="1:34" ht="18" customHeight="1">
      <c r="A31" s="67" t="s">
        <v>922</v>
      </c>
      <c r="B31" s="352">
        <f>+'49'!B31+'50'!B31+'51'!B31+'52'!B31</f>
        <v>1848</v>
      </c>
      <c r="C31" s="352">
        <f>+'49'!C31+'50'!C31+'51'!C31+'52'!C31</f>
        <v>3391</v>
      </c>
      <c r="D31" s="352">
        <f>+'49'!D31+'50'!D31+'51'!D31+'52'!D31</f>
        <v>4016</v>
      </c>
      <c r="E31" s="340">
        <f>+'49'!E31+'50'!E31+'51'!E31+'52'!E31</f>
        <v>4461</v>
      </c>
      <c r="F31" s="353">
        <f>+'49'!F31+'50'!F31+'51'!F31+'52'!F31</f>
        <v>1787</v>
      </c>
      <c r="G31" s="352">
        <f>+'49'!G31+'50'!G31+'51'!G31+'52'!G31</f>
        <v>3380</v>
      </c>
      <c r="H31" s="352">
        <f>+'49'!H31+'50'!H31+'51'!H31+'52'!H31</f>
        <v>4085</v>
      </c>
      <c r="I31" s="340">
        <f>+'49'!I31+'50'!I31+'51'!I31+'52'!I31</f>
        <v>5202</v>
      </c>
      <c r="J31" s="352">
        <f>+'49'!J31+'50'!J31+'51'!J31+'52'!J31</f>
        <v>0</v>
      </c>
      <c r="K31" s="352">
        <f>+'49'!K31+'50'!K31+'51'!K31+'52'!K31</f>
        <v>0</v>
      </c>
      <c r="L31" s="352">
        <f>+'49'!L31+'50'!L31+'51'!L31+'52'!L31</f>
        <v>59</v>
      </c>
      <c r="M31" s="340">
        <f>+'49'!M31+'50'!M31+'51'!M31+'52'!M31</f>
        <v>0</v>
      </c>
      <c r="N31" s="352">
        <f>+'49'!N31+'50'!N31+'51'!N31+'52'!N31</f>
        <v>0</v>
      </c>
      <c r="O31" s="352">
        <f>+'49'!O31+'50'!O31+'51'!O31+'52'!O31</f>
        <v>0</v>
      </c>
      <c r="P31" s="352">
        <f>+'49'!O31+'50'!O31+'51'!O31+'52'!O31</f>
        <v>0</v>
      </c>
      <c r="Q31" s="340">
        <f>+'49'!P31+'50'!P31+'51'!P31+'52'!P31</f>
        <v>0</v>
      </c>
      <c r="R31" s="352">
        <f>+'49'!R31+'50'!R31+'51'!R31+'52'!R31</f>
        <v>0</v>
      </c>
      <c r="S31" s="255">
        <f>+'49'!S31+'50'!S31+'51'!S31+'52'!S31</f>
        <v>0</v>
      </c>
      <c r="T31" s="352">
        <f>+'49'!T31+'50'!T31+'51'!T31+'52'!T31</f>
        <v>0</v>
      </c>
      <c r="U31" s="340">
        <f>+'49'!U31+'50'!U31+'51'!U31+'52'!U31</f>
        <v>0</v>
      </c>
      <c r="V31" s="352"/>
      <c r="W31" s="255"/>
      <c r="X31" s="352"/>
      <c r="Y31" s="340"/>
      <c r="Z31" s="255"/>
      <c r="AA31" s="255"/>
      <c r="AB31" s="352"/>
      <c r="AC31" s="340"/>
      <c r="AD31" s="255">
        <f t="shared" si="2"/>
        <v>3635</v>
      </c>
      <c r="AE31" s="255">
        <f t="shared" si="3"/>
        <v>6771</v>
      </c>
      <c r="AF31" s="352">
        <f t="shared" si="4"/>
        <v>8160</v>
      </c>
      <c r="AG31" s="340">
        <f t="shared" si="5"/>
        <v>9663</v>
      </c>
      <c r="AH31" s="763"/>
    </row>
    <row r="32" spans="1:34" ht="18" customHeight="1">
      <c r="A32" s="67" t="s">
        <v>923</v>
      </c>
      <c r="B32" s="352">
        <f>+'49'!B32+'50'!B32+'51'!B32+'52'!B32</f>
        <v>4986</v>
      </c>
      <c r="C32" s="352">
        <f>+'49'!C32+'50'!C32+'51'!C32+'52'!C32</f>
        <v>6206</v>
      </c>
      <c r="D32" s="352">
        <f>+'49'!D32+'50'!D32+'51'!D32+'52'!D32</f>
        <v>3718</v>
      </c>
      <c r="E32" s="340">
        <f>+'49'!E32+'50'!E32+'51'!E32+'52'!E32</f>
        <v>3172</v>
      </c>
      <c r="F32" s="353">
        <f>+'49'!F32+'50'!F32+'51'!F32+'52'!F32</f>
        <v>0</v>
      </c>
      <c r="G32" s="352">
        <f>+'49'!G32+'50'!G32+'51'!G32+'52'!G32</f>
        <v>0</v>
      </c>
      <c r="H32" s="352">
        <f>+'49'!H32+'50'!H32+'51'!H32+'52'!H32</f>
        <v>0</v>
      </c>
      <c r="I32" s="340">
        <f>+'49'!I32+'50'!I32+'51'!I32+'52'!I32</f>
        <v>0</v>
      </c>
      <c r="J32" s="352">
        <f>+'49'!J32+'50'!J32+'51'!J32+'52'!J32</f>
        <v>0</v>
      </c>
      <c r="K32" s="352">
        <f>+'49'!K32+'50'!K32+'51'!K32+'52'!K32</f>
        <v>0</v>
      </c>
      <c r="L32" s="352">
        <f>+'49'!L32+'50'!L32+'51'!L32+'52'!L32</f>
        <v>0</v>
      </c>
      <c r="M32" s="340">
        <f>+'49'!M32+'50'!M32+'51'!M32+'52'!M32</f>
        <v>0</v>
      </c>
      <c r="N32" s="352">
        <f>+'49'!N32+'50'!N32+'51'!N32+'52'!N32</f>
        <v>0</v>
      </c>
      <c r="O32" s="352">
        <f>+'49'!O32+'50'!O32+'51'!O32+'52'!O32</f>
        <v>0</v>
      </c>
      <c r="P32" s="352">
        <f>+'49'!O32+'50'!O32+'51'!O32+'52'!O32</f>
        <v>0</v>
      </c>
      <c r="Q32" s="340">
        <f>+'49'!P32+'50'!P32+'51'!P32+'52'!P32</f>
        <v>0</v>
      </c>
      <c r="R32" s="352">
        <f>+'49'!R32+'50'!R32+'51'!R32+'52'!R32</f>
        <v>0</v>
      </c>
      <c r="S32" s="255">
        <f>+'49'!S32+'50'!S32+'51'!S32+'52'!S32</f>
        <v>0</v>
      </c>
      <c r="T32" s="352">
        <f>+'49'!T32+'50'!T32+'51'!T32+'52'!T32</f>
        <v>0</v>
      </c>
      <c r="U32" s="340">
        <f>+'49'!U32+'50'!U32+'51'!U32+'52'!U32</f>
        <v>0</v>
      </c>
      <c r="V32" s="352"/>
      <c r="W32" s="255"/>
      <c r="X32" s="352"/>
      <c r="Y32" s="340"/>
      <c r="Z32" s="255"/>
      <c r="AA32" s="255"/>
      <c r="AB32" s="352"/>
      <c r="AC32" s="340"/>
      <c r="AD32" s="255">
        <f t="shared" si="2"/>
        <v>4986</v>
      </c>
      <c r="AE32" s="255">
        <f t="shared" si="3"/>
        <v>6206</v>
      </c>
      <c r="AF32" s="352">
        <f t="shared" si="4"/>
        <v>3718</v>
      </c>
      <c r="AG32" s="340">
        <f t="shared" si="5"/>
        <v>3172</v>
      </c>
      <c r="AH32" s="763"/>
    </row>
    <row r="33" spans="1:34" ht="18" customHeight="1">
      <c r="A33" s="67" t="s">
        <v>924</v>
      </c>
      <c r="B33" s="352">
        <f>+'49'!B33+'50'!B33+'51'!B33+'52'!B33</f>
        <v>4329</v>
      </c>
      <c r="C33" s="352">
        <f>+'49'!C33+'50'!C33+'51'!C33+'52'!C33</f>
        <v>5407</v>
      </c>
      <c r="D33" s="352">
        <f>+'49'!D33+'50'!D33+'51'!D33+'52'!D33</f>
        <v>4326</v>
      </c>
      <c r="E33" s="340">
        <f>+'49'!E33+'50'!E33+'51'!E33+'52'!E33</f>
        <v>5939</v>
      </c>
      <c r="F33" s="353">
        <f>+'49'!F33+'50'!F33+'51'!F33+'52'!F33</f>
        <v>0</v>
      </c>
      <c r="G33" s="352">
        <f>+'49'!G33+'50'!G33+'51'!G33+'52'!G33</f>
        <v>0</v>
      </c>
      <c r="H33" s="352">
        <f>+'49'!H33+'50'!H33+'51'!H33+'52'!H33</f>
        <v>0</v>
      </c>
      <c r="I33" s="340">
        <f>+'49'!I33+'50'!I33+'51'!I33+'52'!I33</f>
        <v>0</v>
      </c>
      <c r="J33" s="352">
        <f>+'49'!J33+'50'!J33+'51'!J33+'52'!J33</f>
        <v>0</v>
      </c>
      <c r="K33" s="352">
        <f>+'49'!K33+'50'!K33+'51'!K33+'52'!K33</f>
        <v>0</v>
      </c>
      <c r="L33" s="352">
        <f>+'49'!L33+'50'!L33+'51'!L33+'52'!L33</f>
        <v>0</v>
      </c>
      <c r="M33" s="340">
        <f>+'49'!M33+'50'!M33+'51'!M33+'52'!M33</f>
        <v>0</v>
      </c>
      <c r="N33" s="352">
        <f>+'49'!N33+'50'!N33+'51'!N33+'52'!N33</f>
        <v>0</v>
      </c>
      <c r="O33" s="352">
        <f>+'49'!O33+'50'!O33+'51'!O33+'52'!O33</f>
        <v>0</v>
      </c>
      <c r="P33" s="352">
        <f>+'49'!O33+'50'!O33+'51'!O33+'52'!O33</f>
        <v>0</v>
      </c>
      <c r="Q33" s="340">
        <f>+'49'!P33+'50'!P33+'51'!P33+'52'!P33</f>
        <v>0</v>
      </c>
      <c r="R33" s="352">
        <f>+'49'!R33+'50'!R33+'51'!R33+'52'!R33</f>
        <v>0</v>
      </c>
      <c r="S33" s="255">
        <f>+'49'!S33+'50'!S33+'51'!S33+'52'!S33</f>
        <v>0</v>
      </c>
      <c r="T33" s="352">
        <f>+'49'!T33+'50'!T33+'51'!T33+'52'!T33</f>
        <v>0</v>
      </c>
      <c r="U33" s="340">
        <f>+'49'!U33+'50'!U33+'51'!U33+'52'!U33</f>
        <v>0</v>
      </c>
      <c r="V33" s="352"/>
      <c r="W33" s="255"/>
      <c r="X33" s="352"/>
      <c r="Y33" s="340"/>
      <c r="Z33" s="255"/>
      <c r="AA33" s="255"/>
      <c r="AB33" s="352"/>
      <c r="AC33" s="340"/>
      <c r="AD33" s="255">
        <f t="shared" si="2"/>
        <v>4329</v>
      </c>
      <c r="AE33" s="255">
        <f t="shared" si="3"/>
        <v>5407</v>
      </c>
      <c r="AF33" s="352">
        <f t="shared" si="4"/>
        <v>4326</v>
      </c>
      <c r="AG33" s="340">
        <f t="shared" si="5"/>
        <v>5939</v>
      </c>
      <c r="AH33" s="763"/>
    </row>
    <row r="34" spans="1:34" ht="18" customHeight="1">
      <c r="A34" s="67" t="s">
        <v>925</v>
      </c>
      <c r="B34" s="352">
        <f>+'49'!B34+'50'!B34+'51'!B34+'52'!B34</f>
        <v>0</v>
      </c>
      <c r="C34" s="352">
        <f>+'49'!C34+'50'!C34+'51'!C34+'52'!C34</f>
        <v>0</v>
      </c>
      <c r="D34" s="352">
        <f>+'49'!D34+'50'!D34+'51'!D34+'52'!D34</f>
        <v>0</v>
      </c>
      <c r="E34" s="340">
        <f>+'49'!E34+'50'!E34+'51'!E34+'52'!E34</f>
        <v>0</v>
      </c>
      <c r="F34" s="353">
        <f>+'49'!F34+'50'!F34+'51'!F34+'52'!F34</f>
        <v>6986</v>
      </c>
      <c r="G34" s="352">
        <f>+'49'!G34+'50'!G34+'51'!G34+'52'!G34</f>
        <v>10541</v>
      </c>
      <c r="H34" s="352">
        <f>+'49'!H34+'50'!H34+'51'!H34+'52'!H34</f>
        <v>14313</v>
      </c>
      <c r="I34" s="340">
        <f>+'49'!I34+'50'!I34+'51'!I34+'52'!I34</f>
        <v>16944</v>
      </c>
      <c r="J34" s="352">
        <f>+'49'!J34+'50'!J34+'51'!J34+'52'!J34</f>
        <v>0</v>
      </c>
      <c r="K34" s="352">
        <f>+'49'!K34+'50'!K34+'51'!K34+'52'!K34</f>
        <v>0</v>
      </c>
      <c r="L34" s="352">
        <f>+'49'!L34+'50'!L34+'51'!L34+'52'!L34</f>
        <v>0</v>
      </c>
      <c r="M34" s="340">
        <f>+'49'!M34+'50'!M34+'51'!M34+'52'!M34</f>
        <v>0</v>
      </c>
      <c r="N34" s="352">
        <f>+'49'!N34+'50'!N34+'51'!N34+'52'!N34</f>
        <v>0</v>
      </c>
      <c r="O34" s="352">
        <f>+'49'!O34+'50'!O34+'51'!O34+'52'!O34</f>
        <v>0</v>
      </c>
      <c r="P34" s="352">
        <f>+'49'!O34+'50'!O34+'51'!O34+'52'!O34</f>
        <v>0</v>
      </c>
      <c r="Q34" s="340">
        <f>+'49'!P34+'50'!P34+'51'!P34+'52'!P34</f>
        <v>0</v>
      </c>
      <c r="R34" s="352">
        <f>+'49'!R34+'50'!R34+'51'!R34+'52'!R34</f>
        <v>0</v>
      </c>
      <c r="S34" s="255">
        <f>+'49'!S34+'50'!S34+'51'!S34+'52'!S34</f>
        <v>0</v>
      </c>
      <c r="T34" s="352">
        <f>+'49'!T34+'50'!T34+'51'!T34+'52'!T34</f>
        <v>0</v>
      </c>
      <c r="U34" s="340">
        <f>+'49'!U34+'50'!U34+'51'!U34+'52'!U34</f>
        <v>0</v>
      </c>
      <c r="V34" s="352"/>
      <c r="W34" s="255"/>
      <c r="X34" s="352"/>
      <c r="Y34" s="340"/>
      <c r="Z34" s="255"/>
      <c r="AA34" s="255"/>
      <c r="AB34" s="352"/>
      <c r="AC34" s="340"/>
      <c r="AD34" s="255">
        <f t="shared" si="2"/>
        <v>6986</v>
      </c>
      <c r="AE34" s="255">
        <f t="shared" si="3"/>
        <v>10541</v>
      </c>
      <c r="AF34" s="352">
        <f t="shared" si="4"/>
        <v>14313</v>
      </c>
      <c r="AG34" s="340">
        <f t="shared" si="5"/>
        <v>16944</v>
      </c>
      <c r="AH34" s="763"/>
    </row>
    <row r="35" spans="1:34" ht="18" customHeight="1">
      <c r="A35" s="67" t="s">
        <v>926</v>
      </c>
      <c r="B35" s="352">
        <f>+'49'!B35+'50'!B35+'51'!B35+'52'!B35</f>
        <v>0</v>
      </c>
      <c r="C35" s="352">
        <f>+'49'!C35+'50'!C35+'51'!C35+'52'!C35</f>
        <v>0</v>
      </c>
      <c r="D35" s="352">
        <f>+'49'!D35+'50'!D35+'51'!D35+'52'!D35</f>
        <v>0</v>
      </c>
      <c r="E35" s="340">
        <f>+'49'!E35+'50'!E35+'51'!E35+'52'!E35</f>
        <v>0</v>
      </c>
      <c r="F35" s="353">
        <f>+'49'!F35+'50'!F35+'51'!F35+'52'!F35</f>
        <v>1809</v>
      </c>
      <c r="G35" s="352">
        <f>+'49'!G35+'50'!G35+'51'!G35+'52'!G35</f>
        <v>3569</v>
      </c>
      <c r="H35" s="352">
        <f>+'49'!H35+'50'!H35+'51'!H35+'52'!H35</f>
        <v>6101</v>
      </c>
      <c r="I35" s="340">
        <f>+'49'!I35+'50'!I35+'51'!I35+'52'!I35</f>
        <v>6558</v>
      </c>
      <c r="J35" s="352">
        <f>+'49'!J35+'50'!J35+'51'!J35+'52'!J35</f>
        <v>0</v>
      </c>
      <c r="K35" s="352">
        <f>+'49'!K35+'50'!K35+'51'!K35+'52'!K35</f>
        <v>0</v>
      </c>
      <c r="L35" s="352">
        <f>+'49'!L35+'50'!L35+'51'!L35+'52'!L35</f>
        <v>0</v>
      </c>
      <c r="M35" s="340">
        <f>+'49'!M35+'50'!M35+'51'!M35+'52'!M35</f>
        <v>0</v>
      </c>
      <c r="N35" s="352">
        <f>+'49'!N35+'50'!N35+'51'!N35+'52'!N35</f>
        <v>0</v>
      </c>
      <c r="O35" s="352">
        <f>+'49'!O35+'50'!O35+'51'!O35+'52'!O35</f>
        <v>0</v>
      </c>
      <c r="P35" s="352">
        <f>+'49'!O35+'50'!O35+'51'!O35+'52'!O35</f>
        <v>0</v>
      </c>
      <c r="Q35" s="340">
        <f>+'49'!P35+'50'!P35+'51'!P35+'52'!P35</f>
        <v>0</v>
      </c>
      <c r="R35" s="352">
        <f>+'49'!R35+'50'!R35+'51'!R35+'52'!R35</f>
        <v>0</v>
      </c>
      <c r="S35" s="255">
        <f>+'49'!S35+'50'!S35+'51'!S35+'52'!S35</f>
        <v>0</v>
      </c>
      <c r="T35" s="352">
        <f>+'49'!T35+'50'!T35+'51'!T35+'52'!T35</f>
        <v>0</v>
      </c>
      <c r="U35" s="340">
        <f>+'49'!U35+'50'!U35+'51'!U35+'52'!U35</f>
        <v>0</v>
      </c>
      <c r="V35" s="352"/>
      <c r="W35" s="255"/>
      <c r="X35" s="352"/>
      <c r="Y35" s="340"/>
      <c r="Z35" s="255"/>
      <c r="AA35" s="255"/>
      <c r="AB35" s="352"/>
      <c r="AC35" s="340"/>
      <c r="AD35" s="255">
        <f t="shared" si="2"/>
        <v>1809</v>
      </c>
      <c r="AE35" s="255">
        <f t="shared" si="3"/>
        <v>3569</v>
      </c>
      <c r="AF35" s="352">
        <f t="shared" si="4"/>
        <v>6101</v>
      </c>
      <c r="AG35" s="340">
        <f t="shared" si="5"/>
        <v>6558</v>
      </c>
      <c r="AH35" s="763"/>
    </row>
    <row r="36" spans="1:34" ht="18" customHeight="1">
      <c r="A36" s="67" t="s">
        <v>1409</v>
      </c>
      <c r="B36" s="352">
        <f>+'49'!B36+'50'!B36+'51'!B36+'52'!B36</f>
        <v>0</v>
      </c>
      <c r="C36" s="352">
        <f>+'49'!C36+'50'!C36+'51'!C36+'52'!C36</f>
        <v>0</v>
      </c>
      <c r="D36" s="352">
        <f>+'49'!D36+'50'!D36+'51'!D36+'52'!D36</f>
        <v>0</v>
      </c>
      <c r="E36" s="340">
        <f>+'49'!E36+'50'!E36+'51'!E36+'52'!E36</f>
        <v>0</v>
      </c>
      <c r="F36" s="353"/>
      <c r="G36" s="352"/>
      <c r="H36" s="352"/>
      <c r="I36" s="340">
        <f>+'49'!I36+'50'!I36+'51'!I36+'52'!I36</f>
        <v>1</v>
      </c>
      <c r="J36" s="352"/>
      <c r="K36" s="352"/>
      <c r="L36" s="352"/>
      <c r="M36" s="340"/>
      <c r="N36" s="352"/>
      <c r="O36" s="352">
        <f>+'49'!O36+'50'!O36+'51'!O36+'52'!O36</f>
        <v>0</v>
      </c>
      <c r="P36" s="352"/>
      <c r="Q36" s="340"/>
      <c r="R36" s="352"/>
      <c r="S36" s="255"/>
      <c r="T36" s="352"/>
      <c r="U36" s="340"/>
      <c r="V36" s="352"/>
      <c r="W36" s="255"/>
      <c r="X36" s="352"/>
      <c r="Y36" s="340"/>
      <c r="Z36" s="255"/>
      <c r="AA36" s="255"/>
      <c r="AB36" s="352"/>
      <c r="AC36" s="340"/>
      <c r="AD36" s="255">
        <f t="shared" si="2"/>
        <v>0</v>
      </c>
      <c r="AE36" s="255">
        <f t="shared" si="3"/>
        <v>0</v>
      </c>
      <c r="AF36" s="352">
        <f t="shared" si="4"/>
        <v>0</v>
      </c>
      <c r="AG36" s="340">
        <f t="shared" si="5"/>
        <v>1</v>
      </c>
      <c r="AH36" s="763"/>
    </row>
    <row r="37" spans="1:34" ht="18" customHeight="1">
      <c r="A37" s="67" t="s">
        <v>927</v>
      </c>
      <c r="B37" s="352">
        <f>+'49'!B37+'50'!B37+'51'!B37+'52'!B37</f>
        <v>1242</v>
      </c>
      <c r="C37" s="352">
        <f>+'49'!C37+'50'!C37+'51'!C37+'52'!C37</f>
        <v>2169</v>
      </c>
      <c r="D37" s="352">
        <f>+'49'!D37+'50'!D37+'51'!D37+'52'!D37</f>
        <v>1318</v>
      </c>
      <c r="E37" s="340">
        <f>+'49'!E37+'50'!E37+'51'!E37+'52'!E37</f>
        <v>1995</v>
      </c>
      <c r="F37" s="353">
        <f>+'49'!F37+'50'!F37+'51'!F37+'52'!F37</f>
        <v>0</v>
      </c>
      <c r="G37" s="352">
        <f>+'49'!G37+'50'!G37+'51'!G37+'52'!G37</f>
        <v>0</v>
      </c>
      <c r="H37" s="352">
        <f>+'49'!H37+'50'!H37+'51'!H37+'52'!H37</f>
        <v>0</v>
      </c>
      <c r="I37" s="340">
        <f>+'49'!I37+'50'!I37+'51'!I37+'52'!I37</f>
        <v>0</v>
      </c>
      <c r="J37" s="352">
        <f>+'49'!J37+'50'!J37+'51'!J37+'52'!J37</f>
        <v>0</v>
      </c>
      <c r="K37" s="352">
        <f>+'49'!K37+'50'!K37+'51'!K37+'52'!K37</f>
        <v>0</v>
      </c>
      <c r="L37" s="352">
        <f>+'49'!L37+'50'!L37+'51'!L37+'52'!L37</f>
        <v>0</v>
      </c>
      <c r="M37" s="340">
        <f>+'49'!M37+'50'!M37+'51'!M37+'52'!M37</f>
        <v>0</v>
      </c>
      <c r="N37" s="352">
        <f>+'49'!N37+'50'!N37+'51'!N37+'52'!N37</f>
        <v>0</v>
      </c>
      <c r="O37" s="352">
        <f>+'49'!O37+'50'!O37+'51'!O37+'52'!O37</f>
        <v>0</v>
      </c>
      <c r="P37" s="352">
        <f>+'49'!O37+'50'!O37+'51'!O37+'52'!O37</f>
        <v>0</v>
      </c>
      <c r="Q37" s="340">
        <f>+'49'!P37+'50'!P37+'51'!P37+'52'!P37</f>
        <v>0</v>
      </c>
      <c r="R37" s="352">
        <f>+'49'!R37+'50'!R37+'51'!R37+'52'!R37</f>
        <v>0</v>
      </c>
      <c r="S37" s="255">
        <f>+'49'!S37+'50'!S37+'51'!S37+'52'!S37</f>
        <v>0</v>
      </c>
      <c r="T37" s="352">
        <f>+'49'!T37+'50'!T37+'51'!T37+'52'!T37</f>
        <v>0</v>
      </c>
      <c r="U37" s="340">
        <f>+'49'!U37+'50'!U37+'51'!U37+'52'!U37</f>
        <v>0</v>
      </c>
      <c r="V37" s="352"/>
      <c r="W37" s="255"/>
      <c r="X37" s="352"/>
      <c r="Y37" s="340"/>
      <c r="Z37" s="255"/>
      <c r="AA37" s="255"/>
      <c r="AB37" s="352"/>
      <c r="AC37" s="340"/>
      <c r="AD37" s="255">
        <f t="shared" si="2"/>
        <v>1242</v>
      </c>
      <c r="AE37" s="255">
        <f t="shared" si="3"/>
        <v>2169</v>
      </c>
      <c r="AF37" s="352">
        <f t="shared" si="4"/>
        <v>1318</v>
      </c>
      <c r="AG37" s="340">
        <f t="shared" si="5"/>
        <v>1995</v>
      </c>
      <c r="AH37" s="763"/>
    </row>
    <row r="38" spans="1:34" ht="18" customHeight="1">
      <c r="A38" s="14" t="s">
        <v>767</v>
      </c>
      <c r="B38" s="355">
        <f t="shared" ref="B38:R38" si="6">SUM(B9:B37)</f>
        <v>43822</v>
      </c>
      <c r="C38" s="355">
        <f t="shared" si="6"/>
        <v>56780</v>
      </c>
      <c r="D38" s="355">
        <f t="shared" si="6"/>
        <v>59889</v>
      </c>
      <c r="E38" s="356">
        <f t="shared" ref="E38" si="7">SUM(E9:E37)</f>
        <v>63207</v>
      </c>
      <c r="F38" s="357">
        <f t="shared" si="6"/>
        <v>29340</v>
      </c>
      <c r="G38" s="355">
        <f t="shared" si="6"/>
        <v>42342</v>
      </c>
      <c r="H38" s="355">
        <f t="shared" si="6"/>
        <v>58564</v>
      </c>
      <c r="I38" s="356">
        <f>+'49'!I38+'50'!I38+'51'!I38+'52'!I38</f>
        <v>66396</v>
      </c>
      <c r="J38" s="355">
        <f t="shared" si="6"/>
        <v>1464</v>
      </c>
      <c r="K38" s="355">
        <f t="shared" si="6"/>
        <v>1796</v>
      </c>
      <c r="L38" s="355">
        <f t="shared" si="6"/>
        <v>1617</v>
      </c>
      <c r="M38" s="356">
        <f t="shared" ref="M38" si="8">SUM(M9:M37)</f>
        <v>1499</v>
      </c>
      <c r="N38" s="355">
        <f t="shared" si="6"/>
        <v>0</v>
      </c>
      <c r="O38" s="355">
        <f t="shared" si="6"/>
        <v>0</v>
      </c>
      <c r="P38" s="355">
        <f t="shared" si="6"/>
        <v>0</v>
      </c>
      <c r="Q38" s="356">
        <f t="shared" ref="Q38" si="9">SUM(Q9:Q37)</f>
        <v>0</v>
      </c>
      <c r="R38" s="355">
        <f t="shared" si="6"/>
        <v>0</v>
      </c>
      <c r="S38" s="259">
        <f>SUM(S9:S37)</f>
        <v>0</v>
      </c>
      <c r="T38" s="355">
        <f>SUM(T9:T37)</f>
        <v>0</v>
      </c>
      <c r="U38" s="356">
        <f>SUM(U9:U37)</f>
        <v>0</v>
      </c>
      <c r="V38" s="355">
        <f>SUM(V9:V37)</f>
        <v>1249</v>
      </c>
      <c r="W38" s="355">
        <f>SUM(W9:W37)</f>
        <v>2898</v>
      </c>
      <c r="X38" s="355">
        <f>SUM(X12:X37)</f>
        <v>3377</v>
      </c>
      <c r="Y38" s="356">
        <f>SUM(Y12:Y37)</f>
        <v>3352</v>
      </c>
      <c r="Z38" s="259">
        <f>SUM(Z9:Z37)</f>
        <v>2810</v>
      </c>
      <c r="AA38" s="259">
        <f>SUM(AA9:AA37)</f>
        <v>3209</v>
      </c>
      <c r="AB38" s="355">
        <f>SUM(AB9:AB37)</f>
        <v>3321</v>
      </c>
      <c r="AC38" s="356">
        <f>SUM(AC12:AC37)</f>
        <v>3945</v>
      </c>
      <c r="AD38" s="259">
        <f t="shared" si="2"/>
        <v>78685</v>
      </c>
      <c r="AE38" s="259">
        <f t="shared" si="3"/>
        <v>107025</v>
      </c>
      <c r="AF38" s="355">
        <f t="shared" si="4"/>
        <v>126768</v>
      </c>
      <c r="AG38" s="356">
        <f>+Q38+M38+I38+E38+U38+Y38+AC38</f>
        <v>138399</v>
      </c>
    </row>
    <row r="39" spans="1:34" ht="18" customHeight="1">
      <c r="A39" s="8"/>
      <c r="B39" s="352"/>
      <c r="C39" s="352"/>
      <c r="D39" s="352"/>
      <c r="E39" s="352">
        <f>[7]A07!$B$71</f>
        <v>63207</v>
      </c>
      <c r="F39" s="352"/>
      <c r="G39" s="352"/>
      <c r="H39" s="352"/>
      <c r="I39" s="352">
        <f>[8]A07!$B$71</f>
        <v>66396</v>
      </c>
      <c r="J39" s="352"/>
      <c r="K39" s="352"/>
      <c r="L39" s="352"/>
      <c r="M39" s="352">
        <f>[9]A07!$B$71</f>
        <v>1499</v>
      </c>
      <c r="N39" s="352"/>
      <c r="O39" s="352"/>
      <c r="P39" s="352"/>
      <c r="Q39" s="352">
        <f>[10]A07!$B$71</f>
        <v>0</v>
      </c>
      <c r="R39" s="352"/>
      <c r="S39" s="352"/>
      <c r="T39" s="352"/>
      <c r="U39" s="352">
        <f>[11]A07!$B$71</f>
        <v>0</v>
      </c>
      <c r="V39" s="352"/>
      <c r="W39" s="352"/>
      <c r="X39" s="352"/>
      <c r="Y39" s="352">
        <f>[12]A07!$B$71</f>
        <v>3352</v>
      </c>
      <c r="Z39" s="352"/>
      <c r="AA39" s="352"/>
      <c r="AB39" s="352"/>
      <c r="AC39" s="352">
        <f>[13]A07!$B$71</f>
        <v>3565</v>
      </c>
      <c r="AD39" s="352"/>
      <c r="AE39" s="352"/>
      <c r="AF39" s="352"/>
      <c r="AG39" s="224"/>
    </row>
    <row r="40" spans="1:34" ht="18" customHeight="1">
      <c r="A40" s="334" t="s">
        <v>928</v>
      </c>
      <c r="B40" s="352"/>
      <c r="C40" s="352"/>
      <c r="D40" s="352"/>
      <c r="E40" s="352"/>
      <c r="F40" s="352"/>
      <c r="G40" s="352"/>
      <c r="H40" s="352"/>
      <c r="I40" s="352">
        <f>+I39-I38</f>
        <v>0</v>
      </c>
      <c r="J40" s="352"/>
      <c r="K40" s="352"/>
      <c r="L40" s="352"/>
      <c r="M40" s="352">
        <f>+M39-M38</f>
        <v>0</v>
      </c>
      <c r="N40" s="352"/>
      <c r="O40" s="352"/>
      <c r="P40" s="352"/>
      <c r="Q40" s="352"/>
      <c r="R40" s="352"/>
      <c r="S40" s="352"/>
      <c r="T40" s="352"/>
      <c r="U40" s="352"/>
      <c r="V40" s="352"/>
      <c r="W40" s="352"/>
      <c r="X40" s="352"/>
      <c r="Y40" s="352"/>
      <c r="Z40" s="352"/>
      <c r="AA40" s="352"/>
      <c r="AB40" s="352"/>
      <c r="AC40" s="352">
        <f>[14]A07!$B$71</f>
        <v>380</v>
      </c>
      <c r="AD40" s="352"/>
      <c r="AE40" s="352"/>
      <c r="AF40" s="352"/>
      <c r="AG40" s="352"/>
    </row>
    <row r="41" spans="1:34" ht="18" customHeight="1">
      <c r="A41" s="361" t="s">
        <v>929</v>
      </c>
      <c r="B41" s="358">
        <f>+'49'!B41+'50'!B41+'51'!B41+'52'!B41</f>
        <v>3354</v>
      </c>
      <c r="C41" s="359">
        <f>+'49'!C41+'50'!C41+'51'!C41+'52'!C41</f>
        <v>4351</v>
      </c>
      <c r="D41" s="359">
        <f>+'49'!D41+'50'!D41+'51'!D41+'52'!D41</f>
        <v>5066</v>
      </c>
      <c r="E41" s="359">
        <f>+'49'!E41+'50'!E41+'51'!E41+'52'!E41</f>
        <v>6252</v>
      </c>
      <c r="F41" s="358">
        <f>+'49'!F41+'50'!F41+'51'!F41+'52'!F41</f>
        <v>2559</v>
      </c>
      <c r="G41" s="359">
        <f>+'49'!G41+'50'!G41+'51'!G41+'52'!G41</f>
        <v>6161</v>
      </c>
      <c r="H41" s="359">
        <f>+'49'!H41+'50'!H41+'51'!H41+'52'!H41</f>
        <v>7939</v>
      </c>
      <c r="I41" s="360">
        <f>+'49'!I41+'50'!I41+'51'!I41+'52'!I41</f>
        <v>9346</v>
      </c>
      <c r="J41" s="359">
        <f>+'49'!J41+'50'!J41+'51'!J41+'52'!J41</f>
        <v>0</v>
      </c>
      <c r="K41" s="359">
        <f>+'49'!K41+'50'!K41+'51'!K41+'52'!K41</f>
        <v>0</v>
      </c>
      <c r="L41" s="359">
        <f>+'49'!L41+'50'!L41+'51'!L41+'52'!L41</f>
        <v>0</v>
      </c>
      <c r="M41" s="360">
        <f>+'49'!M41+'50'!M41+'51'!M41+'52'!M41</f>
        <v>0</v>
      </c>
      <c r="N41" s="359">
        <f>+'49'!N41+'50'!N41+'51'!N41+'52'!N41</f>
        <v>0</v>
      </c>
      <c r="O41" s="359">
        <f>+'49'!O41+'50'!O41+'51'!O41+'52'!O41</f>
        <v>0</v>
      </c>
      <c r="P41" s="359">
        <f>+'49'!P41+'50'!P41+'51'!P41+'52'!P41</f>
        <v>277</v>
      </c>
      <c r="Q41" s="360">
        <f>+'49'!Q41+'50'!Q41+'51'!Q41+'52'!Q41</f>
        <v>299</v>
      </c>
      <c r="R41" s="359">
        <f>+'49'!R41+'50'!R41+'51'!R41+'52'!R41</f>
        <v>0</v>
      </c>
      <c r="S41" s="359">
        <f>+'49'!S41+'50'!S41+'51'!S41+'52'!S41</f>
        <v>0</v>
      </c>
      <c r="T41" s="359">
        <f>+'49'!T41+'50'!T41+'51'!T41+'52'!T41</f>
        <v>0</v>
      </c>
      <c r="U41" s="360">
        <f>+'49'!U41+'50'!U41+'51'!U41+'52'!U41</f>
        <v>0</v>
      </c>
      <c r="V41" s="359"/>
      <c r="W41" s="359"/>
      <c r="X41" s="359"/>
      <c r="Y41" s="360"/>
      <c r="Z41" s="359">
        <f>+'49'!Z41+'50'!Z41+'51'!Z41+'52'!Z41</f>
        <v>0</v>
      </c>
      <c r="AA41" s="359"/>
      <c r="AB41" s="359">
        <f>+'49'!AB41+'50'!AB41+'51'!AB41+'52'!AB41</f>
        <v>0</v>
      </c>
      <c r="AC41" s="360"/>
      <c r="AD41" s="359">
        <f t="shared" ref="AD41" si="10">+N41+J41+F41+B41+R41+V41+Z41</f>
        <v>5913</v>
      </c>
      <c r="AE41" s="359">
        <f t="shared" ref="AE41" si="11">+O41+K41+G41+C41+S41+W41+AA41</f>
        <v>10512</v>
      </c>
      <c r="AF41" s="359">
        <f t="shared" ref="AF41" si="12">+P41+L41+H41+D41+T41+X41+AB41</f>
        <v>13282</v>
      </c>
      <c r="AG41" s="360">
        <f t="shared" ref="AG41" si="13">+Q41+M41+I41+E41+U41+Y41+AC41</f>
        <v>15897</v>
      </c>
      <c r="AH41" s="365"/>
    </row>
    <row r="42" spans="1:34" ht="18" customHeight="1">
      <c r="A42" s="363" t="s">
        <v>930</v>
      </c>
      <c r="B42" s="353">
        <f>+'49'!B42+'50'!B42+'51'!B42+'52'!B42</f>
        <v>182</v>
      </c>
      <c r="C42" s="352">
        <f>+'49'!C42+'50'!C42+'51'!C42+'52'!C42</f>
        <v>281</v>
      </c>
      <c r="D42" s="352">
        <f>+'49'!D42+'50'!D42+'51'!D42+'52'!D42</f>
        <v>310</v>
      </c>
      <c r="E42" s="352">
        <f>+'49'!E42+'50'!E42+'51'!E42+'52'!E42</f>
        <v>242</v>
      </c>
      <c r="F42" s="353">
        <f>+'49'!F42+'50'!F42+'51'!F42+'52'!F42</f>
        <v>435</v>
      </c>
      <c r="G42" s="352">
        <f>+'49'!G42+'50'!G42+'51'!G42+'52'!G42</f>
        <v>1109</v>
      </c>
      <c r="H42" s="352">
        <f>+'49'!H42+'50'!H42+'51'!H42+'52'!H42</f>
        <v>1273</v>
      </c>
      <c r="I42" s="340">
        <f>+'49'!I42+'50'!I42+'51'!I42+'52'!I42</f>
        <v>1161</v>
      </c>
      <c r="J42" s="352">
        <f>+'49'!J42+'50'!J42+'51'!J42+'52'!J42</f>
        <v>0</v>
      </c>
      <c r="K42" s="352">
        <f>+'49'!K42+'50'!K42+'51'!K42+'52'!K42</f>
        <v>0</v>
      </c>
      <c r="L42" s="352">
        <f>+'49'!L42+'50'!L42+'51'!L42+'52'!L42</f>
        <v>0</v>
      </c>
      <c r="M42" s="340">
        <f>+'49'!M42+'50'!M42+'51'!M42+'52'!M42</f>
        <v>0</v>
      </c>
      <c r="N42" s="352">
        <f>+'49'!N42+'50'!N42+'51'!N42+'52'!N42</f>
        <v>0</v>
      </c>
      <c r="O42" s="352">
        <f>+'49'!O42+'50'!O42+'51'!O42+'52'!O42</f>
        <v>0</v>
      </c>
      <c r="P42" s="352">
        <f>+'49'!P42+'50'!P42+'51'!P42+'52'!P42</f>
        <v>0</v>
      </c>
      <c r="Q42" s="340">
        <f>+'49'!Q42+'50'!Q42+'51'!Q42+'52'!Q42</f>
        <v>0</v>
      </c>
      <c r="R42" s="352">
        <f>+'49'!R42+'50'!R42+'51'!R42+'52'!R42</f>
        <v>0</v>
      </c>
      <c r="S42" s="352">
        <f>+'49'!S42+'50'!S42+'51'!S42+'52'!S42</f>
        <v>0</v>
      </c>
      <c r="T42" s="352">
        <f>+'49'!T42+'50'!T42+'51'!T42+'52'!T42</f>
        <v>0</v>
      </c>
      <c r="U42" s="340">
        <f>+'49'!U42+'50'!U42+'51'!U42+'52'!U42</f>
        <v>0</v>
      </c>
      <c r="V42" s="352"/>
      <c r="W42" s="352"/>
      <c r="X42" s="352"/>
      <c r="Y42" s="340"/>
      <c r="Z42" s="352">
        <f>+'49'!Z42+'50'!Z42+'51'!Z42+'52'!Z42</f>
        <v>0</v>
      </c>
      <c r="AA42" s="352"/>
      <c r="AB42" s="352">
        <f>+'49'!AB42+'50'!AB42+'51'!AB42+'52'!AB42</f>
        <v>0</v>
      </c>
      <c r="AC42" s="340"/>
      <c r="AD42" s="352">
        <f t="shared" ref="AD42:AD49" si="14">+N42+J42+F42+B42+R42+V42+Z42</f>
        <v>617</v>
      </c>
      <c r="AE42" s="352">
        <f t="shared" ref="AE42:AE49" si="15">+O42+K42+G42+C42+S42+W42+AA42</f>
        <v>1390</v>
      </c>
      <c r="AF42" s="352">
        <f t="shared" ref="AF42:AF49" si="16">+P42+L42+H42+D42+T42+X42+AB42</f>
        <v>1583</v>
      </c>
      <c r="AG42" s="340">
        <f t="shared" ref="AG42:AG49" si="17">+Q42+M42+I42+E42+U42+Y42+AC42</f>
        <v>1403</v>
      </c>
      <c r="AH42" s="365"/>
    </row>
    <row r="43" spans="1:34" ht="18" customHeight="1">
      <c r="A43" s="363" t="s">
        <v>931</v>
      </c>
      <c r="B43" s="353">
        <f>+'49'!B43+'50'!B43+'51'!B43+'52'!B43</f>
        <v>1480</v>
      </c>
      <c r="C43" s="352">
        <f>+'49'!C43+'50'!C43+'51'!C43+'52'!C43</f>
        <v>1699</v>
      </c>
      <c r="D43" s="352">
        <f>+'49'!D43+'50'!D43+'51'!D43+'52'!D43</f>
        <v>1690</v>
      </c>
      <c r="E43" s="352">
        <f>+'49'!E43+'50'!E43+'51'!E43+'52'!E43</f>
        <v>1861</v>
      </c>
      <c r="F43" s="353">
        <f>+'49'!F43+'50'!F43+'51'!F43+'52'!F43</f>
        <v>1255</v>
      </c>
      <c r="G43" s="352">
        <f>+'49'!G43+'50'!G43+'51'!G43+'52'!G43</f>
        <v>2183</v>
      </c>
      <c r="H43" s="352">
        <f>+'49'!H43+'50'!H43+'51'!H43+'52'!H43</f>
        <v>2095</v>
      </c>
      <c r="I43" s="340">
        <f>+'49'!I43+'50'!I43+'51'!I43+'52'!I43</f>
        <v>2045</v>
      </c>
      <c r="J43" s="352">
        <f>+'49'!J43+'50'!J43+'51'!J43+'52'!J43</f>
        <v>0</v>
      </c>
      <c r="K43" s="352">
        <f>+'49'!K43+'50'!K43+'51'!K43+'52'!K43</f>
        <v>0</v>
      </c>
      <c r="L43" s="352">
        <f>+'49'!L43+'50'!L43+'51'!L43+'52'!L43</f>
        <v>0</v>
      </c>
      <c r="M43" s="340">
        <f>+'49'!M43+'50'!M43+'51'!M43+'52'!M43</f>
        <v>0</v>
      </c>
      <c r="N43" s="352">
        <f>+'49'!N43+'50'!N43+'51'!N43+'52'!N43</f>
        <v>0</v>
      </c>
      <c r="O43" s="352">
        <f>+'49'!O43+'50'!O43+'51'!O43+'52'!O43</f>
        <v>0</v>
      </c>
      <c r="P43" s="352">
        <f>+'49'!P43+'50'!P43+'51'!P43+'52'!P43</f>
        <v>0</v>
      </c>
      <c r="Q43" s="340">
        <f>+'49'!Q43+'50'!Q43+'51'!Q43+'52'!Q43</f>
        <v>0</v>
      </c>
      <c r="R43" s="352">
        <f>+'49'!R43+'50'!R43+'51'!R43+'52'!R43</f>
        <v>0</v>
      </c>
      <c r="S43" s="352">
        <f>+'49'!S43+'50'!S43+'51'!S43+'52'!S43</f>
        <v>0</v>
      </c>
      <c r="T43" s="352">
        <f>+'49'!T43+'50'!T43+'51'!T43+'52'!T43</f>
        <v>0</v>
      </c>
      <c r="U43" s="340">
        <f>+'49'!U43+'50'!U43+'51'!U43+'52'!U43</f>
        <v>0</v>
      </c>
      <c r="V43" s="352"/>
      <c r="W43" s="352"/>
      <c r="X43" s="352"/>
      <c r="Y43" s="340"/>
      <c r="Z43" s="352">
        <f>+'49'!Z43+'50'!Z43+'51'!Z43+'52'!Z43</f>
        <v>0</v>
      </c>
      <c r="AA43" s="352"/>
      <c r="AB43" s="352">
        <f>+'49'!AB43+'50'!AB43+'51'!AB43+'52'!AB43</f>
        <v>0</v>
      </c>
      <c r="AC43" s="340"/>
      <c r="AD43" s="352">
        <f t="shared" si="14"/>
        <v>2735</v>
      </c>
      <c r="AE43" s="352">
        <f t="shared" si="15"/>
        <v>3882</v>
      </c>
      <c r="AF43" s="352">
        <f t="shared" si="16"/>
        <v>3785</v>
      </c>
      <c r="AG43" s="340">
        <f t="shared" si="17"/>
        <v>3906</v>
      </c>
      <c r="AH43" s="365"/>
    </row>
    <row r="44" spans="1:34" ht="18" customHeight="1">
      <c r="A44" s="363" t="s">
        <v>932</v>
      </c>
      <c r="B44" s="353">
        <f>+'49'!B44+'50'!B44+'51'!B44+'52'!B44</f>
        <v>572</v>
      </c>
      <c r="C44" s="352">
        <f>+'49'!C44+'50'!C44+'51'!C44+'52'!C44</f>
        <v>0</v>
      </c>
      <c r="D44" s="352">
        <f>+'49'!D44+'50'!D44+'51'!D44+'52'!D44</f>
        <v>0</v>
      </c>
      <c r="E44" s="352">
        <f>+'49'!E44+'50'!E44+'51'!E44+'52'!E44</f>
        <v>1154</v>
      </c>
      <c r="F44" s="353">
        <f>+'49'!F44+'50'!F44+'51'!F44+'52'!F44</f>
        <v>670</v>
      </c>
      <c r="G44" s="352">
        <f>+'49'!G44+'50'!G44+'51'!G44+'52'!G44</f>
        <v>1510</v>
      </c>
      <c r="H44" s="352">
        <f>+'49'!H44+'50'!H44+'51'!H44+'52'!H44</f>
        <v>1717</v>
      </c>
      <c r="I44" s="340">
        <f>+'49'!I44+'50'!I44+'51'!I44+'52'!I44</f>
        <v>1845</v>
      </c>
      <c r="J44" s="352">
        <f>+'49'!J44+'50'!J44+'51'!J44+'52'!J44</f>
        <v>0</v>
      </c>
      <c r="K44" s="352">
        <f>+'49'!K44+'50'!K44+'51'!K44+'52'!K44</f>
        <v>0</v>
      </c>
      <c r="L44" s="352">
        <f>+'49'!L44+'50'!L44+'51'!L44+'52'!L44</f>
        <v>0</v>
      </c>
      <c r="M44" s="340">
        <f>+'49'!M44+'50'!M44+'51'!M44+'52'!M44</f>
        <v>0</v>
      </c>
      <c r="N44" s="352">
        <f>+'49'!N44+'50'!N44+'51'!N44+'52'!N44</f>
        <v>0</v>
      </c>
      <c r="O44" s="352">
        <f>+'49'!O44+'50'!O44+'51'!O44+'52'!O44</f>
        <v>0</v>
      </c>
      <c r="P44" s="352">
        <f>+'49'!P44+'50'!P44+'51'!P44+'52'!P44</f>
        <v>90</v>
      </c>
      <c r="Q44" s="340">
        <f>+'49'!Q44+'50'!Q44+'51'!Q44+'52'!Q44</f>
        <v>43</v>
      </c>
      <c r="R44" s="352">
        <f>+'49'!R44+'50'!R44+'51'!R44+'52'!R44</f>
        <v>0</v>
      </c>
      <c r="S44" s="352">
        <f>+'49'!S44+'50'!S44+'51'!S44+'52'!S44</f>
        <v>0</v>
      </c>
      <c r="T44" s="352">
        <f>+'49'!T44+'50'!T44+'51'!T44+'52'!T44</f>
        <v>0</v>
      </c>
      <c r="U44" s="340">
        <f>+'49'!U44+'50'!U44+'51'!U44+'52'!U44</f>
        <v>0</v>
      </c>
      <c r="V44" s="352"/>
      <c r="W44" s="352"/>
      <c r="X44" s="352"/>
      <c r="Y44" s="340"/>
      <c r="Z44" s="352">
        <f>+'49'!Z44+'50'!Z44+'51'!Z44+'52'!Z44</f>
        <v>0</v>
      </c>
      <c r="AA44" s="352"/>
      <c r="AB44" s="352">
        <f>+'49'!AB44+'50'!AB44+'51'!AB44+'52'!AB44</f>
        <v>0</v>
      </c>
      <c r="AC44" s="340"/>
      <c r="AD44" s="352">
        <f t="shared" si="14"/>
        <v>1242</v>
      </c>
      <c r="AE44" s="352">
        <f t="shared" si="15"/>
        <v>1510</v>
      </c>
      <c r="AF44" s="352">
        <f t="shared" si="16"/>
        <v>1807</v>
      </c>
      <c r="AG44" s="340">
        <f t="shared" si="17"/>
        <v>3042</v>
      </c>
      <c r="AH44" s="365"/>
    </row>
    <row r="45" spans="1:34" ht="18" customHeight="1">
      <c r="A45" s="363" t="s">
        <v>933</v>
      </c>
      <c r="B45" s="353">
        <f>+'49'!B45+'50'!B45+'51'!B45+'52'!B45</f>
        <v>790</v>
      </c>
      <c r="C45" s="352">
        <f>+'49'!C45+'50'!C45+'51'!C45+'52'!C45</f>
        <v>0</v>
      </c>
      <c r="D45" s="352">
        <f>+'49'!D45+'50'!D45+'51'!D45+'52'!D45</f>
        <v>0</v>
      </c>
      <c r="E45" s="352">
        <f>+'49'!E45+'50'!E45+'51'!E45+'52'!E45</f>
        <v>1221</v>
      </c>
      <c r="F45" s="353">
        <f>+'49'!F45+'50'!F45+'51'!F45+'52'!F45</f>
        <v>943</v>
      </c>
      <c r="G45" s="352">
        <f>+'49'!G45+'50'!G45+'51'!G45+'52'!G45</f>
        <v>453</v>
      </c>
      <c r="H45" s="352">
        <f>+'49'!H45+'50'!H45+'51'!H45+'52'!H45</f>
        <v>254</v>
      </c>
      <c r="I45" s="340">
        <f>+'49'!I45+'50'!I45+'51'!I45+'52'!I45</f>
        <v>213</v>
      </c>
      <c r="J45" s="352">
        <f>+'49'!J45+'50'!J45+'51'!J45+'52'!J45</f>
        <v>0</v>
      </c>
      <c r="K45" s="352">
        <f>+'49'!K45+'50'!K45+'51'!K45+'52'!K45</f>
        <v>0</v>
      </c>
      <c r="L45" s="352">
        <f>+'49'!L45+'50'!L45+'51'!L45+'52'!L45</f>
        <v>0</v>
      </c>
      <c r="M45" s="340">
        <f>+'49'!M45+'50'!M45+'51'!M45+'52'!M45</f>
        <v>0</v>
      </c>
      <c r="N45" s="352">
        <f>+'49'!N45+'50'!N45+'51'!N45+'52'!N45</f>
        <v>0</v>
      </c>
      <c r="O45" s="352">
        <f>+'49'!O45+'50'!O45+'51'!O45+'52'!O45</f>
        <v>0</v>
      </c>
      <c r="P45" s="352">
        <f>+'49'!P45+'50'!P45+'51'!P45+'52'!P45</f>
        <v>0</v>
      </c>
      <c r="Q45" s="340">
        <f>+'49'!Q45+'50'!Q45+'51'!Q45+'52'!Q45</f>
        <v>0</v>
      </c>
      <c r="R45" s="352">
        <f>+'49'!R45+'50'!R45+'51'!R45+'52'!R45</f>
        <v>0</v>
      </c>
      <c r="S45" s="352">
        <f>+'49'!S45+'50'!S45+'51'!S45+'52'!S45</f>
        <v>0</v>
      </c>
      <c r="T45" s="352">
        <f>+'49'!T45+'50'!T45+'51'!T45+'52'!T45</f>
        <v>0</v>
      </c>
      <c r="U45" s="340">
        <f>+'49'!U45+'50'!U45+'51'!U45+'52'!U45</f>
        <v>0</v>
      </c>
      <c r="V45" s="352"/>
      <c r="W45" s="352"/>
      <c r="X45" s="352"/>
      <c r="Y45" s="340"/>
      <c r="Z45" s="352">
        <f>+'49'!Z45+'50'!Z45+'51'!Z45+'52'!Z45</f>
        <v>0</v>
      </c>
      <c r="AA45" s="352"/>
      <c r="AB45" s="352">
        <f>+'49'!AB45+'50'!AB45+'51'!AB45+'52'!AB45</f>
        <v>0</v>
      </c>
      <c r="AC45" s="340"/>
      <c r="AD45" s="352">
        <f t="shared" si="14"/>
        <v>1733</v>
      </c>
      <c r="AE45" s="352">
        <f t="shared" si="15"/>
        <v>453</v>
      </c>
      <c r="AF45" s="352">
        <f t="shared" si="16"/>
        <v>254</v>
      </c>
      <c r="AG45" s="340">
        <f t="shared" si="17"/>
        <v>1434</v>
      </c>
      <c r="AH45" s="365"/>
    </row>
    <row r="46" spans="1:34" ht="18" customHeight="1">
      <c r="A46" s="261" t="s">
        <v>934</v>
      </c>
      <c r="B46" s="353">
        <f>+'49'!B46+'50'!B46+'51'!B46+'52'!B46</f>
        <v>0</v>
      </c>
      <c r="C46" s="352">
        <f>+'49'!C46+'50'!C46+'51'!C46+'52'!C46</f>
        <v>0</v>
      </c>
      <c r="D46" s="352">
        <f>+'49'!D46+'50'!D46+'51'!D46+'52'!D46</f>
        <v>0</v>
      </c>
      <c r="E46" s="352">
        <f>+'49'!E46+'50'!E46+'51'!E46+'52'!E46</f>
        <v>0</v>
      </c>
      <c r="F46" s="353">
        <f>+'49'!F46+'50'!F46+'51'!F46+'52'!F46</f>
        <v>0</v>
      </c>
      <c r="G46" s="352">
        <f>+'49'!G46+'50'!G46+'51'!G46+'52'!G46</f>
        <v>0</v>
      </c>
      <c r="H46" s="352">
        <f>+'49'!H46+'50'!H46+'51'!H46+'52'!H46</f>
        <v>0</v>
      </c>
      <c r="I46" s="340">
        <f>+'49'!I46+'50'!I46+'51'!I46+'52'!I46</f>
        <v>0</v>
      </c>
      <c r="J46" s="352">
        <f>+'49'!J46+'50'!J46+'51'!J46+'52'!J46</f>
        <v>0</v>
      </c>
      <c r="K46" s="352">
        <f>+'49'!K46+'50'!K46+'51'!K46+'52'!K46</f>
        <v>0</v>
      </c>
      <c r="L46" s="352">
        <f>+'49'!L46+'50'!L46+'51'!L46+'52'!L46</f>
        <v>0</v>
      </c>
      <c r="M46" s="340">
        <f>+'49'!M46+'50'!M46+'51'!M46+'52'!M46</f>
        <v>0</v>
      </c>
      <c r="N46" s="352">
        <f>+'49'!N46+'50'!N46+'51'!N46+'52'!N46</f>
        <v>0</v>
      </c>
      <c r="O46" s="352">
        <f>+'49'!O46+'50'!O46+'51'!O46+'52'!O46</f>
        <v>0</v>
      </c>
      <c r="P46" s="352">
        <f>+'49'!P46+'50'!P46+'51'!P46+'52'!P46</f>
        <v>0</v>
      </c>
      <c r="Q46" s="340">
        <f>+'49'!Q46+'50'!Q46+'51'!Q46+'52'!Q46</f>
        <v>0</v>
      </c>
      <c r="R46" s="352">
        <f>+'49'!R46+'50'!R46+'51'!R46+'52'!R46</f>
        <v>0</v>
      </c>
      <c r="S46" s="352">
        <f>+'49'!S46+'50'!S46+'51'!S46+'52'!S46</f>
        <v>0</v>
      </c>
      <c r="T46" s="352">
        <f>+'49'!T46+'50'!T46+'51'!T46+'52'!T46</f>
        <v>0</v>
      </c>
      <c r="U46" s="340">
        <f>+'49'!U46+'50'!U46+'51'!U46+'52'!U46</f>
        <v>0</v>
      </c>
      <c r="V46" s="352"/>
      <c r="W46" s="352"/>
      <c r="X46" s="352"/>
      <c r="Y46" s="340"/>
      <c r="Z46" s="352">
        <f>+'49'!Z46+'50'!Z46+'51'!Z46+'52'!Z46</f>
        <v>0</v>
      </c>
      <c r="AA46" s="352"/>
      <c r="AB46" s="352">
        <f>+'49'!AB46+'50'!AB46+'51'!AB46+'52'!AB46</f>
        <v>0</v>
      </c>
      <c r="AC46" s="340"/>
      <c r="AD46" s="352">
        <f t="shared" si="14"/>
        <v>0</v>
      </c>
      <c r="AE46" s="352">
        <f t="shared" si="15"/>
        <v>0</v>
      </c>
      <c r="AF46" s="352">
        <f t="shared" si="16"/>
        <v>0</v>
      </c>
      <c r="AG46" s="340">
        <f t="shared" si="17"/>
        <v>0</v>
      </c>
      <c r="AH46" s="365"/>
    </row>
    <row r="47" spans="1:34" ht="18" customHeight="1">
      <c r="A47" s="261" t="s">
        <v>935</v>
      </c>
      <c r="B47" s="353">
        <f>+'49'!B47+'50'!B47+'51'!B47+'52'!B47</f>
        <v>0</v>
      </c>
      <c r="C47" s="352">
        <f>+'49'!C47+'50'!C47+'51'!C47+'52'!C47</f>
        <v>0</v>
      </c>
      <c r="D47" s="352">
        <f>+'49'!D47+'50'!D47+'51'!D47+'52'!D47</f>
        <v>0</v>
      </c>
      <c r="E47" s="352">
        <f>+'49'!E47+'50'!E47+'51'!E47+'52'!E47</f>
        <v>0</v>
      </c>
      <c r="F47" s="353">
        <f>+'49'!F47+'50'!F47+'51'!F47+'52'!F47</f>
        <v>0</v>
      </c>
      <c r="G47" s="352">
        <f>+'49'!G47+'50'!G47+'51'!G47+'52'!G47</f>
        <v>0</v>
      </c>
      <c r="H47" s="352">
        <f>+'49'!H47+'50'!H47+'51'!H47+'52'!H47</f>
        <v>0</v>
      </c>
      <c r="I47" s="340">
        <f>+'49'!I47+'50'!I47+'51'!I47+'52'!I47</f>
        <v>0</v>
      </c>
      <c r="J47" s="352">
        <f>+'49'!J47+'50'!J47+'51'!J47+'52'!J47</f>
        <v>0</v>
      </c>
      <c r="K47" s="352">
        <f>+'49'!K47+'50'!K47+'51'!K47+'52'!K47</f>
        <v>0</v>
      </c>
      <c r="L47" s="352">
        <f>+'49'!L47+'50'!L47+'51'!L47+'52'!L47</f>
        <v>0</v>
      </c>
      <c r="M47" s="340">
        <f>+'49'!M47+'50'!M47+'51'!M47+'52'!M47</f>
        <v>0</v>
      </c>
      <c r="N47" s="352">
        <f>+'49'!N47+'50'!N47+'51'!N47+'52'!N47</f>
        <v>0</v>
      </c>
      <c r="O47" s="352">
        <f>+'49'!O47+'50'!O47+'51'!O47+'52'!O47</f>
        <v>0</v>
      </c>
      <c r="P47" s="352">
        <f>+'49'!P47+'50'!P47+'51'!P47+'52'!P47</f>
        <v>0</v>
      </c>
      <c r="Q47" s="340">
        <f>+'49'!Q47+'50'!Q47+'51'!Q47+'52'!Q47</f>
        <v>0</v>
      </c>
      <c r="R47" s="352">
        <f>+'49'!R47+'50'!R47+'51'!R47+'52'!R47</f>
        <v>0</v>
      </c>
      <c r="S47" s="255">
        <f>+'49'!S47+'50'!S47+'51'!S47+'52'!S47</f>
        <v>0</v>
      </c>
      <c r="T47" s="352">
        <f>+'49'!T47+'50'!T47+'51'!T47+'52'!T47</f>
        <v>0</v>
      </c>
      <c r="U47" s="340">
        <f>+'49'!U47+'50'!U47+'51'!U47+'52'!U47</f>
        <v>0</v>
      </c>
      <c r="V47" s="352"/>
      <c r="W47" s="255"/>
      <c r="X47" s="352"/>
      <c r="Y47" s="340"/>
      <c r="Z47" s="255">
        <f>+'49'!Z47+'50'!Z47+'51'!Z47+'52'!Z47</f>
        <v>0</v>
      </c>
      <c r="AA47" s="255"/>
      <c r="AB47" s="352">
        <f>+'49'!AB47+'50'!AB47+'51'!AB47+'52'!AB47</f>
        <v>0</v>
      </c>
      <c r="AC47" s="340"/>
      <c r="AD47" s="255">
        <f t="shared" si="14"/>
        <v>0</v>
      </c>
      <c r="AE47" s="255">
        <f t="shared" si="15"/>
        <v>0</v>
      </c>
      <c r="AF47" s="352">
        <f t="shared" si="16"/>
        <v>0</v>
      </c>
      <c r="AG47" s="340">
        <f t="shared" si="17"/>
        <v>0</v>
      </c>
      <c r="AH47" s="365"/>
    </row>
    <row r="48" spans="1:34" ht="18" customHeight="1">
      <c r="A48" s="363" t="str">
        <f>+'51'!A48</f>
        <v xml:space="preserve"> TECNOLOGO  MEDICO</v>
      </c>
      <c r="B48" s="353">
        <f>+'49'!B48+'50'!B48+'51'!B48+'52'!B48</f>
        <v>2621</v>
      </c>
      <c r="C48" s="352">
        <f>+'49'!C48+'50'!C48+'51'!C48+'52'!C48</f>
        <v>3080</v>
      </c>
      <c r="D48" s="352">
        <f>+'49'!D48+'50'!D48+'51'!D48+'52'!D48</f>
        <v>3381</v>
      </c>
      <c r="E48" s="352">
        <f>+'49'!E48+'50'!E48+'51'!E48+'52'!E48</f>
        <v>4379</v>
      </c>
      <c r="F48" s="353">
        <f>+'49'!F48+'50'!F48+'51'!F48+'52'!F48</f>
        <v>0</v>
      </c>
      <c r="G48" s="352">
        <f>+'49'!G48+'50'!G48+'51'!G48+'52'!G48</f>
        <v>0</v>
      </c>
      <c r="H48" s="352">
        <f>+'49'!H48+'50'!H48+'51'!H48+'52'!H48</f>
        <v>0</v>
      </c>
      <c r="I48" s="340">
        <f>+'49'!I48+'50'!I48+'51'!I48+'52'!I48</f>
        <v>0</v>
      </c>
      <c r="J48" s="352">
        <f>+'49'!J48+'50'!J48+'51'!J48+'52'!J48</f>
        <v>0</v>
      </c>
      <c r="K48" s="352">
        <f>+'49'!K48+'50'!K48+'51'!K48+'52'!K48</f>
        <v>0</v>
      </c>
      <c r="L48" s="352">
        <f>+'49'!L48+'50'!L48+'51'!L48+'52'!L48</f>
        <v>0</v>
      </c>
      <c r="M48" s="340">
        <f>+'49'!M48+'50'!M48+'51'!M48+'52'!M48</f>
        <v>0</v>
      </c>
      <c r="N48" s="352">
        <f>+'49'!N48+'50'!N48+'51'!N48+'52'!N48</f>
        <v>0</v>
      </c>
      <c r="O48" s="352">
        <f>+'49'!O48+'50'!O48+'51'!O48+'52'!O48</f>
        <v>0</v>
      </c>
      <c r="P48" s="352">
        <f>+'49'!P48+'50'!P48+'51'!P48+'52'!P48</f>
        <v>0</v>
      </c>
      <c r="Q48" s="340">
        <f>+'49'!Q48+'50'!Q48+'51'!Q48+'52'!Q48</f>
        <v>0</v>
      </c>
      <c r="R48" s="352">
        <f>+'49'!R48+'50'!R48+'51'!R48+'52'!R48</f>
        <v>0</v>
      </c>
      <c r="S48" s="352">
        <f>+'49'!S48+'50'!S48+'51'!S48+'52'!S48</f>
        <v>0</v>
      </c>
      <c r="T48" s="352">
        <f>+'49'!T48+'50'!T48+'51'!T48+'52'!T48</f>
        <v>0</v>
      </c>
      <c r="U48" s="340">
        <f>+'49'!U48+'50'!U48+'51'!U48+'52'!U48</f>
        <v>0</v>
      </c>
      <c r="V48" s="352"/>
      <c r="W48" s="352"/>
      <c r="X48" s="352"/>
      <c r="Y48" s="340"/>
      <c r="Z48" s="352">
        <f>+'49'!Z48+'50'!Z48+'51'!Z48+'52'!Z48</f>
        <v>0</v>
      </c>
      <c r="AA48" s="352"/>
      <c r="AB48" s="352">
        <f>+'49'!AB48+'50'!AB48+'51'!AB48+'52'!AB48</f>
        <v>0</v>
      </c>
      <c r="AC48" s="340"/>
      <c r="AD48" s="352">
        <f t="shared" si="14"/>
        <v>2621</v>
      </c>
      <c r="AE48" s="352">
        <f t="shared" si="15"/>
        <v>3080</v>
      </c>
      <c r="AF48" s="352">
        <f t="shared" si="16"/>
        <v>3381</v>
      </c>
      <c r="AG48" s="340">
        <f t="shared" si="17"/>
        <v>4379</v>
      </c>
      <c r="AH48" s="365"/>
    </row>
    <row r="49" spans="1:34" ht="18" customHeight="1">
      <c r="A49" s="364" t="s">
        <v>937</v>
      </c>
      <c r="B49" s="357">
        <f>+'49'!B49+'50'!B49+'51'!B49+'52'!B49</f>
        <v>2875</v>
      </c>
      <c r="C49" s="355">
        <f>+'49'!C49+'50'!C49+'51'!C49+'52'!C49</f>
        <v>4111</v>
      </c>
      <c r="D49" s="355">
        <f>+'49'!D49+'50'!D49+'51'!D49+'52'!D49</f>
        <v>5600</v>
      </c>
      <c r="E49" s="355">
        <f>+'49'!E49+'50'!E49+'51'!E49+'52'!E49</f>
        <v>2816</v>
      </c>
      <c r="F49" s="357">
        <f>+'49'!F49+'50'!F49+'51'!F49+'52'!F49</f>
        <v>954</v>
      </c>
      <c r="G49" s="355">
        <f>+'49'!G49+'50'!G49+'51'!G49+'52'!G49</f>
        <v>1744</v>
      </c>
      <c r="H49" s="355">
        <f>+'49'!H49+'50'!H49+'51'!H49+'52'!H49</f>
        <v>2748</v>
      </c>
      <c r="I49" s="356">
        <f>+'49'!I49+'50'!I49+'51'!I49+'52'!I49</f>
        <v>4165</v>
      </c>
      <c r="J49" s="355">
        <f>+'49'!J49+'50'!J49+'51'!J49+'52'!J49</f>
        <v>0</v>
      </c>
      <c r="K49" s="355">
        <f>+'49'!K49+'50'!K49+'51'!K49+'52'!K49</f>
        <v>0</v>
      </c>
      <c r="L49" s="355">
        <f>+'49'!L49+'50'!L49+'51'!L49+'52'!L49</f>
        <v>0</v>
      </c>
      <c r="M49" s="356">
        <f>+'49'!M49+'50'!M49+'51'!M49+'52'!M49</f>
        <v>0</v>
      </c>
      <c r="N49" s="355">
        <f>+'49'!N49+'50'!N49+'51'!N49+'52'!N49</f>
        <v>0</v>
      </c>
      <c r="O49" s="355">
        <f>+'49'!O49+'50'!O49+'51'!O49+'52'!O49</f>
        <v>0</v>
      </c>
      <c r="P49" s="355">
        <f>+'49'!P49+'50'!P49+'51'!P49+'52'!P49</f>
        <v>0</v>
      </c>
      <c r="Q49" s="356">
        <f>+'49'!Q49+'50'!Q49+'51'!Q49+'52'!Q49</f>
        <v>0</v>
      </c>
      <c r="R49" s="355">
        <f>+'49'!R49+'50'!R49+'51'!R49+'52'!R49</f>
        <v>0</v>
      </c>
      <c r="S49" s="355">
        <f>+'49'!S49+'50'!S49+'51'!S49+'52'!S49</f>
        <v>0</v>
      </c>
      <c r="T49" s="355">
        <f>+'49'!T49+'50'!T49+'51'!T49+'52'!T49</f>
        <v>0</v>
      </c>
      <c r="U49" s="356">
        <f>+'49'!U49+'50'!U49+'51'!U49+'52'!U49</f>
        <v>0</v>
      </c>
      <c r="V49" s="355"/>
      <c r="W49" s="355"/>
      <c r="X49" s="355"/>
      <c r="Y49" s="356"/>
      <c r="Z49" s="355">
        <f>+'49'!Z49+'50'!Z49+'51'!Z49+'52'!Z49</f>
        <v>0</v>
      </c>
      <c r="AA49" s="355"/>
      <c r="AB49" s="355">
        <f>+'49'!AB49+'50'!AB49+'51'!AB49+'52'!AB49</f>
        <v>0</v>
      </c>
      <c r="AC49" s="356"/>
      <c r="AD49" s="355">
        <f t="shared" si="14"/>
        <v>3829</v>
      </c>
      <c r="AE49" s="355">
        <f t="shared" si="15"/>
        <v>5855</v>
      </c>
      <c r="AF49" s="355">
        <f t="shared" si="16"/>
        <v>8348</v>
      </c>
      <c r="AG49" s="356">
        <f t="shared" si="17"/>
        <v>6981</v>
      </c>
      <c r="AH49" s="365"/>
    </row>
    <row r="50" spans="1:34">
      <c r="A50" s="8"/>
      <c r="B50" s="352"/>
      <c r="C50" s="352"/>
      <c r="D50" s="352"/>
      <c r="E50" s="352"/>
      <c r="F50" s="352"/>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65"/>
    </row>
    <row r="51" spans="1:34">
      <c r="A51" s="8"/>
      <c r="B51" s="352"/>
      <c r="C51" s="352"/>
      <c r="D51" s="352"/>
      <c r="E51" s="352"/>
      <c r="F51" s="352"/>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c r="AH51" s="365"/>
    </row>
    <row r="52" spans="1:34">
      <c r="A52" s="8"/>
      <c r="B52" s="352"/>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c r="AD52" s="352"/>
      <c r="AE52" s="352"/>
      <c r="AF52" s="352"/>
      <c r="AG52" s="352"/>
    </row>
    <row r="53" spans="1:34">
      <c r="A53" s="8"/>
      <c r="B53" s="352"/>
      <c r="C53" s="352"/>
      <c r="D53" s="352"/>
      <c r="E53" s="352"/>
      <c r="F53" s="352"/>
      <c r="G53" s="352"/>
      <c r="H53" s="352"/>
      <c r="I53" s="352"/>
      <c r="J53" s="352"/>
      <c r="K53" s="352"/>
      <c r="L53" s="352"/>
      <c r="M53" s="352"/>
      <c r="N53" s="352"/>
      <c r="O53" s="352"/>
      <c r="P53" s="352"/>
      <c r="Q53" s="352"/>
      <c r="R53" s="352"/>
      <c r="S53" s="352"/>
      <c r="T53" s="352"/>
      <c r="U53" s="352"/>
      <c r="V53" s="352"/>
      <c r="W53" s="352"/>
      <c r="X53" s="352"/>
      <c r="Y53" s="352"/>
      <c r="Z53" s="352"/>
      <c r="AA53" s="352"/>
      <c r="AB53" s="352"/>
      <c r="AC53" s="352"/>
      <c r="AD53" s="352"/>
      <c r="AE53" s="352"/>
      <c r="AF53" s="352"/>
      <c r="AG53" s="352"/>
    </row>
    <row r="54" spans="1:34">
      <c r="A54" s="8"/>
      <c r="B54" s="352"/>
      <c r="C54" s="352"/>
      <c r="D54" s="352"/>
      <c r="E54" s="352"/>
      <c r="F54" s="352"/>
      <c r="G54" s="352"/>
      <c r="H54" s="352"/>
      <c r="I54" s="352"/>
      <c r="J54" s="352"/>
      <c r="K54" s="352"/>
      <c r="L54" s="352"/>
      <c r="M54" s="352"/>
      <c r="N54" s="352"/>
      <c r="O54" s="352"/>
      <c r="P54" s="352"/>
      <c r="Q54" s="352"/>
      <c r="R54" s="352"/>
      <c r="S54" s="352"/>
      <c r="T54" s="352"/>
      <c r="U54" s="352"/>
      <c r="V54" s="352"/>
      <c r="W54" s="352"/>
      <c r="X54" s="352"/>
      <c r="Y54" s="352"/>
      <c r="Z54" s="352"/>
      <c r="AA54" s="352"/>
      <c r="AB54" s="352"/>
      <c r="AC54" s="352"/>
      <c r="AD54" s="352"/>
      <c r="AE54" s="352"/>
      <c r="AF54" s="352"/>
      <c r="AG54" s="352"/>
    </row>
    <row r="55" spans="1:34">
      <c r="A55" s="8"/>
      <c r="B55" s="352"/>
      <c r="C55" s="352"/>
      <c r="D55" s="352"/>
      <c r="E55" s="352"/>
      <c r="F55" s="352"/>
      <c r="G55" s="352"/>
      <c r="H55" s="352"/>
      <c r="I55" s="352"/>
      <c r="J55" s="352"/>
      <c r="K55" s="352"/>
      <c r="L55" s="352"/>
      <c r="M55" s="352"/>
      <c r="N55" s="352"/>
      <c r="O55" s="352"/>
      <c r="P55" s="352"/>
      <c r="Q55" s="352"/>
      <c r="R55" s="352"/>
      <c r="S55" s="352"/>
      <c r="T55" s="352"/>
      <c r="U55" s="352"/>
      <c r="V55" s="352"/>
      <c r="W55" s="352"/>
      <c r="X55" s="352"/>
      <c r="Y55" s="352"/>
      <c r="Z55" s="352"/>
      <c r="AA55" s="352"/>
      <c r="AB55" s="352"/>
      <c r="AC55" s="352"/>
      <c r="AD55" s="352"/>
      <c r="AE55" s="352"/>
      <c r="AF55" s="352"/>
      <c r="AG55" s="352"/>
    </row>
    <row r="56" spans="1:34">
      <c r="A56" s="8"/>
      <c r="B56" s="352"/>
      <c r="C56" s="352"/>
      <c r="D56" s="352"/>
      <c r="E56" s="352"/>
      <c r="F56" s="352"/>
      <c r="G56" s="352"/>
      <c r="H56" s="352"/>
      <c r="I56" s="352"/>
      <c r="J56" s="352"/>
      <c r="K56" s="352"/>
      <c r="L56" s="352"/>
      <c r="M56" s="352"/>
      <c r="N56" s="352"/>
      <c r="O56" s="352"/>
      <c r="P56" s="352"/>
      <c r="Q56" s="352"/>
      <c r="R56" s="352"/>
      <c r="S56" s="352"/>
      <c r="T56" s="352"/>
      <c r="U56" s="352"/>
      <c r="V56" s="352"/>
      <c r="W56" s="352"/>
      <c r="X56" s="352"/>
      <c r="Y56" s="352"/>
      <c r="Z56" s="352"/>
      <c r="AA56" s="352"/>
      <c r="AB56" s="352"/>
      <c r="AC56" s="352"/>
      <c r="AD56" s="352"/>
      <c r="AE56" s="352"/>
      <c r="AF56" s="352"/>
      <c r="AG56" s="352"/>
    </row>
    <row r="57" spans="1:34">
      <c r="A57" s="8"/>
    </row>
    <row r="58" spans="1:34">
      <c r="A58" s="8"/>
    </row>
    <row r="59" spans="1:34">
      <c r="A59" s="8"/>
    </row>
    <row r="60" spans="1:34">
      <c r="A60" s="8"/>
    </row>
    <row r="61" spans="1:34">
      <c r="A61" s="8"/>
    </row>
  </sheetData>
  <phoneticPr fontId="18"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G41"/>
  <sheetViews>
    <sheetView zoomScale="90" zoomScaleNormal="90" workbookViewId="0">
      <selection activeCell="B10" sqref="B10"/>
    </sheetView>
  </sheetViews>
  <sheetFormatPr baseColWidth="10" defaultRowHeight="12.75"/>
  <cols>
    <col min="1" max="1" width="27.5703125" customWidth="1"/>
    <col min="2" max="16" width="10.28515625" customWidth="1"/>
    <col min="17" max="18" width="11.42578125" customWidth="1"/>
    <col min="19" max="28" width="10.28515625" customWidth="1"/>
  </cols>
  <sheetData>
    <row r="1" spans="1:33" s="277" customFormat="1" ht="12">
      <c r="A1" s="1504" t="s">
        <v>1405</v>
      </c>
      <c r="B1" s="1504"/>
      <c r="C1" s="1504"/>
      <c r="D1" s="1504"/>
      <c r="E1" s="1504"/>
      <c r="F1" s="1504"/>
      <c r="G1" s="1504"/>
      <c r="H1" s="1504"/>
      <c r="I1" s="1504"/>
      <c r="J1" s="1504"/>
      <c r="K1" s="1504"/>
      <c r="L1" s="1504"/>
      <c r="M1" s="1504"/>
      <c r="N1" s="1504"/>
      <c r="O1" s="1504"/>
      <c r="P1" s="1504"/>
      <c r="Q1" s="1504"/>
      <c r="R1" s="1504"/>
      <c r="S1" s="1504"/>
      <c r="T1" s="1504"/>
      <c r="U1" s="1504"/>
      <c r="V1" s="1504"/>
      <c r="W1" s="1504"/>
      <c r="X1" s="1504"/>
      <c r="Y1" s="1504"/>
      <c r="Z1" s="1504"/>
      <c r="AA1" s="1504"/>
      <c r="AB1" s="1504"/>
      <c r="AC1" s="1504"/>
      <c r="AD1" s="1504"/>
    </row>
    <row r="2" spans="1:33" s="277" customFormat="1" ht="12">
      <c r="A2" s="1504" t="s">
        <v>814</v>
      </c>
      <c r="B2" s="1504"/>
      <c r="C2" s="1504"/>
      <c r="D2" s="1504"/>
      <c r="E2" s="1504"/>
      <c r="F2" s="1504"/>
      <c r="G2" s="1504"/>
      <c r="H2" s="1504"/>
      <c r="I2" s="1504"/>
      <c r="J2" s="1504"/>
      <c r="K2" s="1504"/>
      <c r="L2" s="1504"/>
      <c r="M2" s="1504"/>
      <c r="N2" s="1504"/>
      <c r="O2" s="1504"/>
      <c r="P2" s="1504"/>
      <c r="Q2" s="1504"/>
      <c r="R2" s="1504"/>
      <c r="S2" s="1504"/>
      <c r="T2" s="1504"/>
      <c r="U2" s="1504"/>
      <c r="V2" s="1504"/>
      <c r="W2" s="1504"/>
      <c r="X2" s="1504"/>
      <c r="Y2" s="1504"/>
      <c r="Z2" s="1504"/>
      <c r="AA2" s="1504"/>
      <c r="AB2" s="1504"/>
      <c r="AC2" s="1504"/>
      <c r="AD2" s="1504"/>
    </row>
    <row r="6" spans="1:33">
      <c r="A6" s="29" t="s">
        <v>899</v>
      </c>
    </row>
    <row r="7" spans="1:33">
      <c r="A7" s="1288" t="s">
        <v>900</v>
      </c>
      <c r="B7" s="1104" t="s">
        <v>901</v>
      </c>
      <c r="C7" s="1105"/>
      <c r="D7" s="1259"/>
      <c r="E7" s="1486"/>
      <c r="F7" s="1104" t="s">
        <v>820</v>
      </c>
      <c r="G7" s="1105"/>
      <c r="H7" s="1259"/>
      <c r="I7" s="1486"/>
      <c r="J7" s="1104" t="s">
        <v>1484</v>
      </c>
      <c r="K7" s="1105"/>
      <c r="L7" s="1259"/>
      <c r="M7" s="1486" t="s">
        <v>1062</v>
      </c>
      <c r="N7" s="1104"/>
      <c r="O7" s="1105"/>
      <c r="P7" s="1259"/>
      <c r="Q7" s="1486" t="s">
        <v>1407</v>
      </c>
      <c r="R7" s="1104"/>
      <c r="S7" s="1105"/>
      <c r="T7" s="1259"/>
      <c r="U7" s="1486" t="s">
        <v>1415</v>
      </c>
      <c r="V7" s="1104"/>
      <c r="W7" s="1105"/>
      <c r="X7" s="1259"/>
      <c r="Y7" s="1486" t="s">
        <v>474</v>
      </c>
      <c r="Z7" s="1104"/>
      <c r="AA7" s="1105"/>
      <c r="AB7" s="1259"/>
      <c r="AC7" s="1486"/>
      <c r="AD7" s="1104"/>
      <c r="AE7" s="1105"/>
      <c r="AF7" s="1259"/>
      <c r="AG7" s="1486"/>
    </row>
    <row r="8" spans="1:33">
      <c r="A8" s="1270"/>
      <c r="B8" s="1110">
        <v>2020</v>
      </c>
      <c r="C8" s="1110">
        <v>2021</v>
      </c>
      <c r="D8" s="1255">
        <v>2022</v>
      </c>
      <c r="E8" s="1256">
        <v>2023</v>
      </c>
      <c r="F8" s="1255">
        <f>+B8</f>
        <v>2020</v>
      </c>
      <c r="G8" s="1255">
        <f>+C8</f>
        <v>2021</v>
      </c>
      <c r="H8" s="1255">
        <f>+D8</f>
        <v>2022</v>
      </c>
      <c r="I8" s="1256">
        <f>+E8</f>
        <v>2023</v>
      </c>
      <c r="J8" s="1255">
        <f>+G8</f>
        <v>2021</v>
      </c>
      <c r="K8" s="1255">
        <f>+H8</f>
        <v>2022</v>
      </c>
      <c r="L8" s="1256">
        <f>+I8</f>
        <v>2023</v>
      </c>
      <c r="M8" s="1255">
        <f>+F8</f>
        <v>2020</v>
      </c>
      <c r="N8" s="1255">
        <f>+G8</f>
        <v>2021</v>
      </c>
      <c r="O8" s="1255">
        <f>+H8</f>
        <v>2022</v>
      </c>
      <c r="P8" s="1256">
        <f>+I8</f>
        <v>2023</v>
      </c>
      <c r="Q8" s="1255">
        <f t="shared" ref="Q8:X8" si="0">+M8</f>
        <v>2020</v>
      </c>
      <c r="R8" s="1255">
        <f t="shared" si="0"/>
        <v>2021</v>
      </c>
      <c r="S8" s="1255">
        <f t="shared" si="0"/>
        <v>2022</v>
      </c>
      <c r="T8" s="1256">
        <f t="shared" si="0"/>
        <v>2023</v>
      </c>
      <c r="U8" s="1110">
        <f t="shared" si="0"/>
        <v>2020</v>
      </c>
      <c r="V8" s="1110">
        <f t="shared" si="0"/>
        <v>2021</v>
      </c>
      <c r="W8" s="1255">
        <f t="shared" si="0"/>
        <v>2022</v>
      </c>
      <c r="X8" s="1256">
        <f t="shared" si="0"/>
        <v>2023</v>
      </c>
      <c r="Y8" s="1255">
        <f>+B8</f>
        <v>2020</v>
      </c>
      <c r="Z8" s="1255">
        <f>+C8</f>
        <v>2021</v>
      </c>
      <c r="AA8" s="1255">
        <f>+D8</f>
        <v>2022</v>
      </c>
      <c r="AB8" s="1256">
        <f>+E8</f>
        <v>2023</v>
      </c>
    </row>
    <row r="9" spans="1:33">
      <c r="A9" s="395" t="s">
        <v>903</v>
      </c>
      <c r="B9" s="695"/>
      <c r="C9" s="695"/>
      <c r="D9" s="695"/>
      <c r="E9" s="694"/>
      <c r="F9" s="695"/>
      <c r="G9" s="695"/>
      <c r="H9" s="695"/>
      <c r="I9" s="694"/>
      <c r="J9" s="695"/>
      <c r="K9" s="695"/>
      <c r="L9" s="694"/>
      <c r="M9" s="695"/>
      <c r="N9" s="695"/>
      <c r="O9" s="695"/>
      <c r="P9" s="694"/>
      <c r="Q9" s="695"/>
      <c r="R9" s="695"/>
      <c r="S9" s="695"/>
      <c r="T9" s="694"/>
      <c r="U9" s="922"/>
      <c r="V9" s="922"/>
      <c r="W9" s="695"/>
      <c r="X9" s="694"/>
      <c r="Y9" s="695">
        <f t="shared" ref="Y9:Y22" si="1">+B9+F9+M9+Q9+U9</f>
        <v>0</v>
      </c>
      <c r="Z9" s="695">
        <f t="shared" ref="Z9:Z22" si="2">+C9+G9+N9+R9+V9</f>
        <v>0</v>
      </c>
      <c r="AA9" s="695">
        <f t="shared" ref="AA9:AA22" si="3">+D9+H9+O9+S9+W9</f>
        <v>0</v>
      </c>
      <c r="AB9" s="694">
        <f t="shared" ref="AB9:AB22" si="4">+E9+I9+P9+T9+X9</f>
        <v>0</v>
      </c>
      <c r="AC9" s="88"/>
    </row>
    <row r="10" spans="1:33">
      <c r="A10" s="211" t="s">
        <v>904</v>
      </c>
      <c r="B10" s="695">
        <v>236</v>
      </c>
      <c r="C10" s="695">
        <v>364</v>
      </c>
      <c r="D10" s="695">
        <v>590</v>
      </c>
      <c r="E10" s="694">
        <v>957</v>
      </c>
      <c r="F10" s="695">
        <v>166</v>
      </c>
      <c r="G10" s="695">
        <v>15</v>
      </c>
      <c r="H10" s="695"/>
      <c r="I10" s="694"/>
      <c r="J10" s="695"/>
      <c r="K10" s="695"/>
      <c r="L10" s="694"/>
      <c r="M10" s="695"/>
      <c r="N10" s="695"/>
      <c r="O10" s="695"/>
      <c r="P10" s="694"/>
      <c r="Q10" s="695"/>
      <c r="R10" s="695"/>
      <c r="S10" s="695"/>
      <c r="T10" s="694"/>
      <c r="U10" s="695"/>
      <c r="V10" s="695"/>
      <c r="W10" s="695"/>
      <c r="X10" s="694"/>
      <c r="Y10" s="695">
        <f t="shared" si="1"/>
        <v>402</v>
      </c>
      <c r="Z10" s="695">
        <f t="shared" si="2"/>
        <v>379</v>
      </c>
      <c r="AA10" s="695">
        <f t="shared" si="3"/>
        <v>590</v>
      </c>
      <c r="AB10" s="694">
        <f t="shared" si="4"/>
        <v>957</v>
      </c>
      <c r="AC10" s="88"/>
    </row>
    <row r="11" spans="1:33">
      <c r="A11" s="211" t="s">
        <v>905</v>
      </c>
      <c r="B11" s="695"/>
      <c r="C11" s="695"/>
      <c r="D11" s="695"/>
      <c r="E11" s="694"/>
      <c r="F11" s="695"/>
      <c r="G11" s="695"/>
      <c r="H11" s="695"/>
      <c r="I11" s="694"/>
      <c r="J11" s="695"/>
      <c r="K11" s="695"/>
      <c r="L11" s="694"/>
      <c r="M11" s="695"/>
      <c r="N11" s="695"/>
      <c r="O11" s="695"/>
      <c r="P11" s="694"/>
      <c r="Q11" s="695"/>
      <c r="R11" s="695"/>
      <c r="S11" s="695"/>
      <c r="T11" s="694"/>
      <c r="U11" s="695"/>
      <c r="V11" s="695"/>
      <c r="W11" s="695"/>
      <c r="X11" s="694"/>
      <c r="Y11" s="695">
        <f t="shared" si="1"/>
        <v>0</v>
      </c>
      <c r="Z11" s="695">
        <f t="shared" si="2"/>
        <v>0</v>
      </c>
      <c r="AA11" s="695">
        <f t="shared" si="3"/>
        <v>0</v>
      </c>
      <c r="AB11" s="694">
        <f t="shared" si="4"/>
        <v>0</v>
      </c>
      <c r="AC11" s="88"/>
    </row>
    <row r="12" spans="1:33">
      <c r="A12" s="211" t="s">
        <v>906</v>
      </c>
      <c r="B12" s="695"/>
      <c r="C12" s="695"/>
      <c r="D12" s="695"/>
      <c r="E12" s="694"/>
      <c r="F12" s="695"/>
      <c r="G12" s="695"/>
      <c r="H12" s="695"/>
      <c r="I12" s="694"/>
      <c r="J12" s="695"/>
      <c r="K12" s="695"/>
      <c r="L12" s="694"/>
      <c r="M12" s="695"/>
      <c r="N12" s="695"/>
      <c r="O12" s="695"/>
      <c r="P12" s="694"/>
      <c r="Q12" s="695"/>
      <c r="R12" s="695"/>
      <c r="S12" s="695"/>
      <c r="T12" s="694"/>
      <c r="U12" s="695"/>
      <c r="V12" s="695"/>
      <c r="W12" s="695"/>
      <c r="X12" s="694"/>
      <c r="Y12" s="695">
        <f t="shared" si="1"/>
        <v>0</v>
      </c>
      <c r="Z12" s="695">
        <f t="shared" si="2"/>
        <v>0</v>
      </c>
      <c r="AA12" s="695">
        <f t="shared" si="3"/>
        <v>0</v>
      </c>
      <c r="AB12" s="694">
        <f t="shared" si="4"/>
        <v>0</v>
      </c>
      <c r="AC12" s="88"/>
    </row>
    <row r="13" spans="1:33">
      <c r="A13" s="211" t="s">
        <v>939</v>
      </c>
      <c r="B13" s="695">
        <v>94</v>
      </c>
      <c r="C13" s="695">
        <v>84</v>
      </c>
      <c r="D13" s="695">
        <v>100</v>
      </c>
      <c r="E13" s="694">
        <v>176</v>
      </c>
      <c r="F13" s="695"/>
      <c r="G13" s="695"/>
      <c r="H13" s="695"/>
      <c r="I13" s="694"/>
      <c r="J13" s="695"/>
      <c r="K13" s="695"/>
      <c r="L13" s="694"/>
      <c r="M13" s="695"/>
      <c r="N13" s="695"/>
      <c r="O13" s="695"/>
      <c r="P13" s="694"/>
      <c r="Q13" s="695"/>
      <c r="R13" s="695"/>
      <c r="S13" s="695"/>
      <c r="T13" s="694"/>
      <c r="U13" s="695"/>
      <c r="V13" s="695"/>
      <c r="W13" s="695"/>
      <c r="X13" s="694"/>
      <c r="Y13" s="695">
        <f t="shared" si="1"/>
        <v>94</v>
      </c>
      <c r="Z13" s="695">
        <f t="shared" si="2"/>
        <v>84</v>
      </c>
      <c r="AA13" s="695">
        <f t="shared" si="3"/>
        <v>100</v>
      </c>
      <c r="AB13" s="694">
        <f t="shared" si="4"/>
        <v>176</v>
      </c>
      <c r="AC13" s="88"/>
    </row>
    <row r="14" spans="1:33">
      <c r="A14" s="211" t="s">
        <v>908</v>
      </c>
      <c r="B14" s="695"/>
      <c r="C14" s="695"/>
      <c r="D14" s="695"/>
      <c r="E14" s="694"/>
      <c r="F14" s="695"/>
      <c r="G14" s="695"/>
      <c r="H14" s="695"/>
      <c r="I14" s="694"/>
      <c r="J14" s="695"/>
      <c r="K14" s="695"/>
      <c r="L14" s="694"/>
      <c r="M14" s="695"/>
      <c r="N14" s="695"/>
      <c r="O14" s="695"/>
      <c r="P14" s="694"/>
      <c r="Q14" s="695"/>
      <c r="R14" s="695"/>
      <c r="S14" s="695"/>
      <c r="T14" s="694"/>
      <c r="U14" s="695"/>
      <c r="V14" s="695"/>
      <c r="W14" s="695"/>
      <c r="X14" s="694"/>
      <c r="Y14" s="695">
        <f t="shared" si="1"/>
        <v>0</v>
      </c>
      <c r="Z14" s="695">
        <f t="shared" si="2"/>
        <v>0</v>
      </c>
      <c r="AA14" s="695">
        <f t="shared" si="3"/>
        <v>0</v>
      </c>
      <c r="AB14" s="694">
        <f t="shared" si="4"/>
        <v>0</v>
      </c>
      <c r="AC14" s="88"/>
    </row>
    <row r="15" spans="1:33">
      <c r="A15" s="211" t="s">
        <v>909</v>
      </c>
      <c r="B15" s="695"/>
      <c r="C15" s="695"/>
      <c r="D15" s="695"/>
      <c r="E15" s="694"/>
      <c r="F15" s="695"/>
      <c r="G15" s="695"/>
      <c r="H15" s="695"/>
      <c r="I15" s="694"/>
      <c r="J15" s="695"/>
      <c r="K15" s="695"/>
      <c r="L15" s="694"/>
      <c r="M15" s="695"/>
      <c r="N15" s="695"/>
      <c r="O15" s="695"/>
      <c r="P15" s="694"/>
      <c r="Q15" s="695"/>
      <c r="R15" s="695"/>
      <c r="S15" s="695"/>
      <c r="T15" s="694"/>
      <c r="U15" s="695"/>
      <c r="V15" s="695"/>
      <c r="W15" s="695"/>
      <c r="X15" s="694"/>
      <c r="Y15" s="695">
        <f t="shared" si="1"/>
        <v>0</v>
      </c>
      <c r="Z15" s="695">
        <f t="shared" si="2"/>
        <v>0</v>
      </c>
      <c r="AA15" s="695">
        <f t="shared" si="3"/>
        <v>0</v>
      </c>
      <c r="AB15" s="694">
        <f t="shared" si="4"/>
        <v>0</v>
      </c>
      <c r="AC15" s="88"/>
    </row>
    <row r="16" spans="1:33">
      <c r="A16" s="211" t="s">
        <v>910</v>
      </c>
      <c r="B16" s="695">
        <v>48</v>
      </c>
      <c r="C16" s="695">
        <v>522</v>
      </c>
      <c r="D16" s="695">
        <v>288</v>
      </c>
      <c r="E16" s="694">
        <v>27</v>
      </c>
      <c r="F16" s="695"/>
      <c r="G16" s="695"/>
      <c r="H16" s="695"/>
      <c r="I16" s="694"/>
      <c r="J16" s="695"/>
      <c r="K16" s="695"/>
      <c r="L16" s="694"/>
      <c r="M16" s="695"/>
      <c r="N16" s="695"/>
      <c r="O16" s="695"/>
      <c r="P16" s="694"/>
      <c r="Q16" s="695"/>
      <c r="R16" s="695"/>
      <c r="S16" s="695"/>
      <c r="T16" s="694"/>
      <c r="U16" s="695"/>
      <c r="V16" s="695"/>
      <c r="W16" s="695"/>
      <c r="X16" s="694"/>
      <c r="Y16" s="695">
        <f t="shared" si="1"/>
        <v>48</v>
      </c>
      <c r="Z16" s="695">
        <f t="shared" si="2"/>
        <v>522</v>
      </c>
      <c r="AA16" s="695">
        <f t="shared" si="3"/>
        <v>288</v>
      </c>
      <c r="AB16" s="694">
        <f t="shared" si="4"/>
        <v>27</v>
      </c>
      <c r="AC16" s="88"/>
    </row>
    <row r="17" spans="1:29">
      <c r="A17" s="211" t="s">
        <v>911</v>
      </c>
      <c r="B17" s="695"/>
      <c r="C17" s="695"/>
      <c r="D17" s="695"/>
      <c r="E17" s="694"/>
      <c r="F17" s="695"/>
      <c r="G17" s="695"/>
      <c r="H17" s="695"/>
      <c r="I17" s="694"/>
      <c r="J17" s="695"/>
      <c r="K17" s="695"/>
      <c r="L17" s="694"/>
      <c r="M17" s="695"/>
      <c r="N17" s="695"/>
      <c r="O17" s="695"/>
      <c r="P17" s="694"/>
      <c r="Q17" s="695"/>
      <c r="R17" s="695"/>
      <c r="S17" s="695"/>
      <c r="T17" s="694"/>
      <c r="U17" s="695"/>
      <c r="V17" s="695"/>
      <c r="W17" s="695"/>
      <c r="X17" s="694"/>
      <c r="Y17" s="695">
        <f t="shared" si="1"/>
        <v>0</v>
      </c>
      <c r="Z17" s="695">
        <f t="shared" si="2"/>
        <v>0</v>
      </c>
      <c r="AA17" s="695">
        <f t="shared" si="3"/>
        <v>0</v>
      </c>
      <c r="AB17" s="694">
        <f t="shared" si="4"/>
        <v>0</v>
      </c>
      <c r="AC17" s="88"/>
    </row>
    <row r="18" spans="1:29">
      <c r="A18" s="211" t="s">
        <v>912</v>
      </c>
      <c r="B18" s="695"/>
      <c r="C18" s="695"/>
      <c r="D18" s="695"/>
      <c r="E18" s="694"/>
      <c r="F18" s="695"/>
      <c r="G18" s="695"/>
      <c r="H18" s="695"/>
      <c r="I18" s="694"/>
      <c r="J18" s="695"/>
      <c r="K18" s="695"/>
      <c r="L18" s="694"/>
      <c r="M18" s="695"/>
      <c r="N18" s="695"/>
      <c r="O18" s="695"/>
      <c r="P18" s="694"/>
      <c r="Q18" s="695"/>
      <c r="R18" s="695"/>
      <c r="S18" s="695"/>
      <c r="T18" s="694"/>
      <c r="U18" s="695"/>
      <c r="V18" s="695"/>
      <c r="W18" s="695"/>
      <c r="X18" s="694"/>
      <c r="Y18" s="695">
        <f t="shared" si="1"/>
        <v>0</v>
      </c>
      <c r="Z18" s="695">
        <f t="shared" si="2"/>
        <v>0</v>
      </c>
      <c r="AA18" s="695">
        <f t="shared" si="3"/>
        <v>0</v>
      </c>
      <c r="AB18" s="694">
        <f t="shared" si="4"/>
        <v>0</v>
      </c>
      <c r="AC18" s="88"/>
    </row>
    <row r="19" spans="1:29">
      <c r="A19" s="211" t="s">
        <v>913</v>
      </c>
      <c r="B19" s="695"/>
      <c r="C19" s="695"/>
      <c r="D19" s="695"/>
      <c r="E19" s="694"/>
      <c r="F19" s="695">
        <v>18</v>
      </c>
      <c r="G19" s="695"/>
      <c r="H19" s="695">
        <v>626</v>
      </c>
      <c r="I19" s="694">
        <v>668</v>
      </c>
      <c r="J19" s="695"/>
      <c r="K19" s="695"/>
      <c r="L19" s="694"/>
      <c r="M19" s="695"/>
      <c r="N19" s="695"/>
      <c r="O19" s="695"/>
      <c r="P19" s="694"/>
      <c r="Q19" s="695"/>
      <c r="R19" s="695"/>
      <c r="S19" s="695"/>
      <c r="T19" s="694"/>
      <c r="U19" s="695"/>
      <c r="V19" s="695"/>
      <c r="W19" s="695"/>
      <c r="X19" s="694"/>
      <c r="Y19" s="695">
        <f t="shared" si="1"/>
        <v>18</v>
      </c>
      <c r="Z19" s="695">
        <f t="shared" si="2"/>
        <v>0</v>
      </c>
      <c r="AA19" s="695">
        <f t="shared" si="3"/>
        <v>626</v>
      </c>
      <c r="AB19" s="694">
        <f t="shared" si="4"/>
        <v>668</v>
      </c>
      <c r="AC19" s="88"/>
    </row>
    <row r="20" spans="1:29">
      <c r="A20" s="211" t="s">
        <v>914</v>
      </c>
      <c r="B20" s="695"/>
      <c r="C20" s="695"/>
      <c r="D20" s="695"/>
      <c r="E20" s="694"/>
      <c r="F20" s="695"/>
      <c r="G20" s="695"/>
      <c r="H20" s="695"/>
      <c r="I20" s="694"/>
      <c r="J20" s="695"/>
      <c r="K20" s="695"/>
      <c r="L20" s="694"/>
      <c r="M20" s="695"/>
      <c r="N20" s="695"/>
      <c r="O20" s="695"/>
      <c r="P20" s="694"/>
      <c r="Q20" s="695"/>
      <c r="R20" s="695"/>
      <c r="S20" s="695"/>
      <c r="T20" s="694"/>
      <c r="U20" s="695"/>
      <c r="V20" s="695"/>
      <c r="W20" s="695"/>
      <c r="X20" s="694"/>
      <c r="Y20" s="695">
        <f t="shared" si="1"/>
        <v>0</v>
      </c>
      <c r="Z20" s="695">
        <f t="shared" si="2"/>
        <v>0</v>
      </c>
      <c r="AA20" s="695">
        <f t="shared" si="3"/>
        <v>0</v>
      </c>
      <c r="AB20" s="694">
        <f t="shared" si="4"/>
        <v>0</v>
      </c>
      <c r="AC20" s="88"/>
    </row>
    <row r="21" spans="1:29">
      <c r="A21" s="693" t="s">
        <v>1445</v>
      </c>
      <c r="B21" s="695"/>
      <c r="C21" s="695"/>
      <c r="D21" s="695"/>
      <c r="E21" s="694"/>
      <c r="F21" s="695">
        <v>69</v>
      </c>
      <c r="G21" s="695">
        <v>574</v>
      </c>
      <c r="H21" s="695">
        <v>577</v>
      </c>
      <c r="I21" s="694">
        <v>523</v>
      </c>
      <c r="J21" s="695"/>
      <c r="K21" s="695"/>
      <c r="L21" s="694"/>
      <c r="M21" s="695"/>
      <c r="N21" s="695"/>
      <c r="O21" s="695"/>
      <c r="P21" s="694"/>
      <c r="Q21" s="695"/>
      <c r="R21" s="695"/>
      <c r="S21" s="695"/>
      <c r="T21" s="694"/>
      <c r="U21" s="695"/>
      <c r="V21" s="695"/>
      <c r="W21" s="695"/>
      <c r="X21" s="694"/>
      <c r="Y21" s="695">
        <f t="shared" si="1"/>
        <v>69</v>
      </c>
      <c r="Z21" s="695">
        <f t="shared" si="2"/>
        <v>574</v>
      </c>
      <c r="AA21" s="695">
        <f t="shared" si="3"/>
        <v>577</v>
      </c>
      <c r="AB21" s="694">
        <f t="shared" si="4"/>
        <v>523</v>
      </c>
      <c r="AC21" s="88"/>
    </row>
    <row r="22" spans="1:29">
      <c r="A22" s="211" t="s">
        <v>915</v>
      </c>
      <c r="B22" s="695"/>
      <c r="C22" s="695"/>
      <c r="D22" s="695"/>
      <c r="E22" s="694">
        <v>19</v>
      </c>
      <c r="F22" s="695"/>
      <c r="G22" s="695"/>
      <c r="H22" s="695"/>
      <c r="I22" s="694"/>
      <c r="J22" s="695"/>
      <c r="K22" s="695"/>
      <c r="L22" s="694"/>
      <c r="M22" s="695"/>
      <c r="N22" s="695"/>
      <c r="O22" s="695"/>
      <c r="P22" s="694"/>
      <c r="Q22" s="695"/>
      <c r="R22" s="695"/>
      <c r="S22" s="695"/>
      <c r="T22" s="694"/>
      <c r="U22" s="695"/>
      <c r="V22" s="695"/>
      <c r="W22" s="695"/>
      <c r="X22" s="694"/>
      <c r="Y22" s="695">
        <f t="shared" si="1"/>
        <v>0</v>
      </c>
      <c r="Z22" s="695">
        <f t="shared" si="2"/>
        <v>0</v>
      </c>
      <c r="AA22" s="695">
        <f t="shared" si="3"/>
        <v>0</v>
      </c>
      <c r="AB22" s="694">
        <f t="shared" si="4"/>
        <v>19</v>
      </c>
      <c r="AC22" s="88"/>
    </row>
    <row r="23" spans="1:29">
      <c r="A23" s="211" t="s">
        <v>916</v>
      </c>
      <c r="B23" s="695"/>
      <c r="C23" s="695"/>
      <c r="D23" s="695"/>
      <c r="E23" s="694"/>
      <c r="F23" s="695"/>
      <c r="G23" s="695"/>
      <c r="H23" s="695"/>
      <c r="I23" s="694"/>
      <c r="J23" s="695"/>
      <c r="K23" s="695">
        <v>3</v>
      </c>
      <c r="L23" s="694">
        <v>54</v>
      </c>
      <c r="M23" s="695">
        <v>417</v>
      </c>
      <c r="N23" s="695">
        <v>435</v>
      </c>
      <c r="O23" s="695">
        <v>421</v>
      </c>
      <c r="P23" s="694">
        <v>453</v>
      </c>
      <c r="Q23" s="695">
        <v>0</v>
      </c>
      <c r="R23" s="695"/>
      <c r="S23" s="695">
        <v>0</v>
      </c>
      <c r="T23" s="694"/>
      <c r="U23" s="695"/>
      <c r="V23" s="695"/>
      <c r="W23" s="695">
        <v>52</v>
      </c>
      <c r="X23" s="694">
        <v>51</v>
      </c>
      <c r="Y23" s="695">
        <f t="shared" ref="Y23:Y39" si="5">+B23+F23+M23+Q23+U23</f>
        <v>417</v>
      </c>
      <c r="Z23" s="695">
        <f t="shared" ref="Z23:Z39" si="6">+C23+G23+N23+R23+V23</f>
        <v>435</v>
      </c>
      <c r="AA23" s="695">
        <f>+D23+H23+O23+S23+W23+K23</f>
        <v>476</v>
      </c>
      <c r="AB23" s="694">
        <f>+E23+I23+P23+T23+X23+L23</f>
        <v>558</v>
      </c>
      <c r="AC23" s="88"/>
    </row>
    <row r="24" spans="1:29">
      <c r="A24" s="211" t="s">
        <v>1171</v>
      </c>
      <c r="B24" s="695"/>
      <c r="C24" s="695">
        <v>43</v>
      </c>
      <c r="D24" s="695">
        <v>14</v>
      </c>
      <c r="E24" s="694"/>
      <c r="F24" s="695"/>
      <c r="G24" s="695"/>
      <c r="H24" s="695"/>
      <c r="I24" s="694"/>
      <c r="J24" s="695"/>
      <c r="K24" s="695"/>
      <c r="L24" s="694"/>
      <c r="M24" s="695"/>
      <c r="N24" s="695"/>
      <c r="O24" s="695"/>
      <c r="P24" s="694"/>
      <c r="Q24" s="695"/>
      <c r="R24" s="695"/>
      <c r="S24" s="695"/>
      <c r="T24" s="694"/>
      <c r="U24" s="695"/>
      <c r="V24" s="695"/>
      <c r="W24" s="695"/>
      <c r="X24" s="694"/>
      <c r="Y24" s="695">
        <f t="shared" si="5"/>
        <v>0</v>
      </c>
      <c r="Z24" s="695">
        <f t="shared" si="6"/>
        <v>43</v>
      </c>
      <c r="AA24" s="695">
        <f t="shared" ref="AA24:AA38" si="7">+D24+H24+O24+S24+W24</f>
        <v>14</v>
      </c>
      <c r="AB24" s="694">
        <f t="shared" ref="AB24:AB38" si="8">+E24+I24+P24+T24+X24</f>
        <v>0</v>
      </c>
      <c r="AC24" s="88"/>
    </row>
    <row r="25" spans="1:29">
      <c r="A25" s="211" t="s">
        <v>1406</v>
      </c>
      <c r="B25" s="695">
        <v>4</v>
      </c>
      <c r="C25" s="695">
        <v>21</v>
      </c>
      <c r="D25" s="695">
        <v>339</v>
      </c>
      <c r="E25" s="694">
        <v>2289</v>
      </c>
      <c r="F25" s="695">
        <v>39</v>
      </c>
      <c r="G25" s="695">
        <v>10</v>
      </c>
      <c r="H25" s="695"/>
      <c r="I25" s="694">
        <v>221</v>
      </c>
      <c r="J25" s="695"/>
      <c r="K25" s="695"/>
      <c r="L25" s="694"/>
      <c r="M25" s="695"/>
      <c r="N25" s="695"/>
      <c r="O25" s="695"/>
      <c r="P25" s="694"/>
      <c r="Q25" s="695"/>
      <c r="R25" s="695"/>
      <c r="S25" s="695"/>
      <c r="T25" s="694"/>
      <c r="U25" s="695"/>
      <c r="V25" s="695"/>
      <c r="W25" s="695"/>
      <c r="X25" s="694"/>
      <c r="Y25" s="695">
        <f t="shared" si="5"/>
        <v>43</v>
      </c>
      <c r="Z25" s="695">
        <f t="shared" si="6"/>
        <v>31</v>
      </c>
      <c r="AA25" s="695">
        <f t="shared" si="7"/>
        <v>339</v>
      </c>
      <c r="AB25" s="694">
        <f t="shared" si="8"/>
        <v>2510</v>
      </c>
      <c r="AC25" s="88"/>
    </row>
    <row r="26" spans="1:29">
      <c r="A26" s="211" t="s">
        <v>1290</v>
      </c>
      <c r="B26" s="695">
        <v>166</v>
      </c>
      <c r="C26" s="695">
        <v>86</v>
      </c>
      <c r="D26" s="695">
        <v>190</v>
      </c>
      <c r="E26" s="694"/>
      <c r="F26" s="695"/>
      <c r="G26" s="695"/>
      <c r="H26" s="695"/>
      <c r="I26" s="694"/>
      <c r="J26" s="695"/>
      <c r="K26" s="695"/>
      <c r="L26" s="694"/>
      <c r="M26" s="695"/>
      <c r="N26" s="695"/>
      <c r="O26" s="695"/>
      <c r="P26" s="694"/>
      <c r="Q26" s="695"/>
      <c r="R26" s="695"/>
      <c r="S26" s="695"/>
      <c r="T26" s="694"/>
      <c r="U26" s="695"/>
      <c r="V26" s="695"/>
      <c r="W26" s="695"/>
      <c r="X26" s="694"/>
      <c r="Y26" s="695">
        <f t="shared" si="5"/>
        <v>166</v>
      </c>
      <c r="Z26" s="695">
        <f t="shared" si="6"/>
        <v>86</v>
      </c>
      <c r="AA26" s="695">
        <f t="shared" si="7"/>
        <v>190</v>
      </c>
      <c r="AB26" s="694">
        <f t="shared" si="8"/>
        <v>0</v>
      </c>
      <c r="AC26" s="88"/>
    </row>
    <row r="27" spans="1:29">
      <c r="A27" s="211" t="s">
        <v>918</v>
      </c>
      <c r="B27" s="695"/>
      <c r="C27" s="695"/>
      <c r="D27" s="695"/>
      <c r="E27" s="694"/>
      <c r="F27" s="695"/>
      <c r="G27" s="695"/>
      <c r="H27" s="695"/>
      <c r="I27" s="694"/>
      <c r="J27" s="695"/>
      <c r="K27" s="695"/>
      <c r="L27" s="694"/>
      <c r="M27" s="695"/>
      <c r="N27" s="695"/>
      <c r="O27" s="695"/>
      <c r="P27" s="694"/>
      <c r="Q27" s="695"/>
      <c r="R27" s="695"/>
      <c r="S27" s="695"/>
      <c r="T27" s="694"/>
      <c r="U27" s="695"/>
      <c r="V27" s="695"/>
      <c r="W27" s="695"/>
      <c r="X27" s="694"/>
      <c r="Y27" s="695">
        <f t="shared" si="5"/>
        <v>0</v>
      </c>
      <c r="Z27" s="695">
        <f t="shared" si="6"/>
        <v>0</v>
      </c>
      <c r="AA27" s="695">
        <f t="shared" si="7"/>
        <v>0</v>
      </c>
      <c r="AB27" s="694">
        <f t="shared" si="8"/>
        <v>0</v>
      </c>
      <c r="AC27" s="88"/>
    </row>
    <row r="28" spans="1:29">
      <c r="A28" s="693" t="s">
        <v>1430</v>
      </c>
      <c r="B28" s="695"/>
      <c r="C28" s="695"/>
      <c r="D28" s="695"/>
      <c r="E28" s="694">
        <v>277</v>
      </c>
      <c r="F28" s="695"/>
      <c r="G28" s="695"/>
      <c r="H28" s="695"/>
      <c r="I28" s="694"/>
      <c r="J28" s="695"/>
      <c r="K28" s="695"/>
      <c r="L28" s="694"/>
      <c r="M28" s="695"/>
      <c r="N28" s="695"/>
      <c r="O28" s="695"/>
      <c r="P28" s="694"/>
      <c r="Q28" s="695"/>
      <c r="R28" s="695"/>
      <c r="S28" s="695"/>
      <c r="T28" s="694"/>
      <c r="U28" s="695"/>
      <c r="V28" s="695"/>
      <c r="W28" s="695"/>
      <c r="X28" s="694"/>
      <c r="Y28" s="695">
        <f t="shared" si="5"/>
        <v>0</v>
      </c>
      <c r="Z28" s="695">
        <f t="shared" si="6"/>
        <v>0</v>
      </c>
      <c r="AA28" s="695">
        <f t="shared" si="7"/>
        <v>0</v>
      </c>
      <c r="AB28" s="694">
        <f t="shared" si="8"/>
        <v>277</v>
      </c>
      <c r="AC28" s="88"/>
    </row>
    <row r="29" spans="1:29">
      <c r="A29" s="211" t="s">
        <v>919</v>
      </c>
      <c r="B29" s="695"/>
      <c r="C29" s="695"/>
      <c r="D29" s="695"/>
      <c r="E29" s="694"/>
      <c r="F29" s="695"/>
      <c r="G29" s="695"/>
      <c r="H29" s="695"/>
      <c r="I29" s="694"/>
      <c r="J29" s="695"/>
      <c r="K29" s="695"/>
      <c r="L29" s="694"/>
      <c r="M29" s="695"/>
      <c r="N29" s="695"/>
      <c r="O29" s="695"/>
      <c r="P29" s="694"/>
      <c r="Q29" s="695"/>
      <c r="R29" s="695"/>
      <c r="S29" s="695"/>
      <c r="T29" s="694"/>
      <c r="U29" s="695"/>
      <c r="V29" s="695"/>
      <c r="W29" s="695"/>
      <c r="X29" s="694"/>
      <c r="Y29" s="695">
        <f t="shared" si="5"/>
        <v>0</v>
      </c>
      <c r="Z29" s="695">
        <f t="shared" si="6"/>
        <v>0</v>
      </c>
      <c r="AA29" s="695">
        <f t="shared" si="7"/>
        <v>0</v>
      </c>
      <c r="AB29" s="694">
        <f t="shared" si="8"/>
        <v>0</v>
      </c>
      <c r="AC29" s="88"/>
    </row>
    <row r="30" spans="1:29">
      <c r="A30" s="211" t="s">
        <v>920</v>
      </c>
      <c r="B30" s="695"/>
      <c r="C30" s="695"/>
      <c r="D30" s="695">
        <v>176</v>
      </c>
      <c r="E30" s="694">
        <v>101</v>
      </c>
      <c r="F30" s="695"/>
      <c r="G30" s="695"/>
      <c r="H30" s="695"/>
      <c r="I30" s="694"/>
      <c r="J30" s="695"/>
      <c r="K30" s="695"/>
      <c r="L30" s="694"/>
      <c r="M30" s="695"/>
      <c r="N30" s="695"/>
      <c r="O30" s="695"/>
      <c r="P30" s="694"/>
      <c r="Q30" s="695"/>
      <c r="R30" s="695"/>
      <c r="S30" s="695"/>
      <c r="T30" s="694"/>
      <c r="U30" s="695"/>
      <c r="V30" s="695"/>
      <c r="W30" s="695"/>
      <c r="X30" s="694"/>
      <c r="Y30" s="695">
        <f t="shared" si="5"/>
        <v>0</v>
      </c>
      <c r="Z30" s="695">
        <f t="shared" si="6"/>
        <v>0</v>
      </c>
      <c r="AA30" s="695">
        <f t="shared" si="7"/>
        <v>176</v>
      </c>
      <c r="AB30" s="694">
        <f t="shared" si="8"/>
        <v>101</v>
      </c>
      <c r="AC30" s="88"/>
    </row>
    <row r="31" spans="1:29">
      <c r="A31" s="211" t="s">
        <v>921</v>
      </c>
      <c r="B31" s="695"/>
      <c r="C31" s="695"/>
      <c r="D31" s="695"/>
      <c r="E31" s="694"/>
      <c r="F31" s="695"/>
      <c r="G31" s="695"/>
      <c r="H31" s="695"/>
      <c r="I31" s="694">
        <v>1313</v>
      </c>
      <c r="J31" s="695"/>
      <c r="K31" s="695"/>
      <c r="L31" s="694"/>
      <c r="M31" s="695"/>
      <c r="N31" s="695"/>
      <c r="O31" s="695"/>
      <c r="P31" s="694"/>
      <c r="Q31" s="695"/>
      <c r="R31" s="695"/>
      <c r="S31" s="695"/>
      <c r="T31" s="694"/>
      <c r="U31" s="695"/>
      <c r="V31" s="695"/>
      <c r="W31" s="695"/>
      <c r="X31" s="694"/>
      <c r="Y31" s="695">
        <f t="shared" si="5"/>
        <v>0</v>
      </c>
      <c r="Z31" s="695">
        <f t="shared" si="6"/>
        <v>0</v>
      </c>
      <c r="AA31" s="695">
        <f t="shared" si="7"/>
        <v>0</v>
      </c>
      <c r="AB31" s="694">
        <f t="shared" si="8"/>
        <v>1313</v>
      </c>
      <c r="AC31" s="88"/>
    </row>
    <row r="32" spans="1:29">
      <c r="A32" s="211" t="s">
        <v>1172</v>
      </c>
      <c r="B32" s="695"/>
      <c r="C32" s="695">
        <v>58</v>
      </c>
      <c r="D32" s="695">
        <v>193</v>
      </c>
      <c r="E32" s="694">
        <v>673</v>
      </c>
      <c r="F32" s="695"/>
      <c r="G32" s="695"/>
      <c r="H32" s="695"/>
      <c r="I32" s="694"/>
      <c r="J32" s="695"/>
      <c r="K32" s="695"/>
      <c r="L32" s="694"/>
      <c r="M32" s="695"/>
      <c r="N32" s="695"/>
      <c r="O32" s="695"/>
      <c r="P32" s="694"/>
      <c r="Q32" s="695"/>
      <c r="R32" s="695"/>
      <c r="S32" s="695"/>
      <c r="T32" s="694"/>
      <c r="U32" s="695"/>
      <c r="V32" s="695"/>
      <c r="W32" s="695"/>
      <c r="X32" s="694"/>
      <c r="Y32" s="695">
        <f t="shared" si="5"/>
        <v>0</v>
      </c>
      <c r="Z32" s="695">
        <f t="shared" si="6"/>
        <v>58</v>
      </c>
      <c r="AA32" s="695">
        <f t="shared" si="7"/>
        <v>193</v>
      </c>
      <c r="AB32" s="694">
        <f t="shared" si="8"/>
        <v>673</v>
      </c>
      <c r="AC32" s="88"/>
    </row>
    <row r="33" spans="1:29">
      <c r="A33" s="211" t="s">
        <v>923</v>
      </c>
      <c r="B33" s="695">
        <v>1115</v>
      </c>
      <c r="C33" s="695">
        <v>1357</v>
      </c>
      <c r="D33" s="695">
        <v>2463</v>
      </c>
      <c r="E33" s="694">
        <v>9990</v>
      </c>
      <c r="F33" s="695"/>
      <c r="G33" s="695"/>
      <c r="H33" s="695"/>
      <c r="I33" s="694"/>
      <c r="J33" s="695"/>
      <c r="K33" s="695"/>
      <c r="L33" s="694"/>
      <c r="M33" s="695"/>
      <c r="N33" s="695"/>
      <c r="O33" s="695"/>
      <c r="P33" s="694"/>
      <c r="Q33" s="695"/>
      <c r="R33" s="695"/>
      <c r="S33" s="695"/>
      <c r="T33" s="694"/>
      <c r="U33" s="695"/>
      <c r="V33" s="695"/>
      <c r="W33" s="695"/>
      <c r="X33" s="694"/>
      <c r="Y33" s="695">
        <f t="shared" si="5"/>
        <v>1115</v>
      </c>
      <c r="Z33" s="695">
        <f t="shared" si="6"/>
        <v>1357</v>
      </c>
      <c r="AA33" s="695">
        <f t="shared" si="7"/>
        <v>2463</v>
      </c>
      <c r="AB33" s="694">
        <f t="shared" si="8"/>
        <v>9990</v>
      </c>
      <c r="AC33" s="88"/>
    </row>
    <row r="34" spans="1:29">
      <c r="A34" s="211" t="s">
        <v>924</v>
      </c>
      <c r="B34" s="695">
        <v>26</v>
      </c>
      <c r="C34" s="695">
        <v>59</v>
      </c>
      <c r="D34" s="695">
        <v>408</v>
      </c>
      <c r="E34" s="694">
        <v>1104</v>
      </c>
      <c r="F34" s="695"/>
      <c r="G34" s="695"/>
      <c r="H34" s="695"/>
      <c r="I34" s="694"/>
      <c r="J34" s="695"/>
      <c r="K34" s="695"/>
      <c r="L34" s="694"/>
      <c r="M34" s="695"/>
      <c r="N34" s="695"/>
      <c r="O34" s="695"/>
      <c r="P34" s="694"/>
      <c r="Q34" s="695"/>
      <c r="R34" s="695"/>
      <c r="S34" s="695"/>
      <c r="T34" s="694"/>
      <c r="U34" s="695"/>
      <c r="V34" s="695"/>
      <c r="W34" s="695"/>
      <c r="X34" s="694"/>
      <c r="Y34" s="695">
        <f t="shared" si="5"/>
        <v>26</v>
      </c>
      <c r="Z34" s="695">
        <f t="shared" si="6"/>
        <v>59</v>
      </c>
      <c r="AA34" s="695">
        <f t="shared" si="7"/>
        <v>408</v>
      </c>
      <c r="AB34" s="694">
        <f t="shared" si="8"/>
        <v>1104</v>
      </c>
      <c r="AC34" s="88"/>
    </row>
    <row r="35" spans="1:29">
      <c r="A35" s="211" t="s">
        <v>925</v>
      </c>
      <c r="B35" s="695"/>
      <c r="C35" s="695"/>
      <c r="D35" s="695"/>
      <c r="E35" s="694"/>
      <c r="F35" s="695">
        <v>71</v>
      </c>
      <c r="G35" s="695"/>
      <c r="H35" s="695">
        <v>174</v>
      </c>
      <c r="I35" s="694">
        <v>446</v>
      </c>
      <c r="J35" s="695"/>
      <c r="K35" s="695"/>
      <c r="L35" s="694"/>
      <c r="M35" s="695"/>
      <c r="N35" s="695"/>
      <c r="O35" s="695"/>
      <c r="P35" s="694"/>
      <c r="Q35" s="695"/>
      <c r="R35" s="695"/>
      <c r="S35" s="695"/>
      <c r="T35" s="694"/>
      <c r="U35" s="695"/>
      <c r="V35" s="695"/>
      <c r="W35" s="695"/>
      <c r="X35" s="694"/>
      <c r="Y35" s="695">
        <f t="shared" si="5"/>
        <v>71</v>
      </c>
      <c r="Z35" s="695">
        <f t="shared" si="6"/>
        <v>0</v>
      </c>
      <c r="AA35" s="695">
        <f t="shared" si="7"/>
        <v>174</v>
      </c>
      <c r="AB35" s="694">
        <f t="shared" si="8"/>
        <v>446</v>
      </c>
      <c r="AC35" s="88"/>
    </row>
    <row r="36" spans="1:29">
      <c r="A36" s="211" t="s">
        <v>926</v>
      </c>
      <c r="B36" s="695"/>
      <c r="C36" s="695"/>
      <c r="D36" s="695"/>
      <c r="E36" s="694"/>
      <c r="F36" s="695"/>
      <c r="G36" s="695"/>
      <c r="H36" s="695">
        <v>475</v>
      </c>
      <c r="I36" s="694">
        <v>813</v>
      </c>
      <c r="J36" s="695"/>
      <c r="K36" s="695"/>
      <c r="L36" s="694"/>
      <c r="M36" s="695"/>
      <c r="N36" s="695"/>
      <c r="O36" s="695"/>
      <c r="P36" s="694"/>
      <c r="Q36" s="695"/>
      <c r="R36" s="695"/>
      <c r="S36" s="695"/>
      <c r="T36" s="694"/>
      <c r="U36" s="695"/>
      <c r="V36" s="695"/>
      <c r="W36" s="695"/>
      <c r="X36" s="694"/>
      <c r="Y36" s="695">
        <f t="shared" si="5"/>
        <v>0</v>
      </c>
      <c r="Z36" s="695">
        <f t="shared" si="6"/>
        <v>0</v>
      </c>
      <c r="AA36" s="695">
        <f t="shared" si="7"/>
        <v>475</v>
      </c>
      <c r="AB36" s="694">
        <f t="shared" si="8"/>
        <v>813</v>
      </c>
      <c r="AC36" s="88"/>
    </row>
    <row r="37" spans="1:29">
      <c r="A37" s="211" t="s">
        <v>1477</v>
      </c>
      <c r="B37" s="695"/>
      <c r="C37" s="695"/>
      <c r="D37" s="695"/>
      <c r="E37" s="694"/>
      <c r="F37" s="695"/>
      <c r="G37" s="695"/>
      <c r="H37" s="695"/>
      <c r="I37" s="694"/>
      <c r="J37" s="695"/>
      <c r="K37" s="695"/>
      <c r="L37" s="694"/>
      <c r="M37" s="695"/>
      <c r="N37" s="695"/>
      <c r="O37" s="695"/>
      <c r="P37" s="694"/>
      <c r="Q37" s="695">
        <v>226</v>
      </c>
      <c r="R37" s="695">
        <v>226</v>
      </c>
      <c r="S37" s="695">
        <v>261</v>
      </c>
      <c r="T37" s="694">
        <v>250</v>
      </c>
      <c r="U37" s="695"/>
      <c r="V37" s="695"/>
      <c r="W37" s="695"/>
      <c r="X37" s="694"/>
      <c r="Y37" s="695">
        <f t="shared" si="5"/>
        <v>226</v>
      </c>
      <c r="Z37" s="695">
        <f t="shared" si="6"/>
        <v>226</v>
      </c>
      <c r="AA37" s="695">
        <f t="shared" si="7"/>
        <v>261</v>
      </c>
      <c r="AB37" s="694">
        <f t="shared" si="8"/>
        <v>250</v>
      </c>
      <c r="AC37" s="88"/>
    </row>
    <row r="38" spans="1:29">
      <c r="A38" s="211" t="s">
        <v>927</v>
      </c>
      <c r="B38" s="695"/>
      <c r="C38" s="695"/>
      <c r="D38" s="695"/>
      <c r="E38" s="694">
        <v>56</v>
      </c>
      <c r="F38" s="695"/>
      <c r="G38" s="695"/>
      <c r="H38" s="695"/>
      <c r="I38" s="694"/>
      <c r="J38" s="695"/>
      <c r="K38" s="695"/>
      <c r="L38" s="694"/>
      <c r="M38" s="695"/>
      <c r="N38" s="695"/>
      <c r="O38" s="695"/>
      <c r="P38" s="694"/>
      <c r="Q38" s="695"/>
      <c r="R38" s="695"/>
      <c r="S38" s="695"/>
      <c r="T38" s="694"/>
      <c r="U38" s="695"/>
      <c r="V38" s="695"/>
      <c r="W38" s="695"/>
      <c r="X38" s="694"/>
      <c r="Y38" s="695">
        <f t="shared" si="5"/>
        <v>0</v>
      </c>
      <c r="Z38" s="695">
        <f t="shared" si="6"/>
        <v>0</v>
      </c>
      <c r="AA38" s="695">
        <f t="shared" si="7"/>
        <v>0</v>
      </c>
      <c r="AB38" s="694">
        <f t="shared" si="8"/>
        <v>56</v>
      </c>
      <c r="AC38" s="88"/>
    </row>
    <row r="39" spans="1:29">
      <c r="A39" s="214" t="s">
        <v>767</v>
      </c>
      <c r="B39" s="355">
        <f t="shared" ref="B39:X39" si="9">SUM(B9:B38)</f>
        <v>1689</v>
      </c>
      <c r="C39" s="355">
        <f t="shared" si="9"/>
        <v>2594</v>
      </c>
      <c r="D39" s="355">
        <f t="shared" si="9"/>
        <v>4761</v>
      </c>
      <c r="E39" s="356">
        <f t="shared" si="9"/>
        <v>15669</v>
      </c>
      <c r="F39" s="355">
        <f t="shared" si="9"/>
        <v>363</v>
      </c>
      <c r="G39" s="355">
        <f t="shared" si="9"/>
        <v>599</v>
      </c>
      <c r="H39" s="355">
        <f t="shared" si="9"/>
        <v>1852</v>
      </c>
      <c r="I39" s="356">
        <f t="shared" si="9"/>
        <v>3984</v>
      </c>
      <c r="J39" s="355">
        <f t="shared" si="9"/>
        <v>0</v>
      </c>
      <c r="K39" s="355">
        <f t="shared" si="9"/>
        <v>3</v>
      </c>
      <c r="L39" s="356">
        <f t="shared" si="9"/>
        <v>54</v>
      </c>
      <c r="M39" s="355">
        <f t="shared" si="9"/>
        <v>417</v>
      </c>
      <c r="N39" s="355">
        <f t="shared" si="9"/>
        <v>435</v>
      </c>
      <c r="O39" s="355">
        <f t="shared" si="9"/>
        <v>421</v>
      </c>
      <c r="P39" s="356">
        <f t="shared" si="9"/>
        <v>453</v>
      </c>
      <c r="Q39" s="355">
        <f t="shared" si="9"/>
        <v>226</v>
      </c>
      <c r="R39" s="355">
        <f t="shared" si="9"/>
        <v>226</v>
      </c>
      <c r="S39" s="355">
        <f t="shared" si="9"/>
        <v>261</v>
      </c>
      <c r="T39" s="356">
        <f t="shared" si="9"/>
        <v>250</v>
      </c>
      <c r="U39" s="355">
        <f t="shared" si="9"/>
        <v>0</v>
      </c>
      <c r="V39" s="355">
        <f t="shared" si="9"/>
        <v>0</v>
      </c>
      <c r="W39" s="355">
        <f t="shared" si="9"/>
        <v>52</v>
      </c>
      <c r="X39" s="356">
        <f t="shared" si="9"/>
        <v>51</v>
      </c>
      <c r="Y39" s="923">
        <f t="shared" si="5"/>
        <v>2695</v>
      </c>
      <c r="Z39" s="923">
        <f t="shared" si="6"/>
        <v>3854</v>
      </c>
      <c r="AA39" s="355">
        <f>+D39+H39+O39+S39+W39+K39</f>
        <v>7350</v>
      </c>
      <c r="AB39" s="356">
        <f>+E39+I39+P39+T39+X39+L39</f>
        <v>20461</v>
      </c>
      <c r="AC39" s="88"/>
    </row>
    <row r="41" spans="1:29">
      <c r="A41" s="10"/>
    </row>
  </sheetData>
  <pageMargins left="0.7" right="0.7" top="0.75" bottom="0.75" header="0.3" footer="0.3"/>
  <pageSetup orientation="portrait" r:id="rId1"/>
  <ignoredErrors>
    <ignoredError sqref="F39:H39 B39:D39" formulaRange="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D85"/>
  <sheetViews>
    <sheetView workbookViewId="0">
      <selection activeCell="AD5" sqref="AD5"/>
    </sheetView>
  </sheetViews>
  <sheetFormatPr baseColWidth="10" defaultRowHeight="12.75"/>
  <cols>
    <col min="1" max="1" width="25.7109375" customWidth="1"/>
    <col min="2" max="2" width="8.42578125" customWidth="1"/>
    <col min="3" max="3" width="6.28515625" customWidth="1"/>
    <col min="4" max="4" width="7.42578125" customWidth="1"/>
    <col min="5" max="16" width="6.28515625" customWidth="1"/>
    <col min="17" max="26" width="6" customWidth="1"/>
    <col min="27" max="30" width="6.28515625" customWidth="1"/>
  </cols>
  <sheetData>
    <row r="1" spans="1:30">
      <c r="A1" s="1583" t="s">
        <v>1546</v>
      </c>
      <c r="B1" s="1583"/>
      <c r="C1" s="1583"/>
      <c r="D1" s="1583"/>
      <c r="E1" s="1583"/>
      <c r="F1" s="1583"/>
      <c r="G1" s="1583"/>
      <c r="H1" s="1583"/>
      <c r="I1" s="1583"/>
      <c r="J1" s="1583"/>
      <c r="K1" s="1583"/>
      <c r="L1" s="1583"/>
      <c r="M1" s="1583"/>
      <c r="N1" s="1583"/>
      <c r="O1" s="1583"/>
      <c r="P1" s="1583"/>
      <c r="Q1" s="1583"/>
      <c r="R1" s="1583"/>
      <c r="S1" s="1583"/>
      <c r="T1" s="1583"/>
      <c r="U1" s="1583"/>
      <c r="V1" s="1583"/>
      <c r="W1" s="1583"/>
      <c r="X1" s="1583"/>
      <c r="Y1" s="1583"/>
      <c r="Z1" s="1583"/>
      <c r="AA1" s="1583"/>
      <c r="AB1" s="1583"/>
    </row>
    <row r="2" spans="1:30" ht="20.25" customHeight="1">
      <c r="A2" s="366"/>
      <c r="B2" s="176"/>
      <c r="C2" s="176"/>
      <c r="D2" s="176"/>
      <c r="E2" s="366"/>
      <c r="F2" s="366"/>
      <c r="G2" s="366"/>
      <c r="H2" s="366"/>
      <c r="I2" s="366"/>
      <c r="J2" s="366"/>
      <c r="K2" s="366"/>
      <c r="L2" s="366"/>
      <c r="M2" s="366"/>
      <c r="N2" s="366"/>
      <c r="O2" s="366"/>
    </row>
    <row r="3" spans="1:30" s="94" customFormat="1" ht="22.5" customHeight="1">
      <c r="A3" s="1298" t="s">
        <v>943</v>
      </c>
      <c r="B3" s="1299"/>
      <c r="C3" s="1300" t="s">
        <v>474</v>
      </c>
      <c r="D3" s="1301"/>
      <c r="E3" s="1584" t="s">
        <v>944</v>
      </c>
      <c r="F3" s="1585"/>
      <c r="G3" s="1585" t="s">
        <v>945</v>
      </c>
      <c r="H3" s="1585"/>
      <c r="I3" s="1582" t="s">
        <v>763</v>
      </c>
      <c r="J3" s="1582"/>
      <c r="K3" s="1582" t="s">
        <v>575</v>
      </c>
      <c r="L3" s="1582"/>
      <c r="M3" s="1582" t="s">
        <v>574</v>
      </c>
      <c r="N3" s="1582"/>
      <c r="O3" s="1582" t="s">
        <v>946</v>
      </c>
      <c r="P3" s="1582"/>
      <c r="Q3" s="1582" t="s">
        <v>576</v>
      </c>
      <c r="R3" s="1582"/>
      <c r="S3" s="1586" t="s">
        <v>947</v>
      </c>
      <c r="T3" s="1586"/>
      <c r="U3" s="1580" t="s">
        <v>581</v>
      </c>
      <c r="V3" s="1581"/>
      <c r="W3" s="1580" t="s">
        <v>948</v>
      </c>
      <c r="X3" s="1581"/>
      <c r="Y3" s="1580" t="s">
        <v>579</v>
      </c>
      <c r="Z3" s="1581"/>
      <c r="AA3" s="1580" t="s">
        <v>577</v>
      </c>
      <c r="AB3" s="1581"/>
      <c r="AC3" s="1582" t="s">
        <v>949</v>
      </c>
      <c r="AD3" s="1582"/>
    </row>
    <row r="4" spans="1:30" s="94" customFormat="1" ht="21" customHeight="1">
      <c r="A4" s="1302"/>
      <c r="B4" s="1303" t="s">
        <v>474</v>
      </c>
      <c r="C4" s="1304" t="s">
        <v>950</v>
      </c>
      <c r="D4" s="1305" t="s">
        <v>951</v>
      </c>
      <c r="E4" s="1306" t="s">
        <v>950</v>
      </c>
      <c r="F4" s="1306" t="s">
        <v>951</v>
      </c>
      <c r="G4" s="1306" t="s">
        <v>950</v>
      </c>
      <c r="H4" s="1306" t="s">
        <v>951</v>
      </c>
      <c r="I4" s="1306" t="s">
        <v>950</v>
      </c>
      <c r="J4" s="1306" t="s">
        <v>951</v>
      </c>
      <c r="K4" s="1306" t="s">
        <v>950</v>
      </c>
      <c r="L4" s="1306" t="s">
        <v>951</v>
      </c>
      <c r="M4" s="1306" t="s">
        <v>950</v>
      </c>
      <c r="N4" s="1306" t="s">
        <v>951</v>
      </c>
      <c r="O4" s="1306" t="s">
        <v>950</v>
      </c>
      <c r="P4" s="1306" t="s">
        <v>951</v>
      </c>
      <c r="Q4" s="1306" t="s">
        <v>950</v>
      </c>
      <c r="R4" s="1306" t="s">
        <v>951</v>
      </c>
      <c r="S4" s="1306" t="s">
        <v>950</v>
      </c>
      <c r="T4" s="1306" t="s">
        <v>951</v>
      </c>
      <c r="U4" s="1306" t="s">
        <v>950</v>
      </c>
      <c r="V4" s="1306" t="s">
        <v>951</v>
      </c>
      <c r="W4" s="1306" t="s">
        <v>950</v>
      </c>
      <c r="X4" s="1306" t="s">
        <v>951</v>
      </c>
      <c r="Y4" s="1306" t="s">
        <v>950</v>
      </c>
      <c r="Z4" s="1306" t="s">
        <v>951</v>
      </c>
      <c r="AA4" s="1306" t="s">
        <v>950</v>
      </c>
      <c r="AB4" s="1306" t="s">
        <v>951</v>
      </c>
      <c r="AC4" s="1306" t="s">
        <v>950</v>
      </c>
      <c r="AD4" s="1306" t="s">
        <v>951</v>
      </c>
    </row>
    <row r="5" spans="1:30" s="94" customFormat="1">
      <c r="A5" s="873" t="s">
        <v>1354</v>
      </c>
      <c r="B5" s="367">
        <f t="shared" ref="B5:B13" si="0">SUM(C5:D5)</f>
        <v>1008</v>
      </c>
      <c r="C5" s="368">
        <f t="shared" ref="C5:D8" si="1">+E5+G5+I5+K5+M5+O5+Q5+S5+U5+W5+Y5+AA5+AC5</f>
        <v>999</v>
      </c>
      <c r="D5" s="368">
        <f t="shared" si="1"/>
        <v>9</v>
      </c>
      <c r="E5" s="254">
        <f>+[15]cons!D5</f>
        <v>39</v>
      </c>
      <c r="F5" s="323">
        <f>+[15]cons!E5</f>
        <v>0</v>
      </c>
      <c r="G5" s="254">
        <f>+[15]cons!F5</f>
        <v>87</v>
      </c>
      <c r="H5" s="323">
        <f>+[15]cons!G5</f>
        <v>0</v>
      </c>
      <c r="I5" s="254">
        <f>+[15]cons!H5</f>
        <v>96</v>
      </c>
      <c r="J5" s="323">
        <f>+[15]cons!I5</f>
        <v>0</v>
      </c>
      <c r="K5" s="254">
        <f>+[15]cons!J5</f>
        <v>53</v>
      </c>
      <c r="L5" s="323">
        <f>+[15]cons!K5</f>
        <v>3</v>
      </c>
      <c r="M5" s="254">
        <f>+[15]cons!L5</f>
        <v>42</v>
      </c>
      <c r="N5" s="323">
        <f>+[15]cons!M5</f>
        <v>6</v>
      </c>
      <c r="O5" s="254">
        <f>+[15]cons!N5</f>
        <v>20</v>
      </c>
      <c r="P5" s="323">
        <f>+[15]cons!O5</f>
        <v>0</v>
      </c>
      <c r="Q5" s="254">
        <f>+[15]cons!P5</f>
        <v>108</v>
      </c>
      <c r="R5" s="323">
        <f>+[15]cons!Q5</f>
        <v>0</v>
      </c>
      <c r="S5" s="254">
        <f>+[15]cons!R5</f>
        <v>261</v>
      </c>
      <c r="T5" s="323">
        <f>+[15]cons!S5</f>
        <v>0</v>
      </c>
      <c r="U5" s="254">
        <f>+[15]cons!T5</f>
        <v>52</v>
      </c>
      <c r="V5" s="323">
        <f>+[15]cons!U5</f>
        <v>0</v>
      </c>
      <c r="W5" s="254">
        <f>+[15]cons!V5</f>
        <v>72</v>
      </c>
      <c r="X5" s="323">
        <f>+[15]cons!W5</f>
        <v>0</v>
      </c>
      <c r="Y5" s="254">
        <f>+[15]cons!X5</f>
        <v>33</v>
      </c>
      <c r="Z5" s="323">
        <f>+[15]cons!Y5</f>
        <v>0</v>
      </c>
      <c r="AA5" s="254">
        <f>+[15]cons!Z5</f>
        <v>44</v>
      </c>
      <c r="AB5" s="323">
        <f>+[15]cons!AA5</f>
        <v>0</v>
      </c>
      <c r="AC5" s="254">
        <f>+[15]cons!AB5</f>
        <v>92</v>
      </c>
      <c r="AD5" s="323">
        <f>+[15]cons!AC5</f>
        <v>0</v>
      </c>
    </row>
    <row r="6" spans="1:30" s="94" customFormat="1">
      <c r="A6" s="874" t="s">
        <v>1355</v>
      </c>
      <c r="B6" s="369">
        <f t="shared" si="0"/>
        <v>5188</v>
      </c>
      <c r="C6" s="368">
        <f t="shared" si="1"/>
        <v>84</v>
      </c>
      <c r="D6" s="368">
        <f t="shared" si="1"/>
        <v>5104</v>
      </c>
      <c r="E6" s="254">
        <f>+[15]cons!D6</f>
        <v>0</v>
      </c>
      <c r="F6" s="323">
        <f>+[15]cons!E6</f>
        <v>389</v>
      </c>
      <c r="G6" s="254">
        <f>+[15]cons!F6</f>
        <v>0</v>
      </c>
      <c r="H6" s="323">
        <f>+[15]cons!G6</f>
        <v>463</v>
      </c>
      <c r="I6" s="254">
        <f>+[15]cons!H6</f>
        <v>42</v>
      </c>
      <c r="J6" s="323">
        <f>+[15]cons!I6</f>
        <v>355</v>
      </c>
      <c r="K6" s="254">
        <f>+[15]cons!J6</f>
        <v>37</v>
      </c>
      <c r="L6" s="323">
        <f>+[15]cons!K6</f>
        <v>204</v>
      </c>
      <c r="M6" s="254">
        <f>+[15]cons!L6</f>
        <v>0</v>
      </c>
      <c r="N6" s="323">
        <f>+[15]cons!M6</f>
        <v>275</v>
      </c>
      <c r="O6" s="254">
        <f>+[15]cons!N6</f>
        <v>0</v>
      </c>
      <c r="P6" s="323">
        <f>+[15]cons!O6</f>
        <v>200</v>
      </c>
      <c r="Q6" s="254">
        <f>+[15]cons!P6</f>
        <v>0</v>
      </c>
      <c r="R6" s="323">
        <f>+[15]cons!Q6</f>
        <v>623</v>
      </c>
      <c r="S6" s="254">
        <f>+[15]cons!R6</f>
        <v>1</v>
      </c>
      <c r="T6" s="323">
        <f>+[15]cons!S6</f>
        <v>787</v>
      </c>
      <c r="U6" s="254">
        <f>+[15]cons!T6</f>
        <v>0</v>
      </c>
      <c r="V6" s="323">
        <f>+[15]cons!U6</f>
        <v>161</v>
      </c>
      <c r="W6" s="254">
        <f>+[15]cons!V6</f>
        <v>2</v>
      </c>
      <c r="X6" s="323">
        <f>+[15]cons!W6</f>
        <v>800</v>
      </c>
      <c r="Y6" s="254">
        <f>+[15]cons!X6</f>
        <v>1</v>
      </c>
      <c r="Z6" s="323">
        <f>+[15]cons!Y6</f>
        <v>135</v>
      </c>
      <c r="AA6" s="254">
        <f>+[15]cons!Z6</f>
        <v>1</v>
      </c>
      <c r="AB6" s="323">
        <f>+[15]cons!AA6</f>
        <v>296</v>
      </c>
      <c r="AC6" s="254">
        <f>+[15]cons!AB6</f>
        <v>0</v>
      </c>
      <c r="AD6" s="323">
        <f>+[15]cons!AC6</f>
        <v>416</v>
      </c>
    </row>
    <row r="7" spans="1:30" s="94" customFormat="1">
      <c r="A7" s="874" t="s">
        <v>1356</v>
      </c>
      <c r="B7" s="369">
        <f t="shared" si="0"/>
        <v>0</v>
      </c>
      <c r="C7" s="368">
        <f t="shared" si="1"/>
        <v>0</v>
      </c>
      <c r="D7" s="368">
        <f t="shared" si="1"/>
        <v>0</v>
      </c>
      <c r="E7" s="254">
        <f>+[15]cons!D7</f>
        <v>0</v>
      </c>
      <c r="F7" s="323">
        <f>+[15]cons!E7</f>
        <v>0</v>
      </c>
      <c r="G7" s="254">
        <f>+[15]cons!F7</f>
        <v>0</v>
      </c>
      <c r="H7" s="323">
        <f>+[15]cons!G7</f>
        <v>0</v>
      </c>
      <c r="I7" s="254">
        <f>+[15]cons!H7</f>
        <v>0</v>
      </c>
      <c r="J7" s="323">
        <f>+[15]cons!I7</f>
        <v>0</v>
      </c>
      <c r="K7" s="254">
        <f>+[15]cons!J7</f>
        <v>0</v>
      </c>
      <c r="L7" s="323">
        <f>+[15]cons!K7</f>
        <v>0</v>
      </c>
      <c r="M7" s="254">
        <f>+[15]cons!L7</f>
        <v>0</v>
      </c>
      <c r="N7" s="323">
        <f>+[15]cons!M7</f>
        <v>0</v>
      </c>
      <c r="O7" s="254">
        <f>+[15]cons!N7</f>
        <v>0</v>
      </c>
      <c r="P7" s="323">
        <f>+[15]cons!O7</f>
        <v>0</v>
      </c>
      <c r="Q7" s="254">
        <f>+[15]cons!P7</f>
        <v>0</v>
      </c>
      <c r="R7" s="323">
        <f>+[15]cons!Q7</f>
        <v>0</v>
      </c>
      <c r="S7" s="254">
        <f>+[15]cons!R7</f>
        <v>0</v>
      </c>
      <c r="T7" s="323">
        <f>+[15]cons!S7</f>
        <v>0</v>
      </c>
      <c r="U7" s="254">
        <f>+[15]cons!T7</f>
        <v>0</v>
      </c>
      <c r="V7" s="323">
        <f>+[15]cons!U7</f>
        <v>0</v>
      </c>
      <c r="W7" s="254">
        <f>+[15]cons!V7</f>
        <v>0</v>
      </c>
      <c r="X7" s="323">
        <f>+[15]cons!W7</f>
        <v>0</v>
      </c>
      <c r="Y7" s="254">
        <f>+[15]cons!X7</f>
        <v>0</v>
      </c>
      <c r="Z7" s="323">
        <f>+[15]cons!Y7</f>
        <v>0</v>
      </c>
      <c r="AA7" s="254">
        <f>+[15]cons!Z7</f>
        <v>0</v>
      </c>
      <c r="AB7" s="323">
        <f>+[15]cons!AA7</f>
        <v>0</v>
      </c>
      <c r="AC7" s="254">
        <f>+[15]cons!AB7</f>
        <v>0</v>
      </c>
      <c r="AD7" s="323">
        <f>+[15]cons!AC7</f>
        <v>0</v>
      </c>
    </row>
    <row r="8" spans="1:30" s="94" customFormat="1">
      <c r="A8" s="874" t="s">
        <v>1357</v>
      </c>
      <c r="B8" s="369">
        <f t="shared" si="0"/>
        <v>2</v>
      </c>
      <c r="C8" s="368">
        <f t="shared" si="1"/>
        <v>2</v>
      </c>
      <c r="D8" s="368">
        <f t="shared" si="1"/>
        <v>0</v>
      </c>
      <c r="E8" s="254">
        <f>+[15]cons!D8</f>
        <v>0</v>
      </c>
      <c r="F8" s="323">
        <f>+[15]cons!E8</f>
        <v>0</v>
      </c>
      <c r="G8" s="254">
        <f>+[15]cons!F8</f>
        <v>0</v>
      </c>
      <c r="H8" s="323">
        <f>+[15]cons!G8</f>
        <v>0</v>
      </c>
      <c r="I8" s="254">
        <f>+[15]cons!H8</f>
        <v>0</v>
      </c>
      <c r="J8" s="323">
        <f>+[15]cons!I8</f>
        <v>0</v>
      </c>
      <c r="K8" s="254">
        <f>+[15]cons!J8</f>
        <v>2</v>
      </c>
      <c r="L8" s="323">
        <f>+[15]cons!K8</f>
        <v>0</v>
      </c>
      <c r="M8" s="254">
        <f>+[15]cons!L8</f>
        <v>0</v>
      </c>
      <c r="N8" s="323">
        <f>+[15]cons!M8</f>
        <v>0</v>
      </c>
      <c r="O8" s="254">
        <f>+[15]cons!N8</f>
        <v>0</v>
      </c>
      <c r="P8" s="323">
        <f>+[15]cons!O8</f>
        <v>0</v>
      </c>
      <c r="Q8" s="254">
        <f>+[15]cons!P8</f>
        <v>0</v>
      </c>
      <c r="R8" s="323">
        <f>+[15]cons!Q8</f>
        <v>0</v>
      </c>
      <c r="S8" s="254">
        <f>+[15]cons!R8</f>
        <v>0</v>
      </c>
      <c r="T8" s="323">
        <f>+[15]cons!S8</f>
        <v>0</v>
      </c>
      <c r="U8" s="254">
        <f>+[15]cons!T8</f>
        <v>0</v>
      </c>
      <c r="V8" s="323">
        <f>+[15]cons!U8</f>
        <v>0</v>
      </c>
      <c r="W8" s="254">
        <f>+[15]cons!V8</f>
        <v>0</v>
      </c>
      <c r="X8" s="323">
        <f>+[15]cons!W8</f>
        <v>0</v>
      </c>
      <c r="Y8" s="254">
        <f>+[15]cons!X8</f>
        <v>0</v>
      </c>
      <c r="Z8" s="323">
        <f>+[15]cons!Y8</f>
        <v>0</v>
      </c>
      <c r="AA8" s="254">
        <f>+[15]cons!Z8</f>
        <v>0</v>
      </c>
      <c r="AB8" s="323">
        <f>+[15]cons!AA8</f>
        <v>0</v>
      </c>
      <c r="AC8" s="254">
        <f>+[15]cons!AB8</f>
        <v>0</v>
      </c>
      <c r="AD8" s="323">
        <f>+[15]cons!AC8</f>
        <v>0</v>
      </c>
    </row>
    <row r="9" spans="1:30" s="94" customFormat="1">
      <c r="A9" s="874" t="s">
        <v>1358</v>
      </c>
      <c r="B9" s="369">
        <f t="shared" si="0"/>
        <v>10</v>
      </c>
      <c r="C9" s="368">
        <f t="shared" ref="C9:D13" si="2">+E9+G9+I9+K9+M9+O9+Q9+S9+U9+W9+Y9+AA9+AC9</f>
        <v>0</v>
      </c>
      <c r="D9" s="368">
        <f t="shared" si="2"/>
        <v>10</v>
      </c>
      <c r="E9" s="254">
        <f>+[15]cons!D9</f>
        <v>0</v>
      </c>
      <c r="F9" s="323">
        <f>+[15]cons!E9</f>
        <v>5</v>
      </c>
      <c r="G9" s="254">
        <f>+[15]cons!F9</f>
        <v>0</v>
      </c>
      <c r="H9" s="323">
        <f>+[15]cons!G9</f>
        <v>1</v>
      </c>
      <c r="I9" s="254">
        <f>+[15]cons!H9</f>
        <v>0</v>
      </c>
      <c r="J9" s="323">
        <f>+[15]cons!I9</f>
        <v>0</v>
      </c>
      <c r="K9" s="254">
        <f>+[15]cons!J9</f>
        <v>0</v>
      </c>
      <c r="L9" s="323">
        <f>+[15]cons!K9</f>
        <v>3</v>
      </c>
      <c r="M9" s="254">
        <f>+[15]cons!L9</f>
        <v>0</v>
      </c>
      <c r="N9" s="323">
        <f>+[15]cons!M9</f>
        <v>1</v>
      </c>
      <c r="O9" s="254">
        <f>+[15]cons!N9</f>
        <v>0</v>
      </c>
      <c r="P9" s="323">
        <f>+[15]cons!O9</f>
        <v>0</v>
      </c>
      <c r="Q9" s="254">
        <f>+[15]cons!P9</f>
        <v>0</v>
      </c>
      <c r="R9" s="323">
        <f>+[15]cons!Q9</f>
        <v>0</v>
      </c>
      <c r="S9" s="254">
        <f>+[15]cons!R9</f>
        <v>0</v>
      </c>
      <c r="T9" s="323">
        <f>+[15]cons!S9</f>
        <v>0</v>
      </c>
      <c r="U9" s="254">
        <f>+[15]cons!T9</f>
        <v>0</v>
      </c>
      <c r="V9" s="323">
        <f>+[15]cons!U9</f>
        <v>0</v>
      </c>
      <c r="W9" s="254">
        <f>+[15]cons!V9</f>
        <v>0</v>
      </c>
      <c r="X9" s="323">
        <f>+[15]cons!W9</f>
        <v>0</v>
      </c>
      <c r="Y9" s="254">
        <f>+[15]cons!X9</f>
        <v>0</v>
      </c>
      <c r="Z9" s="323">
        <f>+[15]cons!Y9</f>
        <v>0</v>
      </c>
      <c r="AA9" s="254">
        <f>+[15]cons!Z9</f>
        <v>0</v>
      </c>
      <c r="AB9" s="323">
        <f>+[15]cons!AA9</f>
        <v>0</v>
      </c>
      <c r="AC9" s="254">
        <f>+[15]cons!AB9</f>
        <v>0</v>
      </c>
      <c r="AD9" s="323">
        <f>+[15]cons!AC9</f>
        <v>0</v>
      </c>
    </row>
    <row r="10" spans="1:30" s="94" customFormat="1">
      <c r="A10" s="874" t="s">
        <v>1359</v>
      </c>
      <c r="B10" s="369">
        <f t="shared" si="0"/>
        <v>7</v>
      </c>
      <c r="C10" s="368">
        <f t="shared" si="2"/>
        <v>7</v>
      </c>
      <c r="D10" s="368">
        <f t="shared" si="2"/>
        <v>0</v>
      </c>
      <c r="E10" s="254">
        <f>+[15]cons!D10</f>
        <v>0</v>
      </c>
      <c r="F10" s="323">
        <f>+[15]cons!E10</f>
        <v>0</v>
      </c>
      <c r="G10" s="254">
        <f>+[15]cons!F10</f>
        <v>3</v>
      </c>
      <c r="H10" s="323">
        <f>+[15]cons!G10</f>
        <v>0</v>
      </c>
      <c r="I10" s="254">
        <f>+[15]cons!H10</f>
        <v>0</v>
      </c>
      <c r="J10" s="323">
        <f>+[15]cons!I10</f>
        <v>0</v>
      </c>
      <c r="K10" s="254">
        <f>+[15]cons!J10</f>
        <v>4</v>
      </c>
      <c r="L10" s="323">
        <f>+[15]cons!K10</f>
        <v>0</v>
      </c>
      <c r="M10" s="254">
        <f>+[15]cons!L10</f>
        <v>0</v>
      </c>
      <c r="N10" s="323">
        <f>+[15]cons!M10</f>
        <v>0</v>
      </c>
      <c r="O10" s="254">
        <f>+[15]cons!N10</f>
        <v>0</v>
      </c>
      <c r="P10" s="323">
        <f>+[15]cons!O10</f>
        <v>0</v>
      </c>
      <c r="Q10" s="254">
        <f>+[15]cons!P10</f>
        <v>0</v>
      </c>
      <c r="R10" s="323">
        <f>+[15]cons!Q10</f>
        <v>0</v>
      </c>
      <c r="S10" s="254">
        <f>+[15]cons!R10</f>
        <v>0</v>
      </c>
      <c r="T10" s="323">
        <f>+[15]cons!S10</f>
        <v>0</v>
      </c>
      <c r="U10" s="254">
        <f>+[15]cons!T10</f>
        <v>0</v>
      </c>
      <c r="V10" s="323">
        <f>+[15]cons!U10</f>
        <v>0</v>
      </c>
      <c r="W10" s="254">
        <f>+[15]cons!V10</f>
        <v>0</v>
      </c>
      <c r="X10" s="323">
        <f>+[15]cons!W10</f>
        <v>0</v>
      </c>
      <c r="Y10" s="254">
        <f>+[15]cons!X10</f>
        <v>0</v>
      </c>
      <c r="Z10" s="323">
        <f>+[15]cons!Y10</f>
        <v>0</v>
      </c>
      <c r="AA10" s="254">
        <f>+[15]cons!Z10</f>
        <v>0</v>
      </c>
      <c r="AB10" s="323">
        <f>+[15]cons!AA10</f>
        <v>0</v>
      </c>
      <c r="AC10" s="254">
        <f>+[15]cons!AB10</f>
        <v>0</v>
      </c>
      <c r="AD10" s="323">
        <f>+[15]cons!AC10</f>
        <v>0</v>
      </c>
    </row>
    <row r="11" spans="1:30" s="94" customFormat="1">
      <c r="A11" s="874" t="s">
        <v>1441</v>
      </c>
      <c r="B11" s="369">
        <f t="shared" si="0"/>
        <v>4</v>
      </c>
      <c r="C11" s="368">
        <f t="shared" si="2"/>
        <v>0</v>
      </c>
      <c r="D11" s="368">
        <f t="shared" si="2"/>
        <v>4</v>
      </c>
      <c r="E11" s="254">
        <f>+[15]cons!D11</f>
        <v>0</v>
      </c>
      <c r="F11" s="323">
        <f>+[15]cons!E11</f>
        <v>0</v>
      </c>
      <c r="G11" s="254">
        <f>+[15]cons!F11</f>
        <v>0</v>
      </c>
      <c r="H11" s="323">
        <f>+[15]cons!G11</f>
        <v>1</v>
      </c>
      <c r="I11" s="254">
        <f>+[15]cons!H11</f>
        <v>0</v>
      </c>
      <c r="J11" s="323">
        <f>+[15]cons!I11</f>
        <v>0</v>
      </c>
      <c r="K11" s="254">
        <f>+[15]cons!J11</f>
        <v>0</v>
      </c>
      <c r="L11" s="323">
        <f>+[15]cons!K11</f>
        <v>2</v>
      </c>
      <c r="M11" s="254">
        <f>+[15]cons!L11</f>
        <v>0</v>
      </c>
      <c r="N11" s="323">
        <f>+[15]cons!M11</f>
        <v>0</v>
      </c>
      <c r="O11" s="254">
        <f>+[15]cons!N11</f>
        <v>0</v>
      </c>
      <c r="P11" s="323">
        <f>+[15]cons!O11</f>
        <v>1</v>
      </c>
      <c r="Q11" s="254">
        <f>+[15]cons!P11</f>
        <v>0</v>
      </c>
      <c r="R11" s="323">
        <f>+[15]cons!Q11</f>
        <v>0</v>
      </c>
      <c r="S11" s="254">
        <f>+[15]cons!R11</f>
        <v>0</v>
      </c>
      <c r="T11" s="323">
        <f>+[15]cons!S11</f>
        <v>0</v>
      </c>
      <c r="U11" s="254">
        <f>+[15]cons!T11</f>
        <v>0</v>
      </c>
      <c r="V11" s="323">
        <f>+[15]cons!U11</f>
        <v>0</v>
      </c>
      <c r="W11" s="254">
        <f>+[15]cons!V11</f>
        <v>0</v>
      </c>
      <c r="X11" s="323">
        <f>+[15]cons!W11</f>
        <v>0</v>
      </c>
      <c r="Y11" s="254">
        <f>+[15]cons!X11</f>
        <v>0</v>
      </c>
      <c r="Z11" s="323">
        <f>+[15]cons!Y11</f>
        <v>0</v>
      </c>
      <c r="AA11" s="254">
        <f>+[15]cons!Z11</f>
        <v>0</v>
      </c>
      <c r="AB11" s="323">
        <f>+[15]cons!AA11</f>
        <v>0</v>
      </c>
      <c r="AC11" s="254">
        <f>+[15]cons!AB11</f>
        <v>0</v>
      </c>
      <c r="AD11" s="323">
        <f>+[15]cons!AC11</f>
        <v>0</v>
      </c>
    </row>
    <row r="12" spans="1:30" s="94" customFormat="1">
      <c r="A12" s="874" t="s">
        <v>1360</v>
      </c>
      <c r="B12" s="369">
        <f t="shared" si="0"/>
        <v>1</v>
      </c>
      <c r="C12" s="368">
        <f t="shared" si="2"/>
        <v>1</v>
      </c>
      <c r="D12" s="368">
        <f t="shared" si="2"/>
        <v>0</v>
      </c>
      <c r="E12" s="254">
        <f>+[15]cons!D12</f>
        <v>0</v>
      </c>
      <c r="F12" s="323">
        <f>+[15]cons!E12</f>
        <v>0</v>
      </c>
      <c r="G12" s="254">
        <f>+[15]cons!F12</f>
        <v>0</v>
      </c>
      <c r="H12" s="323">
        <f>+[15]cons!G12</f>
        <v>0</v>
      </c>
      <c r="I12" s="254">
        <f>+[15]cons!H12</f>
        <v>0</v>
      </c>
      <c r="J12" s="323">
        <f>+[15]cons!I12</f>
        <v>0</v>
      </c>
      <c r="K12" s="254">
        <f>+[15]cons!J12</f>
        <v>1</v>
      </c>
      <c r="L12" s="323">
        <f>+[15]cons!K12</f>
        <v>0</v>
      </c>
      <c r="M12" s="254">
        <f>+[15]cons!L12</f>
        <v>0</v>
      </c>
      <c r="N12" s="323">
        <f>+[15]cons!M12</f>
        <v>0</v>
      </c>
      <c r="O12" s="254">
        <f>+[15]cons!N12</f>
        <v>0</v>
      </c>
      <c r="P12" s="323">
        <f>+[15]cons!O12</f>
        <v>0</v>
      </c>
      <c r="Q12" s="254">
        <f>+[15]cons!P12</f>
        <v>0</v>
      </c>
      <c r="R12" s="323">
        <f>+[15]cons!Q12</f>
        <v>0</v>
      </c>
      <c r="S12" s="254">
        <f>+[15]cons!R12</f>
        <v>0</v>
      </c>
      <c r="T12" s="323">
        <f>+[15]cons!S12</f>
        <v>0</v>
      </c>
      <c r="U12" s="254">
        <f>+[15]cons!T12</f>
        <v>0</v>
      </c>
      <c r="V12" s="323">
        <f>+[15]cons!U12</f>
        <v>0</v>
      </c>
      <c r="W12" s="254">
        <f>+[15]cons!V12</f>
        <v>0</v>
      </c>
      <c r="X12" s="323">
        <f>+[15]cons!W12</f>
        <v>0</v>
      </c>
      <c r="Y12" s="254">
        <f>+[15]cons!X12</f>
        <v>0</v>
      </c>
      <c r="Z12" s="323">
        <f>+[15]cons!Y12</f>
        <v>0</v>
      </c>
      <c r="AA12" s="254">
        <f>+[15]cons!Z12</f>
        <v>0</v>
      </c>
      <c r="AB12" s="323">
        <f>+[15]cons!AA12</f>
        <v>0</v>
      </c>
      <c r="AC12" s="254">
        <f>+[15]cons!AB12</f>
        <v>0</v>
      </c>
      <c r="AD12" s="323">
        <f>+[15]cons!AC12</f>
        <v>0</v>
      </c>
    </row>
    <row r="13" spans="1:30" s="94" customFormat="1">
      <c r="A13" s="874" t="s">
        <v>1361</v>
      </c>
      <c r="B13" s="369">
        <f t="shared" si="0"/>
        <v>3</v>
      </c>
      <c r="C13" s="368">
        <f t="shared" si="2"/>
        <v>0</v>
      </c>
      <c r="D13" s="368">
        <f t="shared" si="2"/>
        <v>3</v>
      </c>
      <c r="E13" s="254">
        <f>+[15]cons!D13</f>
        <v>0</v>
      </c>
      <c r="F13" s="323">
        <f>+[15]cons!E13</f>
        <v>0</v>
      </c>
      <c r="G13" s="254">
        <f>+[15]cons!F13</f>
        <v>0</v>
      </c>
      <c r="H13" s="323">
        <f>+[15]cons!G13</f>
        <v>0</v>
      </c>
      <c r="I13" s="254">
        <f>+[15]cons!H13</f>
        <v>0</v>
      </c>
      <c r="J13" s="323">
        <f>+[15]cons!I13</f>
        <v>0</v>
      </c>
      <c r="K13" s="254">
        <f>+[15]cons!J13</f>
        <v>0</v>
      </c>
      <c r="L13" s="323">
        <f>+[15]cons!K13</f>
        <v>0</v>
      </c>
      <c r="M13" s="254">
        <f>+[15]cons!L13</f>
        <v>0</v>
      </c>
      <c r="N13" s="323">
        <f>+[15]cons!M13</f>
        <v>3</v>
      </c>
      <c r="O13" s="254">
        <f>+[15]cons!N13</f>
        <v>0</v>
      </c>
      <c r="P13" s="323">
        <f>+[15]cons!O13</f>
        <v>0</v>
      </c>
      <c r="Q13" s="254">
        <f>+[15]cons!P13</f>
        <v>0</v>
      </c>
      <c r="R13" s="323">
        <f>+[15]cons!Q13</f>
        <v>0</v>
      </c>
      <c r="S13" s="254">
        <f>+[15]cons!R13</f>
        <v>0</v>
      </c>
      <c r="T13" s="323">
        <f>+[15]cons!S13</f>
        <v>0</v>
      </c>
      <c r="U13" s="254">
        <f>+[15]cons!T13</f>
        <v>0</v>
      </c>
      <c r="V13" s="323">
        <f>+[15]cons!U13</f>
        <v>0</v>
      </c>
      <c r="W13" s="254">
        <f>+[15]cons!V13</f>
        <v>0</v>
      </c>
      <c r="X13" s="323">
        <f>+[15]cons!W13</f>
        <v>0</v>
      </c>
      <c r="Y13" s="254">
        <f>+[15]cons!X13</f>
        <v>0</v>
      </c>
      <c r="Z13" s="323">
        <f>+[15]cons!Y13</f>
        <v>0</v>
      </c>
      <c r="AA13" s="254">
        <f>+[15]cons!Z13</f>
        <v>0</v>
      </c>
      <c r="AB13" s="323">
        <f>+[15]cons!AA13</f>
        <v>0</v>
      </c>
      <c r="AC13" s="254">
        <f>+[15]cons!AB13</f>
        <v>0</v>
      </c>
      <c r="AD13" s="323">
        <f>+[15]cons!AC13</f>
        <v>0</v>
      </c>
    </row>
    <row r="14" spans="1:30" s="94" customFormat="1">
      <c r="A14" s="874" t="s">
        <v>1362</v>
      </c>
      <c r="B14" s="369">
        <f t="shared" ref="B14:B59" si="3">SUM(C14:D14)</f>
        <v>1</v>
      </c>
      <c r="C14" s="368">
        <f t="shared" ref="C14:C36" si="4">+E14+G14+I14+K14+M14+O14+Q14+S14+U14+W14+Y14+AA14+AC14</f>
        <v>1</v>
      </c>
      <c r="D14" s="368">
        <f t="shared" ref="D14:D36" si="5">+F14+H14+J14+L14+N14+P14+R14+T14+V14+X14+Z14+AB14+AD14</f>
        <v>0</v>
      </c>
      <c r="E14" s="254">
        <f>+[15]cons!D14</f>
        <v>0</v>
      </c>
      <c r="F14" s="323">
        <f>+[15]cons!E14</f>
        <v>0</v>
      </c>
      <c r="G14" s="254">
        <f>+[15]cons!F14</f>
        <v>0</v>
      </c>
      <c r="H14" s="323">
        <f>+[15]cons!G14</f>
        <v>0</v>
      </c>
      <c r="I14" s="254">
        <f>+[15]cons!H14</f>
        <v>0</v>
      </c>
      <c r="J14" s="323">
        <f>+[15]cons!I14</f>
        <v>0</v>
      </c>
      <c r="K14" s="254">
        <f>+[15]cons!J14</f>
        <v>1</v>
      </c>
      <c r="L14" s="323">
        <f>+[15]cons!K14</f>
        <v>0</v>
      </c>
      <c r="M14" s="254">
        <f>+[15]cons!L14</f>
        <v>0</v>
      </c>
      <c r="N14" s="323">
        <f>+[15]cons!M14</f>
        <v>0</v>
      </c>
      <c r="O14" s="254">
        <f>+[15]cons!N14</f>
        <v>0</v>
      </c>
      <c r="P14" s="323">
        <f>+[15]cons!O14</f>
        <v>0</v>
      </c>
      <c r="Q14" s="254">
        <f>+[15]cons!P14</f>
        <v>0</v>
      </c>
      <c r="R14" s="323">
        <f>+[15]cons!Q14</f>
        <v>0</v>
      </c>
      <c r="S14" s="254">
        <f>+[15]cons!R14</f>
        <v>0</v>
      </c>
      <c r="T14" s="323">
        <f>+[15]cons!S14</f>
        <v>0</v>
      </c>
      <c r="U14" s="254">
        <f>+[15]cons!T14</f>
        <v>0</v>
      </c>
      <c r="V14" s="323">
        <f>+[15]cons!U14</f>
        <v>0</v>
      </c>
      <c r="W14" s="254">
        <f>+[15]cons!V14</f>
        <v>0</v>
      </c>
      <c r="X14" s="323">
        <f>+[15]cons!W14</f>
        <v>0</v>
      </c>
      <c r="Y14" s="254">
        <f>+[15]cons!X14</f>
        <v>0</v>
      </c>
      <c r="Z14" s="323">
        <f>+[15]cons!Y14</f>
        <v>0</v>
      </c>
      <c r="AA14" s="254">
        <f>+[15]cons!Z14</f>
        <v>0</v>
      </c>
      <c r="AB14" s="323">
        <f>+[15]cons!AA14</f>
        <v>0</v>
      </c>
      <c r="AC14" s="254">
        <f>+[15]cons!AB14</f>
        <v>0</v>
      </c>
      <c r="AD14" s="323">
        <f>+[15]cons!AC14</f>
        <v>0</v>
      </c>
    </row>
    <row r="15" spans="1:30" s="94" customFormat="1">
      <c r="A15" s="874" t="s">
        <v>1363</v>
      </c>
      <c r="B15" s="369">
        <f t="shared" si="3"/>
        <v>0</v>
      </c>
      <c r="C15" s="368">
        <f t="shared" si="4"/>
        <v>0</v>
      </c>
      <c r="D15" s="368">
        <f t="shared" si="5"/>
        <v>0</v>
      </c>
      <c r="E15" s="254">
        <f>+[15]cons!D15</f>
        <v>0</v>
      </c>
      <c r="F15" s="323">
        <f>+[15]cons!E15</f>
        <v>0</v>
      </c>
      <c r="G15" s="254">
        <f>+[15]cons!F15</f>
        <v>0</v>
      </c>
      <c r="H15" s="323">
        <f>+[15]cons!G15</f>
        <v>0</v>
      </c>
      <c r="I15" s="254">
        <f>+[15]cons!H15</f>
        <v>0</v>
      </c>
      <c r="J15" s="323">
        <f>+[15]cons!I15</f>
        <v>0</v>
      </c>
      <c r="K15" s="254">
        <f>+[15]cons!J15</f>
        <v>0</v>
      </c>
      <c r="L15" s="323">
        <f>+[15]cons!K15</f>
        <v>0</v>
      </c>
      <c r="M15" s="254">
        <f>+[15]cons!L15</f>
        <v>0</v>
      </c>
      <c r="N15" s="323">
        <f>+[15]cons!M15</f>
        <v>0</v>
      </c>
      <c r="O15" s="254">
        <f>+[15]cons!N15</f>
        <v>0</v>
      </c>
      <c r="P15" s="323">
        <f>+[15]cons!O15</f>
        <v>0</v>
      </c>
      <c r="Q15" s="254">
        <f>+[15]cons!P15</f>
        <v>0</v>
      </c>
      <c r="R15" s="323">
        <f>+[15]cons!Q15</f>
        <v>0</v>
      </c>
      <c r="S15" s="254">
        <f>+[15]cons!R15</f>
        <v>0</v>
      </c>
      <c r="T15" s="323">
        <f>+[15]cons!S15</f>
        <v>0</v>
      </c>
      <c r="U15" s="254">
        <f>+[15]cons!T15</f>
        <v>0</v>
      </c>
      <c r="V15" s="323">
        <f>+[15]cons!U15</f>
        <v>0</v>
      </c>
      <c r="W15" s="254">
        <f>+[15]cons!V15</f>
        <v>0</v>
      </c>
      <c r="X15" s="323">
        <f>+[15]cons!W15</f>
        <v>0</v>
      </c>
      <c r="Y15" s="254">
        <f>+[15]cons!X15</f>
        <v>0</v>
      </c>
      <c r="Z15" s="323">
        <f>+[15]cons!Y15</f>
        <v>0</v>
      </c>
      <c r="AA15" s="254">
        <f>+[15]cons!Z15</f>
        <v>0</v>
      </c>
      <c r="AB15" s="323">
        <f>+[15]cons!AA15</f>
        <v>0</v>
      </c>
      <c r="AC15" s="254">
        <f>+[15]cons!AB15</f>
        <v>0</v>
      </c>
      <c r="AD15" s="323">
        <f>+[15]cons!AC15</f>
        <v>0</v>
      </c>
    </row>
    <row r="16" spans="1:30" s="94" customFormat="1">
      <c r="A16" s="874" t="s">
        <v>1364</v>
      </c>
      <c r="B16" s="369">
        <f t="shared" si="3"/>
        <v>0</v>
      </c>
      <c r="C16" s="368">
        <f t="shared" si="4"/>
        <v>0</v>
      </c>
      <c r="D16" s="368">
        <f t="shared" si="5"/>
        <v>0</v>
      </c>
      <c r="E16" s="254">
        <f>+[15]cons!D16</f>
        <v>0</v>
      </c>
      <c r="F16" s="323">
        <f>+[15]cons!E16</f>
        <v>0</v>
      </c>
      <c r="G16" s="254">
        <f>+[15]cons!F16</f>
        <v>0</v>
      </c>
      <c r="H16" s="323">
        <f>+[15]cons!G16</f>
        <v>0</v>
      </c>
      <c r="I16" s="254">
        <f>+[15]cons!H16</f>
        <v>0</v>
      </c>
      <c r="J16" s="323">
        <f>+[15]cons!I16</f>
        <v>0</v>
      </c>
      <c r="K16" s="254">
        <f>+[15]cons!J16</f>
        <v>0</v>
      </c>
      <c r="L16" s="323">
        <f>+[15]cons!K16</f>
        <v>0</v>
      </c>
      <c r="M16" s="254">
        <f>+[15]cons!L16</f>
        <v>0</v>
      </c>
      <c r="N16" s="323">
        <f>+[15]cons!M16</f>
        <v>0</v>
      </c>
      <c r="O16" s="254">
        <f>+[15]cons!N16</f>
        <v>0</v>
      </c>
      <c r="P16" s="323">
        <f>+[15]cons!O16</f>
        <v>0</v>
      </c>
      <c r="Q16" s="254">
        <f>+[15]cons!P16</f>
        <v>0</v>
      </c>
      <c r="R16" s="323">
        <f>+[15]cons!Q16</f>
        <v>0</v>
      </c>
      <c r="S16" s="254">
        <f>+[15]cons!R16</f>
        <v>0</v>
      </c>
      <c r="T16" s="323">
        <f>+[15]cons!S16</f>
        <v>0</v>
      </c>
      <c r="U16" s="254">
        <f>+[15]cons!T16</f>
        <v>0</v>
      </c>
      <c r="V16" s="323">
        <f>+[15]cons!U16</f>
        <v>0</v>
      </c>
      <c r="W16" s="254">
        <f>+[15]cons!V16</f>
        <v>0</v>
      </c>
      <c r="X16" s="323">
        <f>+[15]cons!W16</f>
        <v>0</v>
      </c>
      <c r="Y16" s="254">
        <f>+[15]cons!X16</f>
        <v>0</v>
      </c>
      <c r="Z16" s="323">
        <f>+[15]cons!Y16</f>
        <v>0</v>
      </c>
      <c r="AA16" s="254">
        <f>+[15]cons!Z16</f>
        <v>0</v>
      </c>
      <c r="AB16" s="323">
        <f>+[15]cons!AA16</f>
        <v>0</v>
      </c>
      <c r="AC16" s="254">
        <f>+[15]cons!AB16</f>
        <v>0</v>
      </c>
      <c r="AD16" s="323">
        <f>+[15]cons!AC16</f>
        <v>0</v>
      </c>
    </row>
    <row r="17" spans="1:30" s="94" customFormat="1">
      <c r="A17" s="874" t="s">
        <v>1365</v>
      </c>
      <c r="B17" s="369">
        <f t="shared" si="3"/>
        <v>0</v>
      </c>
      <c r="C17" s="368">
        <f t="shared" si="4"/>
        <v>0</v>
      </c>
      <c r="D17" s="368">
        <f t="shared" si="5"/>
        <v>0</v>
      </c>
      <c r="E17" s="254">
        <f>+[15]cons!D17</f>
        <v>0</v>
      </c>
      <c r="F17" s="323">
        <f>+[15]cons!E17</f>
        <v>0</v>
      </c>
      <c r="G17" s="254">
        <f>+[15]cons!F17</f>
        <v>0</v>
      </c>
      <c r="H17" s="323">
        <f>+[15]cons!G17</f>
        <v>0</v>
      </c>
      <c r="I17" s="254">
        <f>+[15]cons!H17</f>
        <v>0</v>
      </c>
      <c r="J17" s="323">
        <f>+[15]cons!I17</f>
        <v>0</v>
      </c>
      <c r="K17" s="254">
        <f>+[15]cons!J17</f>
        <v>0</v>
      </c>
      <c r="L17" s="323">
        <f>+[15]cons!K17</f>
        <v>0</v>
      </c>
      <c r="M17" s="254">
        <f>+[15]cons!L17</f>
        <v>0</v>
      </c>
      <c r="N17" s="323">
        <f>+[15]cons!M17</f>
        <v>0</v>
      </c>
      <c r="O17" s="254">
        <f>+[15]cons!N17</f>
        <v>0</v>
      </c>
      <c r="P17" s="323">
        <f>+[15]cons!O17</f>
        <v>0</v>
      </c>
      <c r="Q17" s="254">
        <f>+[15]cons!P17</f>
        <v>0</v>
      </c>
      <c r="R17" s="323">
        <f>+[15]cons!Q17</f>
        <v>0</v>
      </c>
      <c r="S17" s="254">
        <f>+[15]cons!R17</f>
        <v>0</v>
      </c>
      <c r="T17" s="323">
        <f>+[15]cons!S17</f>
        <v>0</v>
      </c>
      <c r="U17" s="254">
        <f>+[15]cons!T17</f>
        <v>0</v>
      </c>
      <c r="V17" s="323">
        <f>+[15]cons!U17</f>
        <v>0</v>
      </c>
      <c r="W17" s="254">
        <f>+[15]cons!V17</f>
        <v>0</v>
      </c>
      <c r="X17" s="323">
        <f>+[15]cons!W17</f>
        <v>0</v>
      </c>
      <c r="Y17" s="254">
        <f>+[15]cons!X17</f>
        <v>0</v>
      </c>
      <c r="Z17" s="323">
        <f>+[15]cons!Y17</f>
        <v>0</v>
      </c>
      <c r="AA17" s="254">
        <f>+[15]cons!Z17</f>
        <v>0</v>
      </c>
      <c r="AB17" s="323">
        <f>+[15]cons!AA17</f>
        <v>0</v>
      </c>
      <c r="AC17" s="254">
        <f>+[15]cons!AB17</f>
        <v>0</v>
      </c>
      <c r="AD17" s="323">
        <f>+[15]cons!AC17</f>
        <v>0</v>
      </c>
    </row>
    <row r="18" spans="1:30" s="94" customFormat="1">
      <c r="A18" s="874" t="s">
        <v>1442</v>
      </c>
      <c r="B18" s="369">
        <f t="shared" si="3"/>
        <v>0</v>
      </c>
      <c r="C18" s="368">
        <f t="shared" si="4"/>
        <v>0</v>
      </c>
      <c r="D18" s="368">
        <f t="shared" si="5"/>
        <v>0</v>
      </c>
      <c r="E18" s="254">
        <f>+[15]cons!D18</f>
        <v>0</v>
      </c>
      <c r="F18" s="323">
        <f>+[15]cons!E18</f>
        <v>0</v>
      </c>
      <c r="G18" s="254">
        <f>+[15]cons!F18</f>
        <v>0</v>
      </c>
      <c r="H18" s="323">
        <f>+[15]cons!G18</f>
        <v>0</v>
      </c>
      <c r="I18" s="254">
        <f>+[15]cons!H18</f>
        <v>0</v>
      </c>
      <c r="J18" s="323">
        <f>+[15]cons!I18</f>
        <v>0</v>
      </c>
      <c r="K18" s="254">
        <f>+[15]cons!J18</f>
        <v>0</v>
      </c>
      <c r="L18" s="323">
        <f>+[15]cons!K18</f>
        <v>0</v>
      </c>
      <c r="M18" s="254">
        <f>+[15]cons!L18</f>
        <v>0</v>
      </c>
      <c r="N18" s="323">
        <f>+[15]cons!M18</f>
        <v>0</v>
      </c>
      <c r="O18" s="254">
        <f>+[15]cons!N18</f>
        <v>0</v>
      </c>
      <c r="P18" s="323">
        <f>+[15]cons!O18</f>
        <v>0</v>
      </c>
      <c r="Q18" s="254">
        <f>+[15]cons!P18</f>
        <v>0</v>
      </c>
      <c r="R18" s="323">
        <f>+[15]cons!Q18</f>
        <v>0</v>
      </c>
      <c r="S18" s="254">
        <f>+[15]cons!R18</f>
        <v>0</v>
      </c>
      <c r="T18" s="323">
        <f>+[15]cons!S18</f>
        <v>0</v>
      </c>
      <c r="U18" s="254">
        <f>+[15]cons!T18</f>
        <v>0</v>
      </c>
      <c r="V18" s="323">
        <f>+[15]cons!U18</f>
        <v>0</v>
      </c>
      <c r="W18" s="254">
        <f>+[15]cons!V18</f>
        <v>0</v>
      </c>
      <c r="X18" s="323">
        <f>+[15]cons!W18</f>
        <v>0</v>
      </c>
      <c r="Y18" s="254">
        <f>+[15]cons!X18</f>
        <v>0</v>
      </c>
      <c r="Z18" s="323">
        <f>+[15]cons!Y18</f>
        <v>0</v>
      </c>
      <c r="AA18" s="254">
        <f>+[15]cons!Z18</f>
        <v>0</v>
      </c>
      <c r="AB18" s="323">
        <f>+[15]cons!AA18</f>
        <v>0</v>
      </c>
      <c r="AC18" s="254">
        <f>+[15]cons!AB18</f>
        <v>0</v>
      </c>
      <c r="AD18" s="323">
        <f>+[15]cons!AC18</f>
        <v>0</v>
      </c>
    </row>
    <row r="19" spans="1:30" s="94" customFormat="1">
      <c r="A19" s="874" t="s">
        <v>1366</v>
      </c>
      <c r="B19" s="369">
        <f t="shared" si="3"/>
        <v>0</v>
      </c>
      <c r="C19" s="368">
        <f t="shared" si="4"/>
        <v>0</v>
      </c>
      <c r="D19" s="368">
        <f t="shared" si="5"/>
        <v>0</v>
      </c>
      <c r="E19" s="254">
        <f>+[15]cons!D19</f>
        <v>0</v>
      </c>
      <c r="F19" s="323">
        <f>+[15]cons!E19</f>
        <v>0</v>
      </c>
      <c r="G19" s="254">
        <f>+[15]cons!F19</f>
        <v>0</v>
      </c>
      <c r="H19" s="323">
        <f>+[15]cons!G19</f>
        <v>0</v>
      </c>
      <c r="I19" s="254">
        <f>+[15]cons!H19</f>
        <v>0</v>
      </c>
      <c r="J19" s="323">
        <f>+[15]cons!I19</f>
        <v>0</v>
      </c>
      <c r="K19" s="254">
        <f>+[15]cons!J19</f>
        <v>0</v>
      </c>
      <c r="L19" s="323">
        <f>+[15]cons!K19</f>
        <v>0</v>
      </c>
      <c r="M19" s="254">
        <f>+[15]cons!L19</f>
        <v>0</v>
      </c>
      <c r="N19" s="323">
        <f>+[15]cons!M19</f>
        <v>0</v>
      </c>
      <c r="O19" s="254">
        <f>+[15]cons!N19</f>
        <v>0</v>
      </c>
      <c r="P19" s="323">
        <f>+[15]cons!O19</f>
        <v>0</v>
      </c>
      <c r="Q19" s="254">
        <f>+[15]cons!P19</f>
        <v>0</v>
      </c>
      <c r="R19" s="323">
        <f>+[15]cons!Q19</f>
        <v>0</v>
      </c>
      <c r="S19" s="254">
        <f>+[15]cons!R19</f>
        <v>0</v>
      </c>
      <c r="T19" s="323">
        <f>+[15]cons!S19</f>
        <v>0</v>
      </c>
      <c r="U19" s="254">
        <f>+[15]cons!T19</f>
        <v>0</v>
      </c>
      <c r="V19" s="323">
        <f>+[15]cons!U19</f>
        <v>0</v>
      </c>
      <c r="W19" s="254">
        <f>+[15]cons!V19</f>
        <v>0</v>
      </c>
      <c r="X19" s="323">
        <f>+[15]cons!W19</f>
        <v>0</v>
      </c>
      <c r="Y19" s="254">
        <f>+[15]cons!X19</f>
        <v>0</v>
      </c>
      <c r="Z19" s="323">
        <f>+[15]cons!Y19</f>
        <v>0</v>
      </c>
      <c r="AA19" s="254">
        <f>+[15]cons!Z19</f>
        <v>0</v>
      </c>
      <c r="AB19" s="323">
        <f>+[15]cons!AA19</f>
        <v>0</v>
      </c>
      <c r="AC19" s="254">
        <f>+[15]cons!AB19</f>
        <v>0</v>
      </c>
      <c r="AD19" s="323">
        <f>+[15]cons!AC19</f>
        <v>0</v>
      </c>
    </row>
    <row r="20" spans="1:30" s="94" customFormat="1">
      <c r="A20" s="874" t="s">
        <v>1367</v>
      </c>
      <c r="B20" s="369">
        <f t="shared" si="3"/>
        <v>18</v>
      </c>
      <c r="C20" s="368">
        <f t="shared" si="4"/>
        <v>0</v>
      </c>
      <c r="D20" s="368">
        <f t="shared" si="5"/>
        <v>18</v>
      </c>
      <c r="E20" s="254">
        <f>+[15]cons!D20</f>
        <v>0</v>
      </c>
      <c r="F20" s="323">
        <f>+[15]cons!E20</f>
        <v>0</v>
      </c>
      <c r="G20" s="254">
        <f>+[15]cons!F20</f>
        <v>0</v>
      </c>
      <c r="H20" s="323">
        <f>+[15]cons!G20</f>
        <v>1</v>
      </c>
      <c r="I20" s="254">
        <f>+[15]cons!H20</f>
        <v>0</v>
      </c>
      <c r="J20" s="323">
        <f>+[15]cons!I20</f>
        <v>0</v>
      </c>
      <c r="K20" s="254">
        <f>+[15]cons!J20</f>
        <v>0</v>
      </c>
      <c r="L20" s="323">
        <f>+[15]cons!K20</f>
        <v>1</v>
      </c>
      <c r="M20" s="254">
        <f>+[15]cons!L20</f>
        <v>0</v>
      </c>
      <c r="N20" s="323">
        <f>+[15]cons!M20</f>
        <v>0</v>
      </c>
      <c r="O20" s="254">
        <f>+[15]cons!N20</f>
        <v>0</v>
      </c>
      <c r="P20" s="323">
        <f>+[15]cons!O20</f>
        <v>0</v>
      </c>
      <c r="Q20" s="254">
        <f>+[15]cons!P20</f>
        <v>0</v>
      </c>
      <c r="R20" s="323">
        <f>+[15]cons!Q20</f>
        <v>5</v>
      </c>
      <c r="S20" s="254">
        <f>+[15]cons!R20</f>
        <v>0</v>
      </c>
      <c r="T20" s="323">
        <f>+[15]cons!S20</f>
        <v>0</v>
      </c>
      <c r="U20" s="254">
        <f>+[15]cons!T20</f>
        <v>0</v>
      </c>
      <c r="V20" s="323">
        <f>+[15]cons!U20</f>
        <v>0</v>
      </c>
      <c r="W20" s="254">
        <f>+[15]cons!V20</f>
        <v>0</v>
      </c>
      <c r="X20" s="323">
        <f>+[15]cons!W20</f>
        <v>0</v>
      </c>
      <c r="Y20" s="254">
        <f>+[15]cons!X20</f>
        <v>0</v>
      </c>
      <c r="Z20" s="323">
        <f>+[15]cons!Y20</f>
        <v>0</v>
      </c>
      <c r="AA20" s="254">
        <f>+[15]cons!Z20</f>
        <v>0</v>
      </c>
      <c r="AB20" s="323">
        <f>+[15]cons!AA20</f>
        <v>11</v>
      </c>
      <c r="AC20" s="254">
        <f>+[15]cons!AB20</f>
        <v>0</v>
      </c>
      <c r="AD20" s="323">
        <f>+[15]cons!AC20</f>
        <v>0</v>
      </c>
    </row>
    <row r="21" spans="1:30" s="94" customFormat="1">
      <c r="A21" s="874" t="s">
        <v>1368</v>
      </c>
      <c r="B21" s="369">
        <f t="shared" si="3"/>
        <v>0</v>
      </c>
      <c r="C21" s="368">
        <f t="shared" si="4"/>
        <v>0</v>
      </c>
      <c r="D21" s="368">
        <f t="shared" si="5"/>
        <v>0</v>
      </c>
      <c r="E21" s="254">
        <f>+[15]cons!D21</f>
        <v>0</v>
      </c>
      <c r="F21" s="323">
        <f>+[15]cons!E21</f>
        <v>0</v>
      </c>
      <c r="G21" s="254">
        <f>+[15]cons!F21</f>
        <v>0</v>
      </c>
      <c r="H21" s="323">
        <f>+[15]cons!G21</f>
        <v>0</v>
      </c>
      <c r="I21" s="254">
        <f>+[15]cons!H21</f>
        <v>0</v>
      </c>
      <c r="J21" s="323">
        <f>+[15]cons!I21</f>
        <v>0</v>
      </c>
      <c r="K21" s="254">
        <f>+[15]cons!J21</f>
        <v>0</v>
      </c>
      <c r="L21" s="323">
        <f>+[15]cons!K21</f>
        <v>0</v>
      </c>
      <c r="M21" s="254">
        <f>+[15]cons!L21</f>
        <v>0</v>
      </c>
      <c r="N21" s="323">
        <f>+[15]cons!M21</f>
        <v>0</v>
      </c>
      <c r="O21" s="254">
        <f>+[15]cons!N21</f>
        <v>0</v>
      </c>
      <c r="P21" s="323">
        <f>+[15]cons!O21</f>
        <v>0</v>
      </c>
      <c r="Q21" s="254">
        <f>+[15]cons!P21</f>
        <v>0</v>
      </c>
      <c r="R21" s="323">
        <f>+[15]cons!Q21</f>
        <v>0</v>
      </c>
      <c r="S21" s="254">
        <f>+[15]cons!R21</f>
        <v>0</v>
      </c>
      <c r="T21" s="323">
        <f>+[15]cons!S21</f>
        <v>0</v>
      </c>
      <c r="U21" s="254">
        <f>+[15]cons!T21</f>
        <v>0</v>
      </c>
      <c r="V21" s="323">
        <f>+[15]cons!U21</f>
        <v>0</v>
      </c>
      <c r="W21" s="254">
        <f>+[15]cons!V21</f>
        <v>0</v>
      </c>
      <c r="X21" s="323">
        <f>+[15]cons!W21</f>
        <v>0</v>
      </c>
      <c r="Y21" s="254">
        <f>+[15]cons!X21</f>
        <v>0</v>
      </c>
      <c r="Z21" s="323">
        <f>+[15]cons!Y21</f>
        <v>0</v>
      </c>
      <c r="AA21" s="254">
        <f>+[15]cons!Z21</f>
        <v>0</v>
      </c>
      <c r="AB21" s="323">
        <f>+[15]cons!AA21</f>
        <v>0</v>
      </c>
      <c r="AC21" s="254">
        <f>+[15]cons!AB21</f>
        <v>0</v>
      </c>
      <c r="AD21" s="323">
        <f>+[15]cons!AC21</f>
        <v>0</v>
      </c>
    </row>
    <row r="22" spans="1:30" s="94" customFormat="1">
      <c r="A22" s="874" t="s">
        <v>1443</v>
      </c>
      <c r="B22" s="369">
        <f t="shared" si="3"/>
        <v>0</v>
      </c>
      <c r="C22" s="368">
        <f t="shared" si="4"/>
        <v>0</v>
      </c>
      <c r="D22" s="368">
        <f t="shared" si="5"/>
        <v>0</v>
      </c>
      <c r="E22" s="254">
        <f>+[15]cons!D22</f>
        <v>0</v>
      </c>
      <c r="F22" s="323">
        <f>+[15]cons!E22</f>
        <v>0</v>
      </c>
      <c r="G22" s="254">
        <f>+[15]cons!F22</f>
        <v>0</v>
      </c>
      <c r="H22" s="323">
        <f>+[15]cons!G22</f>
        <v>0</v>
      </c>
      <c r="I22" s="254">
        <f>+[15]cons!H22</f>
        <v>0</v>
      </c>
      <c r="J22" s="323">
        <f>+[15]cons!I22</f>
        <v>0</v>
      </c>
      <c r="K22" s="254">
        <f>+[15]cons!J22</f>
        <v>0</v>
      </c>
      <c r="L22" s="323">
        <f>+[15]cons!K22</f>
        <v>0</v>
      </c>
      <c r="M22" s="254">
        <f>+[15]cons!L22</f>
        <v>0</v>
      </c>
      <c r="N22" s="323">
        <f>+[15]cons!M22</f>
        <v>0</v>
      </c>
      <c r="O22" s="254">
        <f>+[15]cons!N22</f>
        <v>0</v>
      </c>
      <c r="P22" s="323">
        <f>+[15]cons!O22</f>
        <v>0</v>
      </c>
      <c r="Q22" s="254">
        <f>+[15]cons!P22</f>
        <v>0</v>
      </c>
      <c r="R22" s="323">
        <f>+[15]cons!Q22</f>
        <v>0</v>
      </c>
      <c r="S22" s="254">
        <f>+[15]cons!R22</f>
        <v>0</v>
      </c>
      <c r="T22" s="323">
        <f>+[15]cons!S22</f>
        <v>0</v>
      </c>
      <c r="U22" s="254">
        <f>+[15]cons!T22</f>
        <v>0</v>
      </c>
      <c r="V22" s="323">
        <f>+[15]cons!U22</f>
        <v>0</v>
      </c>
      <c r="W22" s="254">
        <f>+[15]cons!V22</f>
        <v>0</v>
      </c>
      <c r="X22" s="323">
        <f>+[15]cons!W22</f>
        <v>0</v>
      </c>
      <c r="Y22" s="254">
        <f>+[15]cons!X22</f>
        <v>0</v>
      </c>
      <c r="Z22" s="323">
        <f>+[15]cons!Y22</f>
        <v>0</v>
      </c>
      <c r="AA22" s="254">
        <f>+[15]cons!Z22</f>
        <v>0</v>
      </c>
      <c r="AB22" s="323">
        <f>+[15]cons!AA22</f>
        <v>0</v>
      </c>
      <c r="AC22" s="254">
        <f>+[15]cons!AB22</f>
        <v>0</v>
      </c>
      <c r="AD22" s="323">
        <f>+[15]cons!AC22</f>
        <v>0</v>
      </c>
    </row>
    <row r="23" spans="1:30" s="94" customFormat="1">
      <c r="A23" s="874" t="s">
        <v>1369</v>
      </c>
      <c r="B23" s="369">
        <f t="shared" si="3"/>
        <v>0</v>
      </c>
      <c r="C23" s="368">
        <f t="shared" si="4"/>
        <v>0</v>
      </c>
      <c r="D23" s="368">
        <f t="shared" si="5"/>
        <v>0</v>
      </c>
      <c r="E23" s="254">
        <f>+[15]cons!D23</f>
        <v>0</v>
      </c>
      <c r="F23" s="323">
        <f>+[15]cons!E23</f>
        <v>0</v>
      </c>
      <c r="G23" s="254">
        <f>+[15]cons!F23</f>
        <v>0</v>
      </c>
      <c r="H23" s="323">
        <f>+[15]cons!G23</f>
        <v>0</v>
      </c>
      <c r="I23" s="254">
        <f>+[15]cons!H23</f>
        <v>0</v>
      </c>
      <c r="J23" s="323">
        <f>+[15]cons!I23</f>
        <v>0</v>
      </c>
      <c r="K23" s="254">
        <f>+[15]cons!J23</f>
        <v>0</v>
      </c>
      <c r="L23" s="323">
        <f>+[15]cons!K23</f>
        <v>0</v>
      </c>
      <c r="M23" s="254">
        <f>+[15]cons!L23</f>
        <v>0</v>
      </c>
      <c r="N23" s="323">
        <f>+[15]cons!M23</f>
        <v>0</v>
      </c>
      <c r="O23" s="254">
        <f>+[15]cons!N23</f>
        <v>0</v>
      </c>
      <c r="P23" s="323">
        <f>+[15]cons!O23</f>
        <v>0</v>
      </c>
      <c r="Q23" s="254">
        <f>+[15]cons!P23</f>
        <v>0</v>
      </c>
      <c r="R23" s="323">
        <f>+[15]cons!Q23</f>
        <v>0</v>
      </c>
      <c r="S23" s="254">
        <f>+[15]cons!R23</f>
        <v>0</v>
      </c>
      <c r="T23" s="323">
        <f>+[15]cons!S23</f>
        <v>0</v>
      </c>
      <c r="U23" s="254">
        <f>+[15]cons!T23</f>
        <v>0</v>
      </c>
      <c r="V23" s="323">
        <f>+[15]cons!U23</f>
        <v>0</v>
      </c>
      <c r="W23" s="254">
        <f>+[15]cons!V23</f>
        <v>0</v>
      </c>
      <c r="X23" s="323">
        <f>+[15]cons!W23</f>
        <v>0</v>
      </c>
      <c r="Y23" s="254">
        <f>+[15]cons!X23</f>
        <v>0</v>
      </c>
      <c r="Z23" s="323">
        <f>+[15]cons!Y23</f>
        <v>0</v>
      </c>
      <c r="AA23" s="254">
        <f>+[15]cons!Z23</f>
        <v>0</v>
      </c>
      <c r="AB23" s="323">
        <f>+[15]cons!AA23</f>
        <v>0</v>
      </c>
      <c r="AC23" s="254">
        <f>+[15]cons!AB23</f>
        <v>0</v>
      </c>
      <c r="AD23" s="323">
        <f>+[15]cons!AC23</f>
        <v>0</v>
      </c>
    </row>
    <row r="24" spans="1:30" s="94" customFormat="1">
      <c r="A24" s="874" t="s">
        <v>1444</v>
      </c>
      <c r="B24" s="369">
        <f t="shared" si="3"/>
        <v>23</v>
      </c>
      <c r="C24" s="368">
        <f t="shared" si="4"/>
        <v>0</v>
      </c>
      <c r="D24" s="368">
        <f t="shared" si="5"/>
        <v>23</v>
      </c>
      <c r="E24" s="254">
        <f>+[15]cons!D24</f>
        <v>0</v>
      </c>
      <c r="F24" s="323">
        <f>+[15]cons!E24</f>
        <v>0</v>
      </c>
      <c r="G24" s="254">
        <f>+[15]cons!F24</f>
        <v>0</v>
      </c>
      <c r="H24" s="323">
        <f>+[15]cons!G24</f>
        <v>0</v>
      </c>
      <c r="I24" s="254">
        <f>+[15]cons!H24</f>
        <v>0</v>
      </c>
      <c r="J24" s="323">
        <f>+[15]cons!I24</f>
        <v>0</v>
      </c>
      <c r="K24" s="254">
        <f>+[15]cons!J24</f>
        <v>0</v>
      </c>
      <c r="L24" s="323">
        <f>+[15]cons!K24</f>
        <v>0</v>
      </c>
      <c r="M24" s="254">
        <f>+[15]cons!L24</f>
        <v>0</v>
      </c>
      <c r="N24" s="323">
        <f>+[15]cons!M24</f>
        <v>0</v>
      </c>
      <c r="O24" s="254">
        <f>+[15]cons!N24</f>
        <v>0</v>
      </c>
      <c r="P24" s="323">
        <f>+[15]cons!O24</f>
        <v>1</v>
      </c>
      <c r="Q24" s="254">
        <f>+[15]cons!P24</f>
        <v>0</v>
      </c>
      <c r="R24" s="323">
        <f>+[15]cons!Q24</f>
        <v>0</v>
      </c>
      <c r="S24" s="254">
        <f>+[15]cons!R24</f>
        <v>0</v>
      </c>
      <c r="T24" s="323">
        <f>+[15]cons!S24</f>
        <v>7</v>
      </c>
      <c r="U24" s="254">
        <f>+[15]cons!T24</f>
        <v>0</v>
      </c>
      <c r="V24" s="323">
        <f>+[15]cons!U24</f>
        <v>11</v>
      </c>
      <c r="W24" s="254">
        <f>+[15]cons!V24</f>
        <v>0</v>
      </c>
      <c r="X24" s="323">
        <f>+[15]cons!W24</f>
        <v>0</v>
      </c>
      <c r="Y24" s="254">
        <f>+[15]cons!X24</f>
        <v>0</v>
      </c>
      <c r="Z24" s="323">
        <f>+[15]cons!Y24</f>
        <v>0</v>
      </c>
      <c r="AA24" s="254">
        <f>+[15]cons!Z24</f>
        <v>0</v>
      </c>
      <c r="AB24" s="323">
        <f>+[15]cons!AA24</f>
        <v>3</v>
      </c>
      <c r="AC24" s="254">
        <f>+[15]cons!AB24</f>
        <v>0</v>
      </c>
      <c r="AD24" s="323">
        <f>+[15]cons!AC24</f>
        <v>1</v>
      </c>
    </row>
    <row r="25" spans="1:30" s="94" customFormat="1">
      <c r="A25" s="874" t="s">
        <v>1370</v>
      </c>
      <c r="B25" s="369">
        <f t="shared" si="3"/>
        <v>494</v>
      </c>
      <c r="C25" s="368">
        <f t="shared" si="4"/>
        <v>81</v>
      </c>
      <c r="D25" s="368">
        <f t="shared" si="5"/>
        <v>413</v>
      </c>
      <c r="E25" s="254">
        <f>+[15]cons!D25</f>
        <v>1</v>
      </c>
      <c r="F25" s="323">
        <f>+[15]cons!E25</f>
        <v>22</v>
      </c>
      <c r="G25" s="254">
        <f>+[15]cons!F25</f>
        <v>16</v>
      </c>
      <c r="H25" s="323">
        <f>+[15]cons!G25</f>
        <v>74</v>
      </c>
      <c r="I25" s="254">
        <f>+[15]cons!H25</f>
        <v>2</v>
      </c>
      <c r="J25" s="323">
        <f>+[15]cons!I25</f>
        <v>11</v>
      </c>
      <c r="K25" s="254">
        <f>+[15]cons!J25</f>
        <v>8</v>
      </c>
      <c r="L25" s="323">
        <f>+[15]cons!K25</f>
        <v>33</v>
      </c>
      <c r="M25" s="254">
        <f>+[15]cons!L25</f>
        <v>2</v>
      </c>
      <c r="N25" s="323">
        <f>+[15]cons!M25</f>
        <v>17</v>
      </c>
      <c r="O25" s="254">
        <f>+[15]cons!N25</f>
        <v>6</v>
      </c>
      <c r="P25" s="323">
        <f>+[15]cons!O25</f>
        <v>17</v>
      </c>
      <c r="Q25" s="254">
        <f>+[15]cons!P25</f>
        <v>17</v>
      </c>
      <c r="R25" s="323">
        <f>+[15]cons!Q25</f>
        <v>52</v>
      </c>
      <c r="S25" s="254">
        <f>+[15]cons!R25</f>
        <v>4</v>
      </c>
      <c r="T25" s="323">
        <f>+[15]cons!S25</f>
        <v>26</v>
      </c>
      <c r="U25" s="254">
        <f>+[15]cons!T25</f>
        <v>1</v>
      </c>
      <c r="V25" s="323">
        <f>+[15]cons!U25</f>
        <v>22</v>
      </c>
      <c r="W25" s="254">
        <f>+[15]cons!V25</f>
        <v>4</v>
      </c>
      <c r="X25" s="323">
        <f>+[15]cons!W25</f>
        <v>36</v>
      </c>
      <c r="Y25" s="254">
        <f>+[15]cons!X25</f>
        <v>0</v>
      </c>
      <c r="Z25" s="323">
        <f>+[15]cons!Y25</f>
        <v>22</v>
      </c>
      <c r="AA25" s="254">
        <f>+[15]cons!Z25</f>
        <v>19</v>
      </c>
      <c r="AB25" s="323">
        <f>+[15]cons!AA25</f>
        <v>63</v>
      </c>
      <c r="AC25" s="254">
        <f>+[15]cons!AB25</f>
        <v>1</v>
      </c>
      <c r="AD25" s="323">
        <f>+[15]cons!AC25</f>
        <v>18</v>
      </c>
    </row>
    <row r="26" spans="1:30" s="94" customFormat="1">
      <c r="A26" s="874" t="s">
        <v>1371</v>
      </c>
      <c r="B26" s="369">
        <f t="shared" si="3"/>
        <v>8</v>
      </c>
      <c r="C26" s="368">
        <f t="shared" si="4"/>
        <v>1</v>
      </c>
      <c r="D26" s="368">
        <f t="shared" si="5"/>
        <v>7</v>
      </c>
      <c r="E26" s="254">
        <f>+[15]cons!D26</f>
        <v>0</v>
      </c>
      <c r="F26" s="323">
        <f>+[15]cons!E26</f>
        <v>0</v>
      </c>
      <c r="G26" s="254">
        <f>+[15]cons!F26</f>
        <v>0</v>
      </c>
      <c r="H26" s="323">
        <f>+[15]cons!G26</f>
        <v>0</v>
      </c>
      <c r="I26" s="254">
        <f>+[15]cons!H26</f>
        <v>0</v>
      </c>
      <c r="J26" s="323">
        <f>+[15]cons!I26</f>
        <v>0</v>
      </c>
      <c r="K26" s="254">
        <f>+[15]cons!J26</f>
        <v>0</v>
      </c>
      <c r="L26" s="323">
        <f>+[15]cons!K26</f>
        <v>0</v>
      </c>
      <c r="M26" s="254">
        <f>+[15]cons!L26</f>
        <v>0</v>
      </c>
      <c r="N26" s="323">
        <f>+[15]cons!M26</f>
        <v>0</v>
      </c>
      <c r="O26" s="254">
        <f>+[15]cons!N26</f>
        <v>0</v>
      </c>
      <c r="P26" s="323">
        <f>+[15]cons!O26</f>
        <v>0</v>
      </c>
      <c r="Q26" s="254">
        <f>+[15]cons!P26</f>
        <v>0</v>
      </c>
      <c r="R26" s="323">
        <f>+[15]cons!Q26</f>
        <v>0</v>
      </c>
      <c r="S26" s="254">
        <f>+[15]cons!R26</f>
        <v>0</v>
      </c>
      <c r="T26" s="323">
        <f>+[15]cons!S26</f>
        <v>0</v>
      </c>
      <c r="U26" s="254">
        <f>+[15]cons!T26</f>
        <v>0</v>
      </c>
      <c r="V26" s="323">
        <f>+[15]cons!U26</f>
        <v>0</v>
      </c>
      <c r="W26" s="254">
        <f>+[15]cons!V26</f>
        <v>0</v>
      </c>
      <c r="X26" s="323">
        <f>+[15]cons!W26</f>
        <v>0</v>
      </c>
      <c r="Y26" s="254">
        <f>+[15]cons!X26</f>
        <v>0</v>
      </c>
      <c r="Z26" s="323">
        <f>+[15]cons!Y26</f>
        <v>0</v>
      </c>
      <c r="AA26" s="254">
        <f>+[15]cons!Z26</f>
        <v>0</v>
      </c>
      <c r="AB26" s="323">
        <f>+[15]cons!AA26</f>
        <v>0</v>
      </c>
      <c r="AC26" s="254">
        <f>+[15]cons!AB26</f>
        <v>1</v>
      </c>
      <c r="AD26" s="323">
        <f>+[15]cons!AC26</f>
        <v>7</v>
      </c>
    </row>
    <row r="27" spans="1:30" s="94" customFormat="1">
      <c r="A27" s="875" t="s">
        <v>1445</v>
      </c>
      <c r="B27" s="369">
        <f t="shared" si="3"/>
        <v>74</v>
      </c>
      <c r="C27" s="368">
        <f t="shared" si="4"/>
        <v>1</v>
      </c>
      <c r="D27" s="368">
        <f t="shared" si="5"/>
        <v>73</v>
      </c>
      <c r="E27" s="254">
        <f>+[15]cons!D27</f>
        <v>0</v>
      </c>
      <c r="F27" s="323">
        <f>+[15]cons!E27</f>
        <v>8</v>
      </c>
      <c r="G27" s="254">
        <f>+[15]cons!F27</f>
        <v>0</v>
      </c>
      <c r="H27" s="323">
        <f>+[15]cons!G27</f>
        <v>27</v>
      </c>
      <c r="I27" s="254">
        <f>+[15]cons!H27</f>
        <v>0</v>
      </c>
      <c r="J27" s="323">
        <f>+[15]cons!I27</f>
        <v>9</v>
      </c>
      <c r="K27" s="254">
        <f>+[15]cons!J27</f>
        <v>1</v>
      </c>
      <c r="L27" s="323">
        <f>+[15]cons!K27</f>
        <v>11</v>
      </c>
      <c r="M27" s="254">
        <f>+[15]cons!L27</f>
        <v>0</v>
      </c>
      <c r="N27" s="323">
        <f>+[15]cons!M27</f>
        <v>17</v>
      </c>
      <c r="O27" s="254">
        <f>+[15]cons!N27</f>
        <v>0</v>
      </c>
      <c r="P27" s="323">
        <f>+[15]cons!O27</f>
        <v>0</v>
      </c>
      <c r="Q27" s="254">
        <f>+[15]cons!P27</f>
        <v>0</v>
      </c>
      <c r="R27" s="323">
        <f>+[15]cons!Q27</f>
        <v>1</v>
      </c>
      <c r="S27" s="254">
        <f>+[15]cons!R27</f>
        <v>0</v>
      </c>
      <c r="T27" s="323">
        <f>+[15]cons!S27</f>
        <v>0</v>
      </c>
      <c r="U27" s="254">
        <f>+[15]cons!T27</f>
        <v>0</v>
      </c>
      <c r="V27" s="323">
        <f>+[15]cons!U27</f>
        <v>0</v>
      </c>
      <c r="W27" s="254">
        <f>+[15]cons!V27</f>
        <v>0</v>
      </c>
      <c r="X27" s="323">
        <f>+[15]cons!W27</f>
        <v>0</v>
      </c>
      <c r="Y27" s="254">
        <f>+[15]cons!X27</f>
        <v>0</v>
      </c>
      <c r="Z27" s="323">
        <f>+[15]cons!Y27</f>
        <v>0</v>
      </c>
      <c r="AA27" s="254">
        <f>+[15]cons!Z27</f>
        <v>0</v>
      </c>
      <c r="AB27" s="323">
        <f>+[15]cons!AA27</f>
        <v>0</v>
      </c>
      <c r="AC27" s="254">
        <f>+[15]cons!AB27</f>
        <v>0</v>
      </c>
      <c r="AD27" s="323">
        <f>+[15]cons!AC27</f>
        <v>0</v>
      </c>
    </row>
    <row r="28" spans="1:30" s="94" customFormat="1">
      <c r="A28" s="875" t="s">
        <v>1372</v>
      </c>
      <c r="B28" s="369">
        <f t="shared" si="3"/>
        <v>0</v>
      </c>
      <c r="C28" s="368">
        <f t="shared" si="4"/>
        <v>0</v>
      </c>
      <c r="D28" s="368">
        <f t="shared" si="5"/>
        <v>0</v>
      </c>
      <c r="E28" s="254">
        <f>+[15]cons!D28</f>
        <v>0</v>
      </c>
      <c r="F28" s="323">
        <f>+[15]cons!E28</f>
        <v>0</v>
      </c>
      <c r="G28" s="254">
        <f>+[15]cons!F28</f>
        <v>0</v>
      </c>
      <c r="H28" s="323">
        <f>+[15]cons!G28</f>
        <v>0</v>
      </c>
      <c r="I28" s="254">
        <f>+[15]cons!H28</f>
        <v>0</v>
      </c>
      <c r="J28" s="323">
        <f>+[15]cons!I28</f>
        <v>0</v>
      </c>
      <c r="K28" s="254">
        <f>+[15]cons!J28</f>
        <v>0</v>
      </c>
      <c r="L28" s="323">
        <f>+[15]cons!K28</f>
        <v>0</v>
      </c>
      <c r="M28" s="254">
        <f>+[15]cons!L28</f>
        <v>0</v>
      </c>
      <c r="N28" s="323">
        <f>+[15]cons!M28</f>
        <v>0</v>
      </c>
      <c r="O28" s="254">
        <f>+[15]cons!N28</f>
        <v>0</v>
      </c>
      <c r="P28" s="323">
        <f>+[15]cons!O28</f>
        <v>0</v>
      </c>
      <c r="Q28" s="254">
        <f>+[15]cons!P28</f>
        <v>0</v>
      </c>
      <c r="R28" s="323">
        <f>+[15]cons!Q28</f>
        <v>0</v>
      </c>
      <c r="S28" s="254">
        <f>+[15]cons!R28</f>
        <v>0</v>
      </c>
      <c r="T28" s="323">
        <f>+[15]cons!S28</f>
        <v>0</v>
      </c>
      <c r="U28" s="254">
        <f>+[15]cons!T28</f>
        <v>0</v>
      </c>
      <c r="V28" s="323">
        <f>+[15]cons!U28</f>
        <v>0</v>
      </c>
      <c r="W28" s="254">
        <f>+[15]cons!V28</f>
        <v>0</v>
      </c>
      <c r="X28" s="323">
        <f>+[15]cons!W28</f>
        <v>0</v>
      </c>
      <c r="Y28" s="254">
        <f>+[15]cons!X28</f>
        <v>0</v>
      </c>
      <c r="Z28" s="323">
        <f>+[15]cons!Y28</f>
        <v>0</v>
      </c>
      <c r="AA28" s="254">
        <f>+[15]cons!Z28</f>
        <v>0</v>
      </c>
      <c r="AB28" s="323">
        <f>+[15]cons!AA28</f>
        <v>0</v>
      </c>
      <c r="AC28" s="254">
        <f>+[15]cons!AB28</f>
        <v>0</v>
      </c>
      <c r="AD28" s="323">
        <f>+[15]cons!AC28</f>
        <v>0</v>
      </c>
    </row>
    <row r="29" spans="1:30" s="94" customFormat="1">
      <c r="A29" s="874" t="s">
        <v>1373</v>
      </c>
      <c r="B29" s="369">
        <f t="shared" si="3"/>
        <v>0</v>
      </c>
      <c r="C29" s="368">
        <f t="shared" si="4"/>
        <v>0</v>
      </c>
      <c r="D29" s="368">
        <f t="shared" si="5"/>
        <v>0</v>
      </c>
      <c r="E29" s="254">
        <f>+[15]cons!D29</f>
        <v>0</v>
      </c>
      <c r="F29" s="323">
        <f>+[15]cons!E29</f>
        <v>0</v>
      </c>
      <c r="G29" s="254">
        <f>+[15]cons!F29</f>
        <v>0</v>
      </c>
      <c r="H29" s="323">
        <f>+[15]cons!G29</f>
        <v>0</v>
      </c>
      <c r="I29" s="254">
        <f>+[15]cons!H29</f>
        <v>0</v>
      </c>
      <c r="J29" s="323">
        <f>+[15]cons!I29</f>
        <v>0</v>
      </c>
      <c r="K29" s="254">
        <f>+[15]cons!J29</f>
        <v>0</v>
      </c>
      <c r="L29" s="323">
        <f>+[15]cons!K29</f>
        <v>0</v>
      </c>
      <c r="M29" s="254">
        <f>+[15]cons!L29</f>
        <v>0</v>
      </c>
      <c r="N29" s="323">
        <f>+[15]cons!M29</f>
        <v>0</v>
      </c>
      <c r="O29" s="254">
        <f>+[15]cons!N29</f>
        <v>0</v>
      </c>
      <c r="P29" s="323">
        <f>+[15]cons!O29</f>
        <v>0</v>
      </c>
      <c r="Q29" s="254">
        <f>+[15]cons!P29</f>
        <v>0</v>
      </c>
      <c r="R29" s="323">
        <f>+[15]cons!Q29</f>
        <v>0</v>
      </c>
      <c r="S29" s="254">
        <f>+[15]cons!R29</f>
        <v>0</v>
      </c>
      <c r="T29" s="323">
        <f>+[15]cons!S29</f>
        <v>0</v>
      </c>
      <c r="U29" s="254">
        <f>+[15]cons!T29</f>
        <v>0</v>
      </c>
      <c r="V29" s="323">
        <f>+[15]cons!U29</f>
        <v>0</v>
      </c>
      <c r="W29" s="254">
        <f>+[15]cons!V29</f>
        <v>0</v>
      </c>
      <c r="X29" s="323">
        <f>+[15]cons!W29</f>
        <v>0</v>
      </c>
      <c r="Y29" s="254">
        <f>+[15]cons!X29</f>
        <v>0</v>
      </c>
      <c r="Z29" s="323">
        <f>+[15]cons!Y29</f>
        <v>0</v>
      </c>
      <c r="AA29" s="254">
        <f>+[15]cons!Z29</f>
        <v>0</v>
      </c>
      <c r="AB29" s="323">
        <f>+[15]cons!AA29</f>
        <v>0</v>
      </c>
      <c r="AC29" s="254">
        <f>+[15]cons!AB29</f>
        <v>0</v>
      </c>
      <c r="AD29" s="323">
        <f>+[15]cons!AC29</f>
        <v>0</v>
      </c>
    </row>
    <row r="30" spans="1:30" s="94" customFormat="1">
      <c r="A30" s="874" t="s">
        <v>1374</v>
      </c>
      <c r="B30" s="369">
        <f t="shared" si="3"/>
        <v>22</v>
      </c>
      <c r="C30" s="368">
        <f t="shared" si="4"/>
        <v>18</v>
      </c>
      <c r="D30" s="368">
        <f t="shared" si="5"/>
        <v>4</v>
      </c>
      <c r="E30" s="254">
        <f>+[15]cons!D30</f>
        <v>0</v>
      </c>
      <c r="F30" s="323">
        <f>+[15]cons!E30</f>
        <v>0</v>
      </c>
      <c r="G30" s="254">
        <f>+[15]cons!F30</f>
        <v>2</v>
      </c>
      <c r="H30" s="323">
        <f>+[15]cons!G30</f>
        <v>0</v>
      </c>
      <c r="I30" s="254">
        <f>+[15]cons!H30</f>
        <v>1</v>
      </c>
      <c r="J30" s="323">
        <f>+[15]cons!I30</f>
        <v>0</v>
      </c>
      <c r="K30" s="254">
        <f>+[15]cons!J30</f>
        <v>1</v>
      </c>
      <c r="L30" s="323">
        <f>+[15]cons!K30</f>
        <v>0</v>
      </c>
      <c r="M30" s="254">
        <f>+[15]cons!L30</f>
        <v>0</v>
      </c>
      <c r="N30" s="323">
        <f>+[15]cons!M30</f>
        <v>1</v>
      </c>
      <c r="O30" s="254">
        <f>+[15]cons!N30</f>
        <v>0</v>
      </c>
      <c r="P30" s="323">
        <f>+[15]cons!O30</f>
        <v>0</v>
      </c>
      <c r="Q30" s="254">
        <f>+[15]cons!P30</f>
        <v>7</v>
      </c>
      <c r="R30" s="323">
        <f>+[15]cons!Q30</f>
        <v>0</v>
      </c>
      <c r="S30" s="254">
        <f>+[15]cons!R30</f>
        <v>2</v>
      </c>
      <c r="T30" s="323">
        <f>+[15]cons!S30</f>
        <v>2</v>
      </c>
      <c r="U30" s="254">
        <f>+[15]cons!T30</f>
        <v>0</v>
      </c>
      <c r="V30" s="323">
        <f>+[15]cons!U30</f>
        <v>0</v>
      </c>
      <c r="W30" s="254">
        <f>+[15]cons!V30</f>
        <v>0</v>
      </c>
      <c r="X30" s="323">
        <f>+[15]cons!W30</f>
        <v>0</v>
      </c>
      <c r="Y30" s="254">
        <f>+[15]cons!X30</f>
        <v>0</v>
      </c>
      <c r="Z30" s="323">
        <f>+[15]cons!Y30</f>
        <v>0</v>
      </c>
      <c r="AA30" s="254">
        <f>+[15]cons!Z30</f>
        <v>4</v>
      </c>
      <c r="AB30" s="323">
        <f>+[15]cons!AA30</f>
        <v>1</v>
      </c>
      <c r="AC30" s="254">
        <f>+[15]cons!AB30</f>
        <v>1</v>
      </c>
      <c r="AD30" s="323">
        <f>+[15]cons!AC30</f>
        <v>0</v>
      </c>
    </row>
    <row r="31" spans="1:30" s="94" customFormat="1">
      <c r="A31" s="874" t="s">
        <v>1375</v>
      </c>
      <c r="B31" s="369">
        <f t="shared" si="3"/>
        <v>138</v>
      </c>
      <c r="C31" s="368">
        <f t="shared" si="4"/>
        <v>0</v>
      </c>
      <c r="D31" s="368">
        <f t="shared" si="5"/>
        <v>138</v>
      </c>
      <c r="E31" s="254">
        <f>+[15]cons!D31</f>
        <v>0</v>
      </c>
      <c r="F31" s="323">
        <f>+[15]cons!E31</f>
        <v>7</v>
      </c>
      <c r="G31" s="254">
        <f>+[15]cons!F31</f>
        <v>0</v>
      </c>
      <c r="H31" s="323">
        <f>+[15]cons!G31</f>
        <v>25</v>
      </c>
      <c r="I31" s="254">
        <f>+[15]cons!H31</f>
        <v>0</v>
      </c>
      <c r="J31" s="323">
        <f>+[15]cons!I31</f>
        <v>17</v>
      </c>
      <c r="K31" s="254">
        <f>+[15]cons!J31</f>
        <v>0</v>
      </c>
      <c r="L31" s="323">
        <f>+[15]cons!K31</f>
        <v>0</v>
      </c>
      <c r="M31" s="254">
        <f>+[15]cons!L31</f>
        <v>0</v>
      </c>
      <c r="N31" s="323">
        <f>+[15]cons!M31</f>
        <v>3</v>
      </c>
      <c r="O31" s="254">
        <f>+[15]cons!N31</f>
        <v>0</v>
      </c>
      <c r="P31" s="323">
        <f>+[15]cons!O31</f>
        <v>0</v>
      </c>
      <c r="Q31" s="254">
        <f>+[15]cons!P31</f>
        <v>0</v>
      </c>
      <c r="R31" s="323">
        <f>+[15]cons!Q31</f>
        <v>41</v>
      </c>
      <c r="S31" s="254">
        <f>+[15]cons!R31</f>
        <v>0</v>
      </c>
      <c r="T31" s="323">
        <f>+[15]cons!S31</f>
        <v>28</v>
      </c>
      <c r="U31" s="254">
        <f>+[15]cons!T31</f>
        <v>0</v>
      </c>
      <c r="V31" s="323">
        <f>+[15]cons!U31</f>
        <v>6</v>
      </c>
      <c r="W31" s="254">
        <f>+[15]cons!V31</f>
        <v>0</v>
      </c>
      <c r="X31" s="323">
        <f>+[15]cons!W31</f>
        <v>6</v>
      </c>
      <c r="Y31" s="254">
        <f>+[15]cons!X31</f>
        <v>0</v>
      </c>
      <c r="Z31" s="323">
        <f>+[15]cons!Y31</f>
        <v>0</v>
      </c>
      <c r="AA31" s="254">
        <f>+[15]cons!Z31</f>
        <v>0</v>
      </c>
      <c r="AB31" s="323">
        <f>+[15]cons!AA31</f>
        <v>2</v>
      </c>
      <c r="AC31" s="254">
        <f>+[15]cons!AB31</f>
        <v>0</v>
      </c>
      <c r="AD31" s="323">
        <f>+[15]cons!AC31</f>
        <v>3</v>
      </c>
    </row>
    <row r="32" spans="1:30" s="94" customFormat="1">
      <c r="A32" s="874" t="s">
        <v>1376</v>
      </c>
      <c r="B32" s="369">
        <f t="shared" si="3"/>
        <v>638</v>
      </c>
      <c r="C32" s="368">
        <f t="shared" si="4"/>
        <v>630</v>
      </c>
      <c r="D32" s="368">
        <f t="shared" si="5"/>
        <v>8</v>
      </c>
      <c r="E32" s="254">
        <f>+[15]cons!D32</f>
        <v>41</v>
      </c>
      <c r="F32" s="323">
        <f>+[15]cons!E32</f>
        <v>0</v>
      </c>
      <c r="G32" s="254">
        <f>+[15]cons!F32</f>
        <v>27</v>
      </c>
      <c r="H32" s="323">
        <f>+[15]cons!G32</f>
        <v>2</v>
      </c>
      <c r="I32" s="254">
        <f>+[15]cons!H32</f>
        <v>41</v>
      </c>
      <c r="J32" s="323">
        <f>+[15]cons!I32</f>
        <v>0</v>
      </c>
      <c r="K32" s="254">
        <f>+[15]cons!J32</f>
        <v>18</v>
      </c>
      <c r="L32" s="323">
        <f>+[15]cons!K32</f>
        <v>1</v>
      </c>
      <c r="M32" s="254">
        <f>+[15]cons!L32</f>
        <v>25</v>
      </c>
      <c r="N32" s="323">
        <f>+[15]cons!M32</f>
        <v>5</v>
      </c>
      <c r="O32" s="254">
        <f>+[15]cons!N32</f>
        <v>18</v>
      </c>
      <c r="P32" s="323">
        <f>+[15]cons!O32</f>
        <v>0</v>
      </c>
      <c r="Q32" s="254">
        <f>+[15]cons!P32</f>
        <v>79</v>
      </c>
      <c r="R32" s="323">
        <f>+[15]cons!Q32</f>
        <v>0</v>
      </c>
      <c r="S32" s="254">
        <f>+[15]cons!R32</f>
        <v>150</v>
      </c>
      <c r="T32" s="323">
        <f>+[15]cons!S32</f>
        <v>0</v>
      </c>
      <c r="U32" s="254">
        <f>+[15]cons!T32</f>
        <v>32</v>
      </c>
      <c r="V32" s="323">
        <f>+[15]cons!U32</f>
        <v>0</v>
      </c>
      <c r="W32" s="254">
        <f>+[15]cons!V32</f>
        <v>112</v>
      </c>
      <c r="X32" s="323">
        <f>+[15]cons!W32</f>
        <v>0</v>
      </c>
      <c r="Y32" s="254">
        <f>+[15]cons!X32</f>
        <v>23</v>
      </c>
      <c r="Z32" s="323">
        <f>+[15]cons!Y32</f>
        <v>0</v>
      </c>
      <c r="AA32" s="254">
        <f>+[15]cons!Z32</f>
        <v>29</v>
      </c>
      <c r="AB32" s="323">
        <f>+[15]cons!AA32</f>
        <v>0</v>
      </c>
      <c r="AC32" s="254">
        <f>+[15]cons!AB32</f>
        <v>35</v>
      </c>
      <c r="AD32" s="323">
        <f>+[15]cons!AC32</f>
        <v>0</v>
      </c>
    </row>
    <row r="33" spans="1:30" s="94" customFormat="1">
      <c r="A33" s="874" t="s">
        <v>1446</v>
      </c>
      <c r="B33" s="369">
        <f t="shared" si="3"/>
        <v>1000</v>
      </c>
      <c r="C33" s="368">
        <f t="shared" si="4"/>
        <v>18</v>
      </c>
      <c r="D33" s="368">
        <f t="shared" si="5"/>
        <v>982</v>
      </c>
      <c r="E33" s="254">
        <f>+[15]cons!D33</f>
        <v>0</v>
      </c>
      <c r="F33" s="323">
        <f>+[15]cons!E33</f>
        <v>75</v>
      </c>
      <c r="G33" s="254">
        <f>+[15]cons!F33</f>
        <v>0</v>
      </c>
      <c r="H33" s="323">
        <f>+[15]cons!G33</f>
        <v>83</v>
      </c>
      <c r="I33" s="254">
        <f>+[15]cons!H33</f>
        <v>0</v>
      </c>
      <c r="J33" s="323">
        <f>+[15]cons!I33</f>
        <v>73</v>
      </c>
      <c r="K33" s="254">
        <f>+[15]cons!J33</f>
        <v>10</v>
      </c>
      <c r="L33" s="323">
        <f>+[15]cons!K33</f>
        <v>45</v>
      </c>
      <c r="M33" s="254">
        <f>+[15]cons!L33</f>
        <v>0</v>
      </c>
      <c r="N33" s="323">
        <f>+[15]cons!M33</f>
        <v>56</v>
      </c>
      <c r="O33" s="254">
        <f>+[15]cons!N33</f>
        <v>0</v>
      </c>
      <c r="P33" s="323">
        <f>+[15]cons!O33</f>
        <v>29</v>
      </c>
      <c r="Q33" s="254">
        <f>+[15]cons!P33</f>
        <v>1</v>
      </c>
      <c r="R33" s="323">
        <f>+[15]cons!Q33</f>
        <v>142</v>
      </c>
      <c r="S33" s="254">
        <f>+[15]cons!R33</f>
        <v>1</v>
      </c>
      <c r="T33" s="323">
        <f>+[15]cons!S33</f>
        <v>157</v>
      </c>
      <c r="U33" s="254">
        <f>+[15]cons!T33</f>
        <v>0</v>
      </c>
      <c r="V33" s="323">
        <f>+[15]cons!U33</f>
        <v>40</v>
      </c>
      <c r="W33" s="254">
        <f>+[15]cons!V33</f>
        <v>5</v>
      </c>
      <c r="X33" s="323">
        <f>+[15]cons!W33</f>
        <v>101</v>
      </c>
      <c r="Y33" s="254">
        <f>+[15]cons!X33</f>
        <v>0</v>
      </c>
      <c r="Z33" s="323">
        <f>+[15]cons!Y33</f>
        <v>31</v>
      </c>
      <c r="AA33" s="254">
        <f>+[15]cons!Z33</f>
        <v>1</v>
      </c>
      <c r="AB33" s="323">
        <f>+[15]cons!AA33</f>
        <v>81</v>
      </c>
      <c r="AC33" s="254">
        <f>+[15]cons!AB33</f>
        <v>0</v>
      </c>
      <c r="AD33" s="323">
        <f>+[15]cons!AC33</f>
        <v>69</v>
      </c>
    </row>
    <row r="34" spans="1:30" s="94" customFormat="1">
      <c r="A34" s="874" t="s">
        <v>1377</v>
      </c>
      <c r="B34" s="369">
        <f t="shared" si="3"/>
        <v>9</v>
      </c>
      <c r="C34" s="368">
        <f t="shared" si="4"/>
        <v>0</v>
      </c>
      <c r="D34" s="368">
        <f t="shared" si="5"/>
        <v>9</v>
      </c>
      <c r="E34" s="254">
        <f>+[15]cons!D34</f>
        <v>0</v>
      </c>
      <c r="F34" s="323">
        <f>+[15]cons!E34</f>
        <v>0</v>
      </c>
      <c r="G34" s="254">
        <f>+[15]cons!F34</f>
        <v>0</v>
      </c>
      <c r="H34" s="323">
        <f>+[15]cons!G34</f>
        <v>0</v>
      </c>
      <c r="I34" s="254">
        <f>+[15]cons!H34</f>
        <v>0</v>
      </c>
      <c r="J34" s="323">
        <f>+[15]cons!I34</f>
        <v>0</v>
      </c>
      <c r="K34" s="254">
        <f>+[15]cons!J34</f>
        <v>0</v>
      </c>
      <c r="L34" s="323">
        <f>+[15]cons!K34</f>
        <v>0</v>
      </c>
      <c r="M34" s="254">
        <f>+[15]cons!L34</f>
        <v>0</v>
      </c>
      <c r="N34" s="323">
        <f>+[15]cons!M34</f>
        <v>8</v>
      </c>
      <c r="O34" s="254">
        <f>+[15]cons!N34</f>
        <v>0</v>
      </c>
      <c r="P34" s="323">
        <f>+[15]cons!O34</f>
        <v>0</v>
      </c>
      <c r="Q34" s="254">
        <f>+[15]cons!P34</f>
        <v>0</v>
      </c>
      <c r="R34" s="323">
        <f>+[15]cons!Q34</f>
        <v>0</v>
      </c>
      <c r="S34" s="254">
        <f>+[15]cons!R34</f>
        <v>0</v>
      </c>
      <c r="T34" s="323">
        <f>+[15]cons!S34</f>
        <v>0</v>
      </c>
      <c r="U34" s="254">
        <f>+[15]cons!T34</f>
        <v>0</v>
      </c>
      <c r="V34" s="323">
        <f>+[15]cons!U34</f>
        <v>0</v>
      </c>
      <c r="W34" s="254">
        <f>+[15]cons!V34</f>
        <v>0</v>
      </c>
      <c r="X34" s="323">
        <f>+[15]cons!W34</f>
        <v>0</v>
      </c>
      <c r="Y34" s="254">
        <f>+[15]cons!X34</f>
        <v>0</v>
      </c>
      <c r="Z34" s="323">
        <f>+[15]cons!Y34</f>
        <v>0</v>
      </c>
      <c r="AA34" s="254">
        <f>+[15]cons!Z34</f>
        <v>0</v>
      </c>
      <c r="AB34" s="323">
        <f>+[15]cons!AA34</f>
        <v>1</v>
      </c>
      <c r="AC34" s="254">
        <f>+[15]cons!AB34</f>
        <v>0</v>
      </c>
      <c r="AD34" s="323">
        <f>+[15]cons!AC34</f>
        <v>0</v>
      </c>
    </row>
    <row r="35" spans="1:30" s="94" customFormat="1">
      <c r="A35" s="874" t="s">
        <v>1378</v>
      </c>
      <c r="B35" s="369">
        <f t="shared" si="3"/>
        <v>156</v>
      </c>
      <c r="C35" s="368">
        <f t="shared" si="4"/>
        <v>153</v>
      </c>
      <c r="D35" s="368">
        <f t="shared" si="5"/>
        <v>3</v>
      </c>
      <c r="E35" s="254">
        <f>+[15]cons!D35</f>
        <v>6</v>
      </c>
      <c r="F35" s="323">
        <f>+[15]cons!E35</f>
        <v>0</v>
      </c>
      <c r="G35" s="254">
        <f>+[15]cons!F35</f>
        <v>28</v>
      </c>
      <c r="H35" s="323">
        <f>+[15]cons!G35</f>
        <v>0</v>
      </c>
      <c r="I35" s="254">
        <f>+[15]cons!H35</f>
        <v>11</v>
      </c>
      <c r="J35" s="323">
        <f>+[15]cons!I35</f>
        <v>0</v>
      </c>
      <c r="K35" s="254">
        <f>+[15]cons!J35</f>
        <v>8</v>
      </c>
      <c r="L35" s="323">
        <f>+[15]cons!K35</f>
        <v>0</v>
      </c>
      <c r="M35" s="254">
        <f>+[15]cons!L35</f>
        <v>7</v>
      </c>
      <c r="N35" s="323">
        <f>+[15]cons!M35</f>
        <v>2</v>
      </c>
      <c r="O35" s="254">
        <f>+[15]cons!N35</f>
        <v>2</v>
      </c>
      <c r="P35" s="323">
        <f>+[15]cons!O35</f>
        <v>0</v>
      </c>
      <c r="Q35" s="254">
        <f>+[15]cons!P35</f>
        <v>14</v>
      </c>
      <c r="R35" s="323">
        <f>+[15]cons!Q35</f>
        <v>0</v>
      </c>
      <c r="S35" s="254">
        <f>+[15]cons!R35</f>
        <v>49</v>
      </c>
      <c r="T35" s="323">
        <f>+[15]cons!S35</f>
        <v>0</v>
      </c>
      <c r="U35" s="254">
        <f>+[15]cons!T35</f>
        <v>0</v>
      </c>
      <c r="V35" s="323">
        <f>+[15]cons!U35</f>
        <v>0</v>
      </c>
      <c r="W35" s="254">
        <f>+[15]cons!V35</f>
        <v>3</v>
      </c>
      <c r="X35" s="323">
        <f>+[15]cons!W35</f>
        <v>0</v>
      </c>
      <c r="Y35" s="254">
        <f>+[15]cons!X35</f>
        <v>6</v>
      </c>
      <c r="Z35" s="323">
        <f>+[15]cons!Y35</f>
        <v>0</v>
      </c>
      <c r="AA35" s="254">
        <f>+[15]cons!Z35</f>
        <v>3</v>
      </c>
      <c r="AB35" s="323">
        <f>+[15]cons!AA35</f>
        <v>1</v>
      </c>
      <c r="AC35" s="254">
        <f>+[15]cons!AB35</f>
        <v>16</v>
      </c>
      <c r="AD35" s="323">
        <f>+[15]cons!AC35</f>
        <v>0</v>
      </c>
    </row>
    <row r="36" spans="1:30" s="94" customFormat="1">
      <c r="A36" s="874" t="s">
        <v>1447</v>
      </c>
      <c r="B36" s="369">
        <f t="shared" si="3"/>
        <v>518</v>
      </c>
      <c r="C36" s="368">
        <f t="shared" si="4"/>
        <v>3</v>
      </c>
      <c r="D36" s="368">
        <f t="shared" si="5"/>
        <v>515</v>
      </c>
      <c r="E36" s="254">
        <f>+[15]cons!D36</f>
        <v>0</v>
      </c>
      <c r="F36" s="323">
        <f>+[15]cons!E36</f>
        <v>50</v>
      </c>
      <c r="G36" s="254">
        <f>+[15]cons!F36</f>
        <v>0</v>
      </c>
      <c r="H36" s="323">
        <f>+[15]cons!G36</f>
        <v>72</v>
      </c>
      <c r="I36" s="254">
        <f>+[15]cons!H36</f>
        <v>0</v>
      </c>
      <c r="J36" s="323">
        <f>+[15]cons!I36</f>
        <v>36</v>
      </c>
      <c r="K36" s="254">
        <f>+[15]cons!J36</f>
        <v>0</v>
      </c>
      <c r="L36" s="323">
        <f>+[15]cons!K36</f>
        <v>13</v>
      </c>
      <c r="M36" s="254">
        <f>+[15]cons!L36</f>
        <v>0</v>
      </c>
      <c r="N36" s="323">
        <f>+[15]cons!M36</f>
        <v>42</v>
      </c>
      <c r="O36" s="254">
        <f>+[15]cons!N36</f>
        <v>0</v>
      </c>
      <c r="P36" s="323">
        <f>+[15]cons!O36</f>
        <v>5</v>
      </c>
      <c r="Q36" s="254">
        <f>+[15]cons!P36</f>
        <v>0</v>
      </c>
      <c r="R36" s="323">
        <f>+[15]cons!Q36</f>
        <v>84</v>
      </c>
      <c r="S36" s="254">
        <f>+[15]cons!R36</f>
        <v>0</v>
      </c>
      <c r="T36" s="323">
        <f>+[15]cons!S36</f>
        <v>107</v>
      </c>
      <c r="U36" s="254">
        <f>+[15]cons!T36</f>
        <v>0</v>
      </c>
      <c r="V36" s="323">
        <f>+[15]cons!U36</f>
        <v>1</v>
      </c>
      <c r="W36" s="254">
        <f>+[15]cons!V36</f>
        <v>1</v>
      </c>
      <c r="X36" s="323">
        <f>+[15]cons!W36</f>
        <v>4</v>
      </c>
      <c r="Y36" s="254">
        <f>+[15]cons!X36</f>
        <v>2</v>
      </c>
      <c r="Z36" s="323">
        <f>+[15]cons!Y36</f>
        <v>6</v>
      </c>
      <c r="AA36" s="254">
        <f>+[15]cons!Z36</f>
        <v>0</v>
      </c>
      <c r="AB36" s="323">
        <f>+[15]cons!AA36</f>
        <v>43</v>
      </c>
      <c r="AC36" s="254">
        <f>+[15]cons!AB36</f>
        <v>0</v>
      </c>
      <c r="AD36" s="323">
        <f>+[15]cons!AC36</f>
        <v>52</v>
      </c>
    </row>
    <row r="37" spans="1:30" s="94" customFormat="1">
      <c r="A37" s="874" t="s">
        <v>1379</v>
      </c>
      <c r="B37" s="369">
        <f t="shared" si="3"/>
        <v>697</v>
      </c>
      <c r="C37" s="368">
        <f t="shared" ref="C37:C60" si="6">+E37+G37+I37+K37+M37+O37+Q37+S37+U37+W37+Y37+AA37+AC37</f>
        <v>688</v>
      </c>
      <c r="D37" s="368">
        <f t="shared" ref="D37:D60" si="7">+F37+H37+J37+L37+N37+P37+R37+T37+V37+X37+Z37+AB37+AD37</f>
        <v>9</v>
      </c>
      <c r="E37" s="254">
        <f>+[15]cons!D37</f>
        <v>45</v>
      </c>
      <c r="F37" s="323">
        <f>+[15]cons!E37</f>
        <v>0</v>
      </c>
      <c r="G37" s="254">
        <f>+[15]cons!F37</f>
        <v>94</v>
      </c>
      <c r="H37" s="323">
        <f>+[15]cons!G37</f>
        <v>0</v>
      </c>
      <c r="I37" s="254">
        <f>+[15]cons!H37</f>
        <v>67</v>
      </c>
      <c r="J37" s="323">
        <f>+[15]cons!I37</f>
        <v>0</v>
      </c>
      <c r="K37" s="254">
        <f>+[15]cons!J37</f>
        <v>27</v>
      </c>
      <c r="L37" s="323">
        <f>+[15]cons!K37</f>
        <v>3</v>
      </c>
      <c r="M37" s="254">
        <f>+[15]cons!L37</f>
        <v>27</v>
      </c>
      <c r="N37" s="323">
        <f>+[15]cons!M37</f>
        <v>5</v>
      </c>
      <c r="O37" s="254">
        <f>+[15]cons!N37</f>
        <v>15</v>
      </c>
      <c r="P37" s="323">
        <f>+[15]cons!O37</f>
        <v>0</v>
      </c>
      <c r="Q37" s="254">
        <f>+[15]cons!P37</f>
        <v>79</v>
      </c>
      <c r="R37" s="323">
        <f>+[15]cons!Q37</f>
        <v>0</v>
      </c>
      <c r="S37" s="254">
        <f>+[15]cons!R37</f>
        <v>137</v>
      </c>
      <c r="T37" s="323">
        <f>+[15]cons!S37</f>
        <v>1</v>
      </c>
      <c r="U37" s="254">
        <f>+[15]cons!T37</f>
        <v>35</v>
      </c>
      <c r="V37" s="323">
        <f>+[15]cons!U37</f>
        <v>0</v>
      </c>
      <c r="W37" s="254">
        <f>+[15]cons!V37</f>
        <v>54</v>
      </c>
      <c r="X37" s="323">
        <f>+[15]cons!W37</f>
        <v>0</v>
      </c>
      <c r="Y37" s="254">
        <f>+[15]cons!X37</f>
        <v>19</v>
      </c>
      <c r="Z37" s="323">
        <f>+[15]cons!Y37</f>
        <v>0</v>
      </c>
      <c r="AA37" s="254">
        <f>+[15]cons!Z37</f>
        <v>34</v>
      </c>
      <c r="AB37" s="323">
        <f>+[15]cons!AA37</f>
        <v>0</v>
      </c>
      <c r="AC37" s="254">
        <f>+[15]cons!AB37</f>
        <v>55</v>
      </c>
      <c r="AD37" s="323">
        <f>+[15]cons!AC37</f>
        <v>0</v>
      </c>
    </row>
    <row r="38" spans="1:30" s="94" customFormat="1">
      <c r="A38" s="874" t="s">
        <v>1448</v>
      </c>
      <c r="B38" s="369">
        <f t="shared" si="3"/>
        <v>3517</v>
      </c>
      <c r="C38" s="368">
        <f t="shared" si="6"/>
        <v>21</v>
      </c>
      <c r="D38" s="368">
        <f t="shared" si="7"/>
        <v>3496</v>
      </c>
      <c r="E38" s="254">
        <f>+[15]cons!D38</f>
        <v>0</v>
      </c>
      <c r="F38" s="323">
        <f>+[15]cons!E38</f>
        <v>283</v>
      </c>
      <c r="G38" s="254">
        <f>+[15]cons!F38</f>
        <v>0</v>
      </c>
      <c r="H38" s="323">
        <f>+[15]cons!G38</f>
        <v>252</v>
      </c>
      <c r="I38" s="254">
        <f>+[15]cons!H38</f>
        <v>0</v>
      </c>
      <c r="J38" s="323">
        <f>+[15]cons!I38</f>
        <v>188</v>
      </c>
      <c r="K38" s="254">
        <f>+[15]cons!J38</f>
        <v>21</v>
      </c>
      <c r="L38" s="323">
        <f>+[15]cons!K38</f>
        <v>248</v>
      </c>
      <c r="M38" s="254">
        <f>+[15]cons!L38</f>
        <v>0</v>
      </c>
      <c r="N38" s="323">
        <f>+[15]cons!M38</f>
        <v>157</v>
      </c>
      <c r="O38" s="254">
        <f>+[15]cons!N38</f>
        <v>0</v>
      </c>
      <c r="P38" s="323">
        <f>+[15]cons!O38</f>
        <v>96</v>
      </c>
      <c r="Q38" s="254">
        <f>+[15]cons!P38</f>
        <v>0</v>
      </c>
      <c r="R38" s="323">
        <f>+[15]cons!Q38</f>
        <v>468</v>
      </c>
      <c r="S38" s="254">
        <f>+[15]cons!R38</f>
        <v>0</v>
      </c>
      <c r="T38" s="323">
        <f>+[15]cons!S38</f>
        <v>592</v>
      </c>
      <c r="U38" s="254">
        <f>+[15]cons!T38</f>
        <v>0</v>
      </c>
      <c r="V38" s="323">
        <f>+[15]cons!U38</f>
        <v>287</v>
      </c>
      <c r="W38" s="254">
        <f>+[15]cons!V38</f>
        <v>0</v>
      </c>
      <c r="X38" s="323">
        <f>+[15]cons!W38</f>
        <v>419</v>
      </c>
      <c r="Y38" s="254">
        <f>+[15]cons!X38</f>
        <v>0</v>
      </c>
      <c r="Z38" s="323">
        <f>+[15]cons!Y38</f>
        <v>150</v>
      </c>
      <c r="AA38" s="254">
        <f>+[15]cons!Z38</f>
        <v>0</v>
      </c>
      <c r="AB38" s="323">
        <f>+[15]cons!AA38</f>
        <v>194</v>
      </c>
      <c r="AC38" s="254">
        <f>+[15]cons!AB38</f>
        <v>0</v>
      </c>
      <c r="AD38" s="323">
        <f>+[15]cons!AC38</f>
        <v>162</v>
      </c>
    </row>
    <row r="39" spans="1:30" s="94" customFormat="1">
      <c r="A39" s="874" t="s">
        <v>1449</v>
      </c>
      <c r="B39" s="369">
        <f t="shared" si="3"/>
        <v>0</v>
      </c>
      <c r="C39" s="368">
        <f t="shared" si="6"/>
        <v>0</v>
      </c>
      <c r="D39" s="368">
        <f t="shared" si="7"/>
        <v>0</v>
      </c>
      <c r="E39" s="254">
        <f>+[15]cons!D39</f>
        <v>0</v>
      </c>
      <c r="F39" s="323">
        <f>+[15]cons!E39</f>
        <v>0</v>
      </c>
      <c r="G39" s="254">
        <f>+[15]cons!F39</f>
        <v>0</v>
      </c>
      <c r="H39" s="323">
        <f>+[15]cons!G39</f>
        <v>0</v>
      </c>
      <c r="I39" s="254">
        <f>+[15]cons!H39</f>
        <v>0</v>
      </c>
      <c r="J39" s="323">
        <f>+[15]cons!I39</f>
        <v>0</v>
      </c>
      <c r="K39" s="254">
        <f>+[15]cons!J39</f>
        <v>0</v>
      </c>
      <c r="L39" s="323">
        <f>+[15]cons!K39</f>
        <v>0</v>
      </c>
      <c r="M39" s="254">
        <f>+[15]cons!L39</f>
        <v>0</v>
      </c>
      <c r="N39" s="323">
        <f>+[15]cons!M39</f>
        <v>0</v>
      </c>
      <c r="O39" s="254">
        <f>+[15]cons!N39</f>
        <v>0</v>
      </c>
      <c r="P39" s="323">
        <f>+[15]cons!O39</f>
        <v>0</v>
      </c>
      <c r="Q39" s="254">
        <f>+[15]cons!P39</f>
        <v>0</v>
      </c>
      <c r="R39" s="323">
        <f>+[15]cons!Q39</f>
        <v>0</v>
      </c>
      <c r="S39" s="254">
        <f>+[15]cons!R39</f>
        <v>0</v>
      </c>
      <c r="T39" s="323">
        <f>+[15]cons!S39</f>
        <v>0</v>
      </c>
      <c r="U39" s="254">
        <f>+[15]cons!T39</f>
        <v>0</v>
      </c>
      <c r="V39" s="323">
        <f>+[15]cons!U39</f>
        <v>0</v>
      </c>
      <c r="W39" s="254">
        <f>+[15]cons!V39</f>
        <v>0</v>
      </c>
      <c r="X39" s="323">
        <f>+[15]cons!W39</f>
        <v>0</v>
      </c>
      <c r="Y39" s="254">
        <f>+[15]cons!X39</f>
        <v>0</v>
      </c>
      <c r="Z39" s="323">
        <f>+[15]cons!Y39</f>
        <v>0</v>
      </c>
      <c r="AA39" s="254">
        <f>+[15]cons!Z39</f>
        <v>0</v>
      </c>
      <c r="AB39" s="323">
        <f>+[15]cons!AA39</f>
        <v>0</v>
      </c>
      <c r="AC39" s="254">
        <f>+[15]cons!AB39</f>
        <v>0</v>
      </c>
      <c r="AD39" s="323">
        <f>+[15]cons!AC39</f>
        <v>0</v>
      </c>
    </row>
    <row r="40" spans="1:30" s="94" customFormat="1">
      <c r="A40" s="874" t="s">
        <v>1380</v>
      </c>
      <c r="B40" s="369">
        <f t="shared" si="3"/>
        <v>38</v>
      </c>
      <c r="C40" s="368">
        <f t="shared" si="6"/>
        <v>8</v>
      </c>
      <c r="D40" s="368">
        <f t="shared" si="7"/>
        <v>30</v>
      </c>
      <c r="E40" s="254">
        <f>+[15]cons!D40</f>
        <v>0</v>
      </c>
      <c r="F40" s="323">
        <f>+[15]cons!E40</f>
        <v>0</v>
      </c>
      <c r="G40" s="254">
        <f>+[15]cons!F40</f>
        <v>0</v>
      </c>
      <c r="H40" s="323">
        <f>+[15]cons!G40</f>
        <v>0</v>
      </c>
      <c r="I40" s="254">
        <f>+[15]cons!H40</f>
        <v>0</v>
      </c>
      <c r="J40" s="323">
        <f>+[15]cons!I40</f>
        <v>0</v>
      </c>
      <c r="K40" s="254">
        <f>+[15]cons!J40</f>
        <v>8</v>
      </c>
      <c r="L40" s="323">
        <f>+[15]cons!K40</f>
        <v>10</v>
      </c>
      <c r="M40" s="254">
        <f>+[15]cons!L40</f>
        <v>0</v>
      </c>
      <c r="N40" s="323">
        <f>+[15]cons!M40</f>
        <v>0</v>
      </c>
      <c r="O40" s="254">
        <f>+[15]cons!N40</f>
        <v>0</v>
      </c>
      <c r="P40" s="323">
        <f>+[15]cons!O40</f>
        <v>4</v>
      </c>
      <c r="Q40" s="254">
        <f>+[15]cons!P40</f>
        <v>0</v>
      </c>
      <c r="R40" s="323">
        <f>+[15]cons!Q40</f>
        <v>0</v>
      </c>
      <c r="S40" s="254">
        <f>+[15]cons!R40</f>
        <v>0</v>
      </c>
      <c r="T40" s="323">
        <f>+[15]cons!S40</f>
        <v>1</v>
      </c>
      <c r="U40" s="254">
        <f>+[15]cons!T40</f>
        <v>0</v>
      </c>
      <c r="V40" s="323">
        <f>+[15]cons!U40</f>
        <v>4</v>
      </c>
      <c r="W40" s="254">
        <f>+[15]cons!V40</f>
        <v>0</v>
      </c>
      <c r="X40" s="323">
        <f>+[15]cons!W40</f>
        <v>1</v>
      </c>
      <c r="Y40" s="254">
        <f>+[15]cons!X40</f>
        <v>0</v>
      </c>
      <c r="Z40" s="323">
        <f>+[15]cons!Y40</f>
        <v>0</v>
      </c>
      <c r="AA40" s="254">
        <f>+[15]cons!Z40</f>
        <v>0</v>
      </c>
      <c r="AB40" s="323">
        <f>+[15]cons!AA40</f>
        <v>10</v>
      </c>
      <c r="AC40" s="254">
        <f>+[15]cons!AB40</f>
        <v>0</v>
      </c>
      <c r="AD40" s="323">
        <f>+[15]cons!AC40</f>
        <v>0</v>
      </c>
    </row>
    <row r="41" spans="1:30" s="94" customFormat="1">
      <c r="A41" s="874" t="s">
        <v>1381</v>
      </c>
      <c r="B41" s="369">
        <f t="shared" si="3"/>
        <v>0</v>
      </c>
      <c r="C41" s="368">
        <f t="shared" si="6"/>
        <v>0</v>
      </c>
      <c r="D41" s="368">
        <f t="shared" si="7"/>
        <v>0</v>
      </c>
      <c r="E41" s="254">
        <f>+[15]cons!D41</f>
        <v>0</v>
      </c>
      <c r="F41" s="323">
        <f>+[15]cons!E41</f>
        <v>0</v>
      </c>
      <c r="G41" s="254">
        <f>+[15]cons!F41</f>
        <v>0</v>
      </c>
      <c r="H41" s="323">
        <f>+[15]cons!G41</f>
        <v>0</v>
      </c>
      <c r="I41" s="254">
        <f>+[15]cons!H41</f>
        <v>0</v>
      </c>
      <c r="J41" s="323">
        <f>+[15]cons!I41</f>
        <v>0</v>
      </c>
      <c r="K41" s="254">
        <f>+[15]cons!J41</f>
        <v>0</v>
      </c>
      <c r="L41" s="323">
        <f>+[15]cons!K41</f>
        <v>0</v>
      </c>
      <c r="M41" s="254">
        <f>+[15]cons!L41</f>
        <v>0</v>
      </c>
      <c r="N41" s="323">
        <f>+[15]cons!M41</f>
        <v>0</v>
      </c>
      <c r="O41" s="254">
        <f>+[15]cons!N41</f>
        <v>0</v>
      </c>
      <c r="P41" s="323">
        <f>+[15]cons!O41</f>
        <v>0</v>
      </c>
      <c r="Q41" s="254">
        <f>+[15]cons!P41</f>
        <v>0</v>
      </c>
      <c r="R41" s="323">
        <f>+[15]cons!Q41</f>
        <v>0</v>
      </c>
      <c r="S41" s="254">
        <f>+[15]cons!R41</f>
        <v>0</v>
      </c>
      <c r="T41" s="323">
        <f>+[15]cons!S41</f>
        <v>0</v>
      </c>
      <c r="U41" s="254">
        <f>+[15]cons!T41</f>
        <v>0</v>
      </c>
      <c r="V41" s="323">
        <f>+[15]cons!U41</f>
        <v>0</v>
      </c>
      <c r="W41" s="254">
        <f>+[15]cons!V41</f>
        <v>0</v>
      </c>
      <c r="X41" s="323">
        <f>+[15]cons!W41</f>
        <v>0</v>
      </c>
      <c r="Y41" s="254">
        <f>+[15]cons!X41</f>
        <v>0</v>
      </c>
      <c r="Z41" s="323">
        <f>+[15]cons!Y41</f>
        <v>0</v>
      </c>
      <c r="AA41" s="254">
        <f>+[15]cons!Z41</f>
        <v>0</v>
      </c>
      <c r="AB41" s="323">
        <f>+[15]cons!AA41</f>
        <v>0</v>
      </c>
      <c r="AC41" s="254">
        <f>+[15]cons!AB41</f>
        <v>0</v>
      </c>
      <c r="AD41" s="323">
        <f>+[15]cons!AC41</f>
        <v>0</v>
      </c>
    </row>
    <row r="42" spans="1:30" s="94" customFormat="1">
      <c r="A42" s="874" t="s">
        <v>1450</v>
      </c>
      <c r="B42" s="369">
        <f t="shared" si="3"/>
        <v>0</v>
      </c>
      <c r="C42" s="368">
        <f t="shared" si="6"/>
        <v>0</v>
      </c>
      <c r="D42" s="368">
        <f t="shared" si="7"/>
        <v>0</v>
      </c>
      <c r="E42" s="254">
        <f>+[15]cons!D42</f>
        <v>0</v>
      </c>
      <c r="F42" s="323">
        <f>+[15]cons!E42</f>
        <v>0</v>
      </c>
      <c r="G42" s="254">
        <f>+[15]cons!F42</f>
        <v>0</v>
      </c>
      <c r="H42" s="323">
        <f>+[15]cons!G42</f>
        <v>0</v>
      </c>
      <c r="I42" s="254">
        <f>+[15]cons!H42</f>
        <v>0</v>
      </c>
      <c r="J42" s="323">
        <f>+[15]cons!I42</f>
        <v>0</v>
      </c>
      <c r="K42" s="254">
        <f>+[15]cons!J42</f>
        <v>0</v>
      </c>
      <c r="L42" s="323">
        <f>+[15]cons!K42</f>
        <v>0</v>
      </c>
      <c r="M42" s="254">
        <f>+[15]cons!L42</f>
        <v>0</v>
      </c>
      <c r="N42" s="323">
        <f>+[15]cons!M42</f>
        <v>0</v>
      </c>
      <c r="O42" s="254">
        <f>+[15]cons!N42</f>
        <v>0</v>
      </c>
      <c r="P42" s="323">
        <f>+[15]cons!O42</f>
        <v>0</v>
      </c>
      <c r="Q42" s="254">
        <f>+[15]cons!P42</f>
        <v>0</v>
      </c>
      <c r="R42" s="323">
        <f>+[15]cons!Q42</f>
        <v>0</v>
      </c>
      <c r="S42" s="254">
        <f>+[15]cons!R42</f>
        <v>0</v>
      </c>
      <c r="T42" s="323">
        <f>+[15]cons!S42</f>
        <v>0</v>
      </c>
      <c r="U42" s="254">
        <f>+[15]cons!T42</f>
        <v>0</v>
      </c>
      <c r="V42" s="323">
        <f>+[15]cons!U42</f>
        <v>0</v>
      </c>
      <c r="W42" s="254">
        <f>+[15]cons!V42</f>
        <v>0</v>
      </c>
      <c r="X42" s="323">
        <f>+[15]cons!W42</f>
        <v>0</v>
      </c>
      <c r="Y42" s="254">
        <f>+[15]cons!X42</f>
        <v>0</v>
      </c>
      <c r="Z42" s="323">
        <f>+[15]cons!Y42</f>
        <v>0</v>
      </c>
      <c r="AA42" s="254">
        <f>+[15]cons!Z42</f>
        <v>0</v>
      </c>
      <c r="AB42" s="323">
        <f>+[15]cons!AA42</f>
        <v>0</v>
      </c>
      <c r="AC42" s="254">
        <f>+[15]cons!AB42</f>
        <v>0</v>
      </c>
      <c r="AD42" s="323">
        <f>+[15]cons!AC42</f>
        <v>0</v>
      </c>
    </row>
    <row r="43" spans="1:30" s="94" customFormat="1">
      <c r="A43" s="874" t="s">
        <v>1451</v>
      </c>
      <c r="B43" s="369">
        <f t="shared" si="3"/>
        <v>0</v>
      </c>
      <c r="C43" s="368">
        <f t="shared" si="6"/>
        <v>0</v>
      </c>
      <c r="D43" s="368">
        <f t="shared" si="7"/>
        <v>0</v>
      </c>
      <c r="E43" s="254">
        <f>+[15]cons!D43</f>
        <v>0</v>
      </c>
      <c r="F43" s="323">
        <f>+[15]cons!E43</f>
        <v>0</v>
      </c>
      <c r="G43" s="254">
        <f>+[15]cons!F43</f>
        <v>0</v>
      </c>
      <c r="H43" s="323">
        <f>+[15]cons!G43</f>
        <v>0</v>
      </c>
      <c r="I43" s="254">
        <f>+[15]cons!H43</f>
        <v>0</v>
      </c>
      <c r="J43" s="323">
        <f>+[15]cons!I43</f>
        <v>0</v>
      </c>
      <c r="K43" s="254">
        <f>+[15]cons!J43</f>
        <v>0</v>
      </c>
      <c r="L43" s="323">
        <f>+[15]cons!K43</f>
        <v>0</v>
      </c>
      <c r="M43" s="254">
        <f>+[15]cons!L43</f>
        <v>0</v>
      </c>
      <c r="N43" s="323">
        <f>+[15]cons!M43</f>
        <v>0</v>
      </c>
      <c r="O43" s="254">
        <f>+[15]cons!N43</f>
        <v>0</v>
      </c>
      <c r="P43" s="323">
        <f>+[15]cons!O43</f>
        <v>0</v>
      </c>
      <c r="Q43" s="254">
        <f>+[15]cons!P43</f>
        <v>0</v>
      </c>
      <c r="R43" s="323">
        <f>+[15]cons!Q43</f>
        <v>0</v>
      </c>
      <c r="S43" s="254">
        <f>+[15]cons!R43</f>
        <v>0</v>
      </c>
      <c r="T43" s="323">
        <f>+[15]cons!S43</f>
        <v>0</v>
      </c>
      <c r="U43" s="254">
        <f>+[15]cons!T43</f>
        <v>0</v>
      </c>
      <c r="V43" s="323">
        <f>+[15]cons!U43</f>
        <v>0</v>
      </c>
      <c r="W43" s="254">
        <f>+[15]cons!V43</f>
        <v>0</v>
      </c>
      <c r="X43" s="323">
        <f>+[15]cons!W43</f>
        <v>0</v>
      </c>
      <c r="Y43" s="254">
        <f>+[15]cons!X43</f>
        <v>0</v>
      </c>
      <c r="Z43" s="323">
        <f>+[15]cons!Y43</f>
        <v>0</v>
      </c>
      <c r="AA43" s="254">
        <f>+[15]cons!Z43</f>
        <v>0</v>
      </c>
      <c r="AB43" s="323">
        <f>+[15]cons!AA43</f>
        <v>0</v>
      </c>
      <c r="AC43" s="254">
        <f>+[15]cons!AB43</f>
        <v>0</v>
      </c>
      <c r="AD43" s="323">
        <f>+[15]cons!AC43</f>
        <v>0</v>
      </c>
    </row>
    <row r="44" spans="1:30" s="94" customFormat="1">
      <c r="A44" s="874" t="s">
        <v>1382</v>
      </c>
      <c r="B44" s="369">
        <f t="shared" si="3"/>
        <v>0</v>
      </c>
      <c r="C44" s="368">
        <f t="shared" si="6"/>
        <v>0</v>
      </c>
      <c r="D44" s="368">
        <f t="shared" si="7"/>
        <v>0</v>
      </c>
      <c r="E44" s="254">
        <f>+[15]cons!D44</f>
        <v>0</v>
      </c>
      <c r="F44" s="323">
        <f>+[15]cons!E44</f>
        <v>0</v>
      </c>
      <c r="G44" s="254">
        <f>+[15]cons!F44</f>
        <v>0</v>
      </c>
      <c r="H44" s="323">
        <f>+[15]cons!G44</f>
        <v>0</v>
      </c>
      <c r="I44" s="254">
        <f>+[15]cons!H44</f>
        <v>0</v>
      </c>
      <c r="J44" s="323">
        <f>+[15]cons!I44</f>
        <v>0</v>
      </c>
      <c r="K44" s="254">
        <f>+[15]cons!J44</f>
        <v>0</v>
      </c>
      <c r="L44" s="323">
        <f>+[15]cons!K44</f>
        <v>0</v>
      </c>
      <c r="M44" s="254">
        <f>+[15]cons!L44</f>
        <v>0</v>
      </c>
      <c r="N44" s="323">
        <f>+[15]cons!M44</f>
        <v>0</v>
      </c>
      <c r="O44" s="254">
        <f>+[15]cons!N44</f>
        <v>0</v>
      </c>
      <c r="P44" s="323">
        <f>+[15]cons!O44</f>
        <v>0</v>
      </c>
      <c r="Q44" s="254">
        <f>+[15]cons!P44</f>
        <v>0</v>
      </c>
      <c r="R44" s="323">
        <f>+[15]cons!Q44</f>
        <v>0</v>
      </c>
      <c r="S44" s="254">
        <f>+[15]cons!R44</f>
        <v>0</v>
      </c>
      <c r="T44" s="323">
        <f>+[15]cons!S44</f>
        <v>0</v>
      </c>
      <c r="U44" s="254">
        <f>+[15]cons!T44</f>
        <v>0</v>
      </c>
      <c r="V44" s="323">
        <f>+[15]cons!U44</f>
        <v>0</v>
      </c>
      <c r="W44" s="254">
        <f>+[15]cons!V44</f>
        <v>0</v>
      </c>
      <c r="X44" s="323">
        <f>+[15]cons!W44</f>
        <v>0</v>
      </c>
      <c r="Y44" s="254">
        <f>+[15]cons!X44</f>
        <v>0</v>
      </c>
      <c r="Z44" s="323">
        <f>+[15]cons!Y44</f>
        <v>0</v>
      </c>
      <c r="AA44" s="254">
        <f>+[15]cons!Z44</f>
        <v>0</v>
      </c>
      <c r="AB44" s="323">
        <f>+[15]cons!AA44</f>
        <v>0</v>
      </c>
      <c r="AC44" s="254">
        <f>+[15]cons!AB44</f>
        <v>0</v>
      </c>
      <c r="AD44" s="323">
        <f>+[15]cons!AC44</f>
        <v>0</v>
      </c>
    </row>
    <row r="45" spans="1:30" s="94" customFormat="1">
      <c r="A45" s="874" t="s">
        <v>1290</v>
      </c>
      <c r="B45" s="369">
        <f t="shared" si="3"/>
        <v>24</v>
      </c>
      <c r="C45" s="368">
        <f t="shared" si="6"/>
        <v>0</v>
      </c>
      <c r="D45" s="368">
        <f t="shared" si="7"/>
        <v>24</v>
      </c>
      <c r="E45" s="254">
        <f>+[15]cons!D45</f>
        <v>0</v>
      </c>
      <c r="F45" s="323">
        <f>+[15]cons!E45</f>
        <v>0</v>
      </c>
      <c r="G45" s="254">
        <f>+[15]cons!F45</f>
        <v>0</v>
      </c>
      <c r="H45" s="323">
        <f>+[15]cons!G45</f>
        <v>23</v>
      </c>
      <c r="I45" s="254">
        <f>+[15]cons!H45</f>
        <v>0</v>
      </c>
      <c r="J45" s="323">
        <f>+[15]cons!I45</f>
        <v>0</v>
      </c>
      <c r="K45" s="254">
        <f>+[15]cons!J45</f>
        <v>0</v>
      </c>
      <c r="L45" s="323">
        <f>+[15]cons!K45</f>
        <v>0</v>
      </c>
      <c r="M45" s="254">
        <f>+[15]cons!L45</f>
        <v>0</v>
      </c>
      <c r="N45" s="323">
        <f>+[15]cons!M45</f>
        <v>0</v>
      </c>
      <c r="O45" s="254">
        <f>+[15]cons!N45</f>
        <v>0</v>
      </c>
      <c r="P45" s="323">
        <f>+[15]cons!O45</f>
        <v>0</v>
      </c>
      <c r="Q45" s="254">
        <f>+[15]cons!P45</f>
        <v>0</v>
      </c>
      <c r="R45" s="323">
        <f>+[15]cons!Q45</f>
        <v>0</v>
      </c>
      <c r="S45" s="254">
        <f>+[15]cons!R45</f>
        <v>0</v>
      </c>
      <c r="T45" s="323">
        <f>+[15]cons!S45</f>
        <v>1</v>
      </c>
      <c r="U45" s="254">
        <f>+[15]cons!T45</f>
        <v>0</v>
      </c>
      <c r="V45" s="323">
        <f>+[15]cons!U45</f>
        <v>0</v>
      </c>
      <c r="W45" s="254">
        <f>+[15]cons!V45</f>
        <v>0</v>
      </c>
      <c r="X45" s="323">
        <f>+[15]cons!W45</f>
        <v>0</v>
      </c>
      <c r="Y45" s="254">
        <f>+[15]cons!X45</f>
        <v>0</v>
      </c>
      <c r="Z45" s="323">
        <f>+[15]cons!Y45</f>
        <v>0</v>
      </c>
      <c r="AA45" s="254">
        <f>+[15]cons!Z45</f>
        <v>0</v>
      </c>
      <c r="AB45" s="323">
        <f>+[15]cons!AA45</f>
        <v>0</v>
      </c>
      <c r="AC45" s="254">
        <f>+[15]cons!AB45</f>
        <v>0</v>
      </c>
      <c r="AD45" s="323">
        <f>+[15]cons!AC45</f>
        <v>0</v>
      </c>
    </row>
    <row r="46" spans="1:30" s="94" customFormat="1">
      <c r="A46" s="874" t="s">
        <v>1383</v>
      </c>
      <c r="B46" s="369">
        <f t="shared" si="3"/>
        <v>947</v>
      </c>
      <c r="C46" s="368">
        <f t="shared" si="6"/>
        <v>11</v>
      </c>
      <c r="D46" s="368">
        <f t="shared" si="7"/>
        <v>936</v>
      </c>
      <c r="E46" s="254">
        <f>+[15]cons!D46</f>
        <v>0</v>
      </c>
      <c r="F46" s="323">
        <f>+[15]cons!E46</f>
        <v>75</v>
      </c>
      <c r="G46" s="254">
        <f>+[15]cons!F46</f>
        <v>0</v>
      </c>
      <c r="H46" s="323">
        <f>+[15]cons!G46</f>
        <v>77</v>
      </c>
      <c r="I46" s="254">
        <f>+[15]cons!H46</f>
        <v>0</v>
      </c>
      <c r="J46" s="323">
        <f>+[15]cons!I46</f>
        <v>53</v>
      </c>
      <c r="K46" s="254">
        <f>+[15]cons!J46</f>
        <v>2</v>
      </c>
      <c r="L46" s="323">
        <f>+[15]cons!K46</f>
        <v>34</v>
      </c>
      <c r="M46" s="254">
        <f>+[15]cons!L46</f>
        <v>0</v>
      </c>
      <c r="N46" s="323">
        <f>+[15]cons!M46</f>
        <v>56</v>
      </c>
      <c r="O46" s="254">
        <f>+[15]cons!N46</f>
        <v>0</v>
      </c>
      <c r="P46" s="323">
        <f>+[15]cons!O46</f>
        <v>34</v>
      </c>
      <c r="Q46" s="254">
        <f>+[15]cons!P46</f>
        <v>3</v>
      </c>
      <c r="R46" s="323">
        <f>+[15]cons!Q46</f>
        <v>118</v>
      </c>
      <c r="S46" s="254">
        <f>+[15]cons!R46</f>
        <v>1</v>
      </c>
      <c r="T46" s="323">
        <f>+[15]cons!S46</f>
        <v>166</v>
      </c>
      <c r="U46" s="254">
        <f>+[15]cons!T46</f>
        <v>0</v>
      </c>
      <c r="V46" s="323">
        <f>+[15]cons!U46</f>
        <v>56</v>
      </c>
      <c r="W46" s="254">
        <f>+[15]cons!V46</f>
        <v>0</v>
      </c>
      <c r="X46" s="323">
        <f>+[15]cons!W46</f>
        <v>103</v>
      </c>
      <c r="Y46" s="254">
        <f>+[15]cons!X46</f>
        <v>2</v>
      </c>
      <c r="Z46" s="323">
        <f>+[15]cons!Y46</f>
        <v>32</v>
      </c>
      <c r="AA46" s="254">
        <f>+[15]cons!Z46</f>
        <v>2</v>
      </c>
      <c r="AB46" s="323">
        <f>+[15]cons!AA46</f>
        <v>65</v>
      </c>
      <c r="AC46" s="254">
        <f>+[15]cons!AB46</f>
        <v>1</v>
      </c>
      <c r="AD46" s="323">
        <f>+[15]cons!AC46</f>
        <v>67</v>
      </c>
    </row>
    <row r="47" spans="1:30" s="94" customFormat="1">
      <c r="A47" s="874" t="s">
        <v>1384</v>
      </c>
      <c r="B47" s="369">
        <f t="shared" si="3"/>
        <v>0</v>
      </c>
      <c r="C47" s="368">
        <f t="shared" si="6"/>
        <v>0</v>
      </c>
      <c r="D47" s="368">
        <f t="shared" si="7"/>
        <v>0</v>
      </c>
      <c r="E47" s="254">
        <f>+[15]cons!D47</f>
        <v>0</v>
      </c>
      <c r="F47" s="323">
        <f>+[15]cons!E47</f>
        <v>0</v>
      </c>
      <c r="G47" s="254">
        <f>+[15]cons!F47</f>
        <v>0</v>
      </c>
      <c r="H47" s="323">
        <f>+[15]cons!G47</f>
        <v>0</v>
      </c>
      <c r="I47" s="254">
        <f>+[15]cons!H47</f>
        <v>0</v>
      </c>
      <c r="J47" s="323">
        <f>+[15]cons!I47</f>
        <v>0</v>
      </c>
      <c r="K47" s="254">
        <f>+[15]cons!J47</f>
        <v>0</v>
      </c>
      <c r="L47" s="323">
        <f>+[15]cons!K47</f>
        <v>0</v>
      </c>
      <c r="M47" s="254">
        <f>+[15]cons!L47</f>
        <v>0</v>
      </c>
      <c r="N47" s="323">
        <f>+[15]cons!M47</f>
        <v>0</v>
      </c>
      <c r="O47" s="254">
        <f>+[15]cons!N47</f>
        <v>0</v>
      </c>
      <c r="P47" s="323">
        <f>+[15]cons!O47</f>
        <v>0</v>
      </c>
      <c r="Q47" s="254">
        <f>+[15]cons!P47</f>
        <v>0</v>
      </c>
      <c r="R47" s="323">
        <f>+[15]cons!Q47</f>
        <v>0</v>
      </c>
      <c r="S47" s="254">
        <f>+[15]cons!R47</f>
        <v>0</v>
      </c>
      <c r="T47" s="323">
        <f>+[15]cons!S47</f>
        <v>0</v>
      </c>
      <c r="U47" s="254">
        <f>+[15]cons!T47</f>
        <v>0</v>
      </c>
      <c r="V47" s="323">
        <f>+[15]cons!U47</f>
        <v>0</v>
      </c>
      <c r="W47" s="254">
        <f>+[15]cons!V47</f>
        <v>0</v>
      </c>
      <c r="X47" s="323">
        <f>+[15]cons!W47</f>
        <v>0</v>
      </c>
      <c r="Y47" s="254">
        <f>+[15]cons!X47</f>
        <v>0</v>
      </c>
      <c r="Z47" s="323">
        <f>+[15]cons!Y47</f>
        <v>0</v>
      </c>
      <c r="AA47" s="254">
        <f>+[15]cons!Z47</f>
        <v>0</v>
      </c>
      <c r="AB47" s="323">
        <f>+[15]cons!AA47</f>
        <v>0</v>
      </c>
      <c r="AC47" s="254">
        <f>+[15]cons!AB47</f>
        <v>0</v>
      </c>
      <c r="AD47" s="323">
        <f>+[15]cons!AC47</f>
        <v>0</v>
      </c>
    </row>
    <row r="48" spans="1:30" s="94" customFormat="1">
      <c r="A48" s="874" t="s">
        <v>1291</v>
      </c>
      <c r="B48" s="369">
        <f t="shared" si="3"/>
        <v>2</v>
      </c>
      <c r="C48" s="368">
        <f t="shared" si="6"/>
        <v>0</v>
      </c>
      <c r="D48" s="368">
        <f t="shared" si="7"/>
        <v>2</v>
      </c>
      <c r="E48" s="254">
        <f>+[15]cons!D48</f>
        <v>0</v>
      </c>
      <c r="F48" s="323">
        <f>+[15]cons!E48</f>
        <v>0</v>
      </c>
      <c r="G48" s="254">
        <f>+[15]cons!F48</f>
        <v>0</v>
      </c>
      <c r="H48" s="323">
        <f>+[15]cons!G48</f>
        <v>0</v>
      </c>
      <c r="I48" s="254">
        <f>+[15]cons!H48</f>
        <v>0</v>
      </c>
      <c r="J48" s="323">
        <f>+[15]cons!I48</f>
        <v>0</v>
      </c>
      <c r="K48" s="254">
        <f>+[15]cons!J48</f>
        <v>0</v>
      </c>
      <c r="L48" s="323">
        <f>+[15]cons!K48</f>
        <v>0</v>
      </c>
      <c r="M48" s="254">
        <f>+[15]cons!L48</f>
        <v>0</v>
      </c>
      <c r="N48" s="323">
        <f>+[15]cons!M48</f>
        <v>0</v>
      </c>
      <c r="O48" s="254">
        <f>+[15]cons!N48</f>
        <v>0</v>
      </c>
      <c r="P48" s="323">
        <f>+[15]cons!O48</f>
        <v>2</v>
      </c>
      <c r="Q48" s="254">
        <f>+[15]cons!P48</f>
        <v>0</v>
      </c>
      <c r="R48" s="323">
        <f>+[15]cons!Q48</f>
        <v>0</v>
      </c>
      <c r="S48" s="254">
        <f>+[15]cons!R48</f>
        <v>0</v>
      </c>
      <c r="T48" s="323">
        <f>+[15]cons!S48</f>
        <v>0</v>
      </c>
      <c r="U48" s="254">
        <f>+[15]cons!T48</f>
        <v>0</v>
      </c>
      <c r="V48" s="323">
        <f>+[15]cons!U48</f>
        <v>0</v>
      </c>
      <c r="W48" s="254">
        <f>+[15]cons!V48</f>
        <v>0</v>
      </c>
      <c r="X48" s="323">
        <f>+[15]cons!W48</f>
        <v>0</v>
      </c>
      <c r="Y48" s="254">
        <f>+[15]cons!X48</f>
        <v>0</v>
      </c>
      <c r="Z48" s="323">
        <f>+[15]cons!Y48</f>
        <v>0</v>
      </c>
      <c r="AA48" s="254">
        <f>+[15]cons!Z48</f>
        <v>0</v>
      </c>
      <c r="AB48" s="323">
        <f>+[15]cons!AA48</f>
        <v>0</v>
      </c>
      <c r="AC48" s="254">
        <f>+[15]cons!AB48</f>
        <v>0</v>
      </c>
      <c r="AD48" s="323">
        <f>+[15]cons!AC48</f>
        <v>0</v>
      </c>
    </row>
    <row r="49" spans="1:30" s="94" customFormat="1">
      <c r="A49" s="874" t="s">
        <v>1385</v>
      </c>
      <c r="B49" s="369">
        <f t="shared" si="3"/>
        <v>572</v>
      </c>
      <c r="C49" s="368">
        <f t="shared" si="6"/>
        <v>7</v>
      </c>
      <c r="D49" s="368">
        <f t="shared" si="7"/>
        <v>565</v>
      </c>
      <c r="E49" s="254">
        <f>+[15]cons!D49</f>
        <v>0</v>
      </c>
      <c r="F49" s="323">
        <f>+[15]cons!E49</f>
        <v>51</v>
      </c>
      <c r="G49" s="254">
        <f>+[15]cons!F49</f>
        <v>0</v>
      </c>
      <c r="H49" s="323">
        <f>+[15]cons!G49</f>
        <v>143</v>
      </c>
      <c r="I49" s="254">
        <f>+[15]cons!H49</f>
        <v>0</v>
      </c>
      <c r="J49" s="323">
        <f>+[15]cons!I49</f>
        <v>85</v>
      </c>
      <c r="K49" s="254">
        <f>+[15]cons!J49</f>
        <v>6</v>
      </c>
      <c r="L49" s="323">
        <f>+[15]cons!K49</f>
        <v>38</v>
      </c>
      <c r="M49" s="254">
        <f>+[15]cons!L49</f>
        <v>0</v>
      </c>
      <c r="N49" s="323">
        <f>+[15]cons!M49</f>
        <v>84</v>
      </c>
      <c r="O49" s="254">
        <f>+[15]cons!N49</f>
        <v>0</v>
      </c>
      <c r="P49" s="323">
        <f>+[15]cons!O49</f>
        <v>0</v>
      </c>
      <c r="Q49" s="254">
        <f>+[15]cons!P49</f>
        <v>1</v>
      </c>
      <c r="R49" s="323">
        <f>+[15]cons!Q49</f>
        <v>100</v>
      </c>
      <c r="S49" s="254">
        <f>+[15]cons!R49</f>
        <v>0</v>
      </c>
      <c r="T49" s="323">
        <f>+[15]cons!S49</f>
        <v>0</v>
      </c>
      <c r="U49" s="254">
        <f>+[15]cons!T49</f>
        <v>0</v>
      </c>
      <c r="V49" s="323">
        <f>+[15]cons!U49</f>
        <v>11</v>
      </c>
      <c r="W49" s="254">
        <f>+[15]cons!V49</f>
        <v>0</v>
      </c>
      <c r="X49" s="323">
        <f>+[15]cons!W49</f>
        <v>49</v>
      </c>
      <c r="Y49" s="254">
        <f>+[15]cons!X49</f>
        <v>0</v>
      </c>
      <c r="Z49" s="323">
        <f>+[15]cons!Y49</f>
        <v>0</v>
      </c>
      <c r="AA49" s="254">
        <f>+[15]cons!Z49</f>
        <v>0</v>
      </c>
      <c r="AB49" s="323">
        <f>+[15]cons!AA49</f>
        <v>4</v>
      </c>
      <c r="AC49" s="254">
        <f>+[15]cons!AB49</f>
        <v>0</v>
      </c>
      <c r="AD49" s="323">
        <f>+[15]cons!AC49</f>
        <v>0</v>
      </c>
    </row>
    <row r="50" spans="1:30" s="94" customFormat="1">
      <c r="A50" s="874" t="s">
        <v>1386</v>
      </c>
      <c r="B50" s="369">
        <f t="shared" si="3"/>
        <v>7</v>
      </c>
      <c r="C50" s="368">
        <f t="shared" si="6"/>
        <v>7</v>
      </c>
      <c r="D50" s="368">
        <f t="shared" si="7"/>
        <v>0</v>
      </c>
      <c r="E50" s="254">
        <f>+[15]cons!D50</f>
        <v>0</v>
      </c>
      <c r="F50" s="323">
        <f>+[15]cons!E50</f>
        <v>0</v>
      </c>
      <c r="G50" s="254">
        <f>+[15]cons!F50</f>
        <v>0</v>
      </c>
      <c r="H50" s="323">
        <f>+[15]cons!G50</f>
        <v>0</v>
      </c>
      <c r="I50" s="254">
        <f>+[15]cons!H50</f>
        <v>1</v>
      </c>
      <c r="J50" s="323">
        <f>+[15]cons!I50</f>
        <v>0</v>
      </c>
      <c r="K50" s="254">
        <f>+[15]cons!J50</f>
        <v>3</v>
      </c>
      <c r="L50" s="323">
        <f>+[15]cons!K50</f>
        <v>0</v>
      </c>
      <c r="M50" s="254">
        <f>+[15]cons!L50</f>
        <v>1</v>
      </c>
      <c r="N50" s="323">
        <f>+[15]cons!M50</f>
        <v>0</v>
      </c>
      <c r="O50" s="254">
        <f>+[15]cons!N50</f>
        <v>0</v>
      </c>
      <c r="P50" s="323">
        <f>+[15]cons!O50</f>
        <v>0</v>
      </c>
      <c r="Q50" s="254">
        <f>+[15]cons!P50</f>
        <v>1</v>
      </c>
      <c r="R50" s="323">
        <f>+[15]cons!Q50</f>
        <v>0</v>
      </c>
      <c r="S50" s="254">
        <f>+[15]cons!R50</f>
        <v>0</v>
      </c>
      <c r="T50" s="323">
        <f>+[15]cons!S50</f>
        <v>0</v>
      </c>
      <c r="U50" s="254">
        <f>+[15]cons!T50</f>
        <v>1</v>
      </c>
      <c r="V50" s="323">
        <f>+[15]cons!U50</f>
        <v>0</v>
      </c>
      <c r="W50" s="254">
        <f>+[15]cons!V50</f>
        <v>0</v>
      </c>
      <c r="X50" s="323">
        <f>+[15]cons!W50</f>
        <v>0</v>
      </c>
      <c r="Y50" s="254">
        <f>+[15]cons!X50</f>
        <v>0</v>
      </c>
      <c r="Z50" s="323">
        <f>+[15]cons!Y50</f>
        <v>0</v>
      </c>
      <c r="AA50" s="254">
        <f>+[15]cons!Z50</f>
        <v>0</v>
      </c>
      <c r="AB50" s="323">
        <f>+[15]cons!AA50</f>
        <v>0</v>
      </c>
      <c r="AC50" s="254">
        <f>+[15]cons!AB50</f>
        <v>0</v>
      </c>
      <c r="AD50" s="323">
        <f>+[15]cons!AC50</f>
        <v>0</v>
      </c>
    </row>
    <row r="51" spans="1:30" s="94" customFormat="1">
      <c r="A51" s="874" t="s">
        <v>1452</v>
      </c>
      <c r="B51" s="369">
        <f t="shared" si="3"/>
        <v>1276</v>
      </c>
      <c r="C51" s="368">
        <f t="shared" si="6"/>
        <v>6</v>
      </c>
      <c r="D51" s="368">
        <f t="shared" si="7"/>
        <v>1270</v>
      </c>
      <c r="E51" s="254">
        <f>+[15]cons!D51</f>
        <v>0</v>
      </c>
      <c r="F51" s="323">
        <f>+[15]cons!E51</f>
        <v>16</v>
      </c>
      <c r="G51" s="254">
        <f>+[15]cons!F51</f>
        <v>0</v>
      </c>
      <c r="H51" s="323">
        <f>+[15]cons!G51</f>
        <v>356</v>
      </c>
      <c r="I51" s="254">
        <f>+[15]cons!H51</f>
        <v>0</v>
      </c>
      <c r="J51" s="323">
        <f>+[15]cons!I51</f>
        <v>168</v>
      </c>
      <c r="K51" s="254">
        <f>+[15]cons!J51</f>
        <v>6</v>
      </c>
      <c r="L51" s="323">
        <f>+[15]cons!K51</f>
        <v>124</v>
      </c>
      <c r="M51" s="254">
        <f>+[15]cons!L51</f>
        <v>0</v>
      </c>
      <c r="N51" s="323">
        <f>+[15]cons!M51</f>
        <v>119</v>
      </c>
      <c r="O51" s="254">
        <f>+[15]cons!N51</f>
        <v>0</v>
      </c>
      <c r="P51" s="323">
        <f>+[15]cons!O51</f>
        <v>3</v>
      </c>
      <c r="Q51" s="254">
        <f>+[15]cons!P51</f>
        <v>0</v>
      </c>
      <c r="R51" s="323">
        <f>+[15]cons!Q51</f>
        <v>59</v>
      </c>
      <c r="S51" s="254">
        <f>+[15]cons!R51</f>
        <v>0</v>
      </c>
      <c r="T51" s="323">
        <f>+[15]cons!S51</f>
        <v>62</v>
      </c>
      <c r="U51" s="254">
        <f>+[15]cons!T51</f>
        <v>0</v>
      </c>
      <c r="V51" s="323">
        <f>+[15]cons!U51</f>
        <v>129</v>
      </c>
      <c r="W51" s="254">
        <f>+[15]cons!V51</f>
        <v>0</v>
      </c>
      <c r="X51" s="323">
        <f>+[15]cons!W51</f>
        <v>200</v>
      </c>
      <c r="Y51" s="254">
        <f>+[15]cons!X51</f>
        <v>0</v>
      </c>
      <c r="Z51" s="323">
        <f>+[15]cons!Y51</f>
        <v>0</v>
      </c>
      <c r="AA51" s="254">
        <f>+[15]cons!Z51</f>
        <v>0</v>
      </c>
      <c r="AB51" s="323">
        <f>+[15]cons!AA51</f>
        <v>34</v>
      </c>
      <c r="AC51" s="254">
        <f>+[15]cons!AB51</f>
        <v>0</v>
      </c>
      <c r="AD51" s="323">
        <f>+[15]cons!AC51</f>
        <v>0</v>
      </c>
    </row>
    <row r="52" spans="1:30" s="94" customFormat="1">
      <c r="A52" s="874" t="s">
        <v>1387</v>
      </c>
      <c r="B52" s="369">
        <f t="shared" si="3"/>
        <v>6271</v>
      </c>
      <c r="C52" s="368">
        <f t="shared" si="6"/>
        <v>841</v>
      </c>
      <c r="D52" s="368">
        <f t="shared" si="7"/>
        <v>5430</v>
      </c>
      <c r="E52" s="254">
        <f>+[15]cons!D52</f>
        <v>111</v>
      </c>
      <c r="F52" s="323">
        <f>+[15]cons!E52</f>
        <v>648</v>
      </c>
      <c r="G52" s="254">
        <f>+[15]cons!F52</f>
        <v>2</v>
      </c>
      <c r="H52" s="323">
        <f>+[15]cons!G52</f>
        <v>463</v>
      </c>
      <c r="I52" s="254">
        <f>+[15]cons!H52</f>
        <v>28</v>
      </c>
      <c r="J52" s="323">
        <f>+[15]cons!I52</f>
        <v>265</v>
      </c>
      <c r="K52" s="254">
        <f>+[15]cons!J52</f>
        <v>21</v>
      </c>
      <c r="L52" s="323">
        <f>+[15]cons!K52</f>
        <v>347</v>
      </c>
      <c r="M52" s="254">
        <f>+[15]cons!L52</f>
        <v>0</v>
      </c>
      <c r="N52" s="323">
        <f>+[15]cons!M52</f>
        <v>404</v>
      </c>
      <c r="O52" s="254">
        <f>+[15]cons!N52</f>
        <v>33</v>
      </c>
      <c r="P52" s="323">
        <f>+[15]cons!O52</f>
        <v>115</v>
      </c>
      <c r="Q52" s="254">
        <f>+[15]cons!P52</f>
        <v>106</v>
      </c>
      <c r="R52" s="323">
        <f>+[15]cons!Q52</f>
        <v>620</v>
      </c>
      <c r="S52" s="254">
        <f>+[15]cons!R52</f>
        <v>203</v>
      </c>
      <c r="T52" s="323">
        <f>+[15]cons!S52</f>
        <v>810</v>
      </c>
      <c r="U52" s="254">
        <f>+[15]cons!T52</f>
        <v>58</v>
      </c>
      <c r="V52" s="323">
        <f>+[15]cons!U52</f>
        <v>330</v>
      </c>
      <c r="W52" s="254">
        <f>+[15]cons!V52</f>
        <v>90</v>
      </c>
      <c r="X52" s="323">
        <f>+[15]cons!W52</f>
        <v>513</v>
      </c>
      <c r="Y52" s="254">
        <f>+[15]cons!X52</f>
        <v>20</v>
      </c>
      <c r="Z52" s="323">
        <f>+[15]cons!Y52</f>
        <v>97</v>
      </c>
      <c r="AA52" s="254">
        <f>+[15]cons!Z52</f>
        <v>119</v>
      </c>
      <c r="AB52" s="323">
        <f>+[15]cons!AA52</f>
        <v>458</v>
      </c>
      <c r="AC52" s="254">
        <f>+[15]cons!AB52</f>
        <v>50</v>
      </c>
      <c r="AD52" s="323">
        <f>+[15]cons!AC52</f>
        <v>360</v>
      </c>
    </row>
    <row r="53" spans="1:30" s="94" customFormat="1">
      <c r="A53" s="874" t="s">
        <v>1388</v>
      </c>
      <c r="B53" s="369">
        <f t="shared" si="3"/>
        <v>2712</v>
      </c>
      <c r="C53" s="368">
        <f t="shared" si="6"/>
        <v>520</v>
      </c>
      <c r="D53" s="368">
        <f t="shared" si="7"/>
        <v>2192</v>
      </c>
      <c r="E53" s="254">
        <f>+[15]cons!D53</f>
        <v>25</v>
      </c>
      <c r="F53" s="323">
        <f>+[15]cons!E53</f>
        <v>223</v>
      </c>
      <c r="G53" s="254">
        <f>+[15]cons!F53</f>
        <v>6</v>
      </c>
      <c r="H53" s="323">
        <f>+[15]cons!G53</f>
        <v>233</v>
      </c>
      <c r="I53" s="254">
        <f>+[15]cons!H53</f>
        <v>21</v>
      </c>
      <c r="J53" s="323">
        <f>+[15]cons!I53</f>
        <v>158</v>
      </c>
      <c r="K53" s="254">
        <f>+[15]cons!J53</f>
        <v>43</v>
      </c>
      <c r="L53" s="323">
        <f>+[15]cons!K53</f>
        <v>53</v>
      </c>
      <c r="M53" s="254">
        <f>+[15]cons!L53</f>
        <v>5</v>
      </c>
      <c r="N53" s="323">
        <f>+[15]cons!M53</f>
        <v>124</v>
      </c>
      <c r="O53" s="254">
        <f>+[15]cons!N53</f>
        <v>11</v>
      </c>
      <c r="P53" s="323">
        <f>+[15]cons!O53</f>
        <v>56</v>
      </c>
      <c r="Q53" s="254">
        <f>+[15]cons!P53</f>
        <v>68</v>
      </c>
      <c r="R53" s="323">
        <f>+[15]cons!Q53</f>
        <v>270</v>
      </c>
      <c r="S53" s="254">
        <f>+[15]cons!R53</f>
        <v>132</v>
      </c>
      <c r="T53" s="323">
        <f>+[15]cons!S53</f>
        <v>347</v>
      </c>
      <c r="U53" s="254">
        <f>+[15]cons!T53</f>
        <v>31</v>
      </c>
      <c r="V53" s="323">
        <f>+[15]cons!U53</f>
        <v>94</v>
      </c>
      <c r="W53" s="254">
        <f>+[15]cons!V53</f>
        <v>66</v>
      </c>
      <c r="X53" s="323">
        <f>+[15]cons!W53</f>
        <v>242</v>
      </c>
      <c r="Y53" s="254">
        <f>+[15]cons!X53</f>
        <v>20</v>
      </c>
      <c r="Z53" s="323">
        <f>+[15]cons!Y53</f>
        <v>50</v>
      </c>
      <c r="AA53" s="254">
        <f>+[15]cons!Z53</f>
        <v>39</v>
      </c>
      <c r="AB53" s="323">
        <f>+[15]cons!AA53</f>
        <v>161</v>
      </c>
      <c r="AC53" s="254">
        <f>+[15]cons!AB53</f>
        <v>53</v>
      </c>
      <c r="AD53" s="323">
        <f>+[15]cons!AC53</f>
        <v>181</v>
      </c>
    </row>
    <row r="54" spans="1:30" s="94" customFormat="1">
      <c r="A54" s="874" t="s">
        <v>1389</v>
      </c>
      <c r="B54" s="369">
        <f t="shared" si="3"/>
        <v>452</v>
      </c>
      <c r="C54" s="368">
        <f t="shared" si="6"/>
        <v>389</v>
      </c>
      <c r="D54" s="368">
        <f t="shared" si="7"/>
        <v>63</v>
      </c>
      <c r="E54" s="254">
        <f>+[15]cons!D54</f>
        <v>19</v>
      </c>
      <c r="F54" s="323">
        <f>+[15]cons!E54</f>
        <v>0</v>
      </c>
      <c r="G54" s="254">
        <f>+[15]cons!F54</f>
        <v>20</v>
      </c>
      <c r="H54" s="323">
        <f>+[15]cons!G54</f>
        <v>0</v>
      </c>
      <c r="I54" s="254">
        <f>+[15]cons!H54</f>
        <v>40</v>
      </c>
      <c r="J54" s="323">
        <f>+[15]cons!I54</f>
        <v>0</v>
      </c>
      <c r="K54" s="254">
        <f>+[15]cons!J54</f>
        <v>26</v>
      </c>
      <c r="L54" s="323">
        <f>+[15]cons!K54</f>
        <v>1</v>
      </c>
      <c r="M54" s="254">
        <f>+[15]cons!L54</f>
        <v>23</v>
      </c>
      <c r="N54" s="323">
        <f>+[15]cons!M54</f>
        <v>0</v>
      </c>
      <c r="O54" s="254">
        <f>+[15]cons!N54</f>
        <v>5</v>
      </c>
      <c r="P54" s="323">
        <f>+[15]cons!O54</f>
        <v>0</v>
      </c>
      <c r="Q54" s="254">
        <f>+[15]cons!P54</f>
        <v>70</v>
      </c>
      <c r="R54" s="323">
        <f>+[15]cons!Q54</f>
        <v>1</v>
      </c>
      <c r="S54" s="254">
        <f>+[15]cons!R54</f>
        <v>60</v>
      </c>
      <c r="T54" s="323">
        <f>+[15]cons!S54</f>
        <v>0</v>
      </c>
      <c r="U54" s="254">
        <f>+[15]cons!T54</f>
        <v>30</v>
      </c>
      <c r="V54" s="323">
        <f>+[15]cons!U54</f>
        <v>0</v>
      </c>
      <c r="W54" s="254">
        <f>+[15]cons!V54</f>
        <v>18</v>
      </c>
      <c r="X54" s="323">
        <f>+[15]cons!W54</f>
        <v>59</v>
      </c>
      <c r="Y54" s="254">
        <f>+[15]cons!X54</f>
        <v>16</v>
      </c>
      <c r="Z54" s="323">
        <f>+[15]cons!Y54</f>
        <v>0</v>
      </c>
      <c r="AA54" s="254">
        <f>+[15]cons!Z54</f>
        <v>37</v>
      </c>
      <c r="AB54" s="323">
        <f>+[15]cons!AA54</f>
        <v>2</v>
      </c>
      <c r="AC54" s="254">
        <f>+[15]cons!AB54</f>
        <v>25</v>
      </c>
      <c r="AD54" s="323">
        <f>+[15]cons!AC54</f>
        <v>0</v>
      </c>
    </row>
    <row r="55" spans="1:30" s="94" customFormat="1">
      <c r="A55" s="874" t="s">
        <v>1453</v>
      </c>
      <c r="B55" s="369">
        <f t="shared" si="3"/>
        <v>2145</v>
      </c>
      <c r="C55" s="368">
        <f t="shared" si="6"/>
        <v>46</v>
      </c>
      <c r="D55" s="368">
        <f t="shared" si="7"/>
        <v>2099</v>
      </c>
      <c r="E55" s="254">
        <f>+[15]cons!D55</f>
        <v>0</v>
      </c>
      <c r="F55" s="323">
        <f>+[15]cons!E55</f>
        <v>206</v>
      </c>
      <c r="G55" s="254">
        <f>+[15]cons!F55</f>
        <v>0</v>
      </c>
      <c r="H55" s="323">
        <f>+[15]cons!G55</f>
        <v>207</v>
      </c>
      <c r="I55" s="254">
        <f>+[15]cons!H55</f>
        <v>0</v>
      </c>
      <c r="J55" s="323">
        <f>+[15]cons!I55</f>
        <v>113</v>
      </c>
      <c r="K55" s="254">
        <f>+[15]cons!J55</f>
        <v>7</v>
      </c>
      <c r="L55" s="323">
        <f>+[15]cons!K55</f>
        <v>80</v>
      </c>
      <c r="M55" s="254">
        <f>+[15]cons!L55</f>
        <v>0</v>
      </c>
      <c r="N55" s="323">
        <f>+[15]cons!M55</f>
        <v>104</v>
      </c>
      <c r="O55" s="254">
        <f>+[15]cons!N55</f>
        <v>3</v>
      </c>
      <c r="P55" s="323">
        <f>+[15]cons!O55</f>
        <v>66</v>
      </c>
      <c r="Q55" s="254">
        <f>+[15]cons!P55</f>
        <v>0</v>
      </c>
      <c r="R55" s="323">
        <f>+[15]cons!Q55</f>
        <v>223</v>
      </c>
      <c r="S55" s="254">
        <f>+[15]cons!R55</f>
        <v>0</v>
      </c>
      <c r="T55" s="323">
        <f>+[15]cons!S55</f>
        <v>436</v>
      </c>
      <c r="U55" s="254">
        <f>+[15]cons!T55</f>
        <v>0</v>
      </c>
      <c r="V55" s="323">
        <f>+[15]cons!U55</f>
        <v>153</v>
      </c>
      <c r="W55" s="254">
        <f>+[15]cons!V55</f>
        <v>36</v>
      </c>
      <c r="X55" s="323">
        <f>+[15]cons!W55</f>
        <v>160</v>
      </c>
      <c r="Y55" s="254">
        <f>+[15]cons!X55</f>
        <v>0</v>
      </c>
      <c r="Z55" s="323">
        <f>+[15]cons!Y55</f>
        <v>65</v>
      </c>
      <c r="AA55" s="254">
        <f>+[15]cons!Z55</f>
        <v>0</v>
      </c>
      <c r="AB55" s="323">
        <f>+[15]cons!AA55</f>
        <v>132</v>
      </c>
      <c r="AC55" s="254">
        <f>+[15]cons!AB55</f>
        <v>0</v>
      </c>
      <c r="AD55" s="323">
        <f>+[15]cons!AC55</f>
        <v>154</v>
      </c>
    </row>
    <row r="56" spans="1:30" s="94" customFormat="1">
      <c r="A56" s="874" t="s">
        <v>1390</v>
      </c>
      <c r="B56" s="369">
        <f t="shared" si="3"/>
        <v>39</v>
      </c>
      <c r="C56" s="368">
        <f t="shared" si="6"/>
        <v>6</v>
      </c>
      <c r="D56" s="368">
        <f t="shared" si="7"/>
        <v>33</v>
      </c>
      <c r="E56" s="254">
        <f>+[15]cons!D56</f>
        <v>0</v>
      </c>
      <c r="F56" s="323">
        <f>+[15]cons!E56</f>
        <v>0</v>
      </c>
      <c r="G56" s="254">
        <f>+[15]cons!F56</f>
        <v>0</v>
      </c>
      <c r="H56" s="323">
        <f>+[15]cons!G56</f>
        <v>0</v>
      </c>
      <c r="I56" s="254">
        <f>+[15]cons!H56</f>
        <v>1</v>
      </c>
      <c r="J56" s="323">
        <f>+[15]cons!I56</f>
        <v>0</v>
      </c>
      <c r="K56" s="254">
        <f>+[15]cons!J56</f>
        <v>0</v>
      </c>
      <c r="L56" s="323">
        <f>+[15]cons!K56</f>
        <v>4</v>
      </c>
      <c r="M56" s="254">
        <f>+[15]cons!L56</f>
        <v>0</v>
      </c>
      <c r="N56" s="323">
        <f>+[15]cons!M56</f>
        <v>0</v>
      </c>
      <c r="O56" s="254">
        <f>+[15]cons!N56</f>
        <v>0</v>
      </c>
      <c r="P56" s="323">
        <f>+[15]cons!O56</f>
        <v>0</v>
      </c>
      <c r="Q56" s="254">
        <f>+[15]cons!P56</f>
        <v>0</v>
      </c>
      <c r="R56" s="323">
        <f>+[15]cons!Q56</f>
        <v>0</v>
      </c>
      <c r="S56" s="254">
        <f>+[15]cons!R56</f>
        <v>1</v>
      </c>
      <c r="T56" s="323">
        <f>+[15]cons!S56</f>
        <v>28</v>
      </c>
      <c r="U56" s="254">
        <f>+[15]cons!T56</f>
        <v>0</v>
      </c>
      <c r="V56" s="323">
        <f>+[15]cons!U56</f>
        <v>0</v>
      </c>
      <c r="W56" s="254">
        <f>+[15]cons!V56</f>
        <v>3</v>
      </c>
      <c r="X56" s="323">
        <f>+[15]cons!W56</f>
        <v>0</v>
      </c>
      <c r="Y56" s="254">
        <f>+[15]cons!X56</f>
        <v>0</v>
      </c>
      <c r="Z56" s="323">
        <f>+[15]cons!Y56</f>
        <v>0</v>
      </c>
      <c r="AA56" s="254">
        <f>+[15]cons!Z56</f>
        <v>1</v>
      </c>
      <c r="AB56" s="323">
        <f>+[15]cons!AA56</f>
        <v>1</v>
      </c>
      <c r="AC56" s="254">
        <f>+[15]cons!AB56</f>
        <v>0</v>
      </c>
      <c r="AD56" s="323">
        <f>+[15]cons!AC56</f>
        <v>0</v>
      </c>
    </row>
    <row r="57" spans="1:30" s="94" customFormat="1">
      <c r="A57" s="874" t="s">
        <v>1454</v>
      </c>
      <c r="B57" s="369">
        <f t="shared" si="3"/>
        <v>1315</v>
      </c>
      <c r="C57" s="368">
        <f t="shared" si="6"/>
        <v>2</v>
      </c>
      <c r="D57" s="368">
        <f t="shared" si="7"/>
        <v>1313</v>
      </c>
      <c r="E57" s="254">
        <f>+[15]cons!D57</f>
        <v>0</v>
      </c>
      <c r="F57" s="323">
        <f>+[15]cons!E57</f>
        <v>126</v>
      </c>
      <c r="G57" s="254">
        <f>+[15]cons!F57</f>
        <v>0</v>
      </c>
      <c r="H57" s="323">
        <f>+[15]cons!G57</f>
        <v>125</v>
      </c>
      <c r="I57" s="254">
        <f>+[15]cons!H57</f>
        <v>0</v>
      </c>
      <c r="J57" s="323">
        <f>+[15]cons!I57</f>
        <v>66</v>
      </c>
      <c r="K57" s="254">
        <f>+[15]cons!J57</f>
        <v>1</v>
      </c>
      <c r="L57" s="323">
        <f>+[15]cons!K57</f>
        <v>31</v>
      </c>
      <c r="M57" s="254">
        <f>+[15]cons!L57</f>
        <v>0</v>
      </c>
      <c r="N57" s="323">
        <f>+[15]cons!M57</f>
        <v>80</v>
      </c>
      <c r="O57" s="254">
        <f>+[15]cons!N57</f>
        <v>0</v>
      </c>
      <c r="P57" s="323">
        <f>+[15]cons!O57</f>
        <v>37</v>
      </c>
      <c r="Q57" s="254">
        <f>+[15]cons!P57</f>
        <v>0</v>
      </c>
      <c r="R57" s="323">
        <f>+[15]cons!Q57</f>
        <v>178</v>
      </c>
      <c r="S57" s="254">
        <f>+[15]cons!R57</f>
        <v>0</v>
      </c>
      <c r="T57" s="323">
        <f>+[15]cons!S57</f>
        <v>208</v>
      </c>
      <c r="U57" s="254">
        <f>+[15]cons!T57</f>
        <v>0</v>
      </c>
      <c r="V57" s="323">
        <f>+[15]cons!U57</f>
        <v>58</v>
      </c>
      <c r="W57" s="254">
        <f>+[15]cons!V57</f>
        <v>1</v>
      </c>
      <c r="X57" s="323">
        <f>+[15]cons!W57</f>
        <v>166</v>
      </c>
      <c r="Y57" s="254">
        <f>+[15]cons!X57</f>
        <v>0</v>
      </c>
      <c r="Z57" s="323">
        <f>+[15]cons!Y57</f>
        <v>52</v>
      </c>
      <c r="AA57" s="254">
        <f>+[15]cons!Z57</f>
        <v>0</v>
      </c>
      <c r="AB57" s="323">
        <f>+[15]cons!AA57</f>
        <v>102</v>
      </c>
      <c r="AC57" s="254">
        <f>+[15]cons!AB57</f>
        <v>0</v>
      </c>
      <c r="AD57" s="323">
        <f>+[15]cons!AC57</f>
        <v>84</v>
      </c>
    </row>
    <row r="58" spans="1:30" s="94" customFormat="1">
      <c r="A58" s="874" t="s">
        <v>1391</v>
      </c>
      <c r="B58" s="369">
        <f t="shared" si="3"/>
        <v>0</v>
      </c>
      <c r="C58" s="368">
        <f t="shared" si="6"/>
        <v>0</v>
      </c>
      <c r="D58" s="368">
        <f t="shared" si="7"/>
        <v>0</v>
      </c>
      <c r="E58" s="254">
        <f>+[15]cons!D58</f>
        <v>0</v>
      </c>
      <c r="F58" s="323">
        <f>+[15]cons!E58</f>
        <v>0</v>
      </c>
      <c r="G58" s="254">
        <f>+[15]cons!F58</f>
        <v>0</v>
      </c>
      <c r="H58" s="323">
        <f>+[15]cons!G58</f>
        <v>0</v>
      </c>
      <c r="I58" s="254">
        <f>+[15]cons!H58</f>
        <v>0</v>
      </c>
      <c r="J58" s="323">
        <f>+[15]cons!I58</f>
        <v>0</v>
      </c>
      <c r="K58" s="254">
        <f>+[15]cons!J58</f>
        <v>0</v>
      </c>
      <c r="L58" s="323">
        <f>+[15]cons!K58</f>
        <v>0</v>
      </c>
      <c r="M58" s="254">
        <f>+[15]cons!L58</f>
        <v>0</v>
      </c>
      <c r="N58" s="323">
        <f>+[15]cons!M58</f>
        <v>0</v>
      </c>
      <c r="O58" s="254">
        <f>+[15]cons!N58</f>
        <v>0</v>
      </c>
      <c r="P58" s="323">
        <f>+[15]cons!O58</f>
        <v>0</v>
      </c>
      <c r="Q58" s="254">
        <f>+[15]cons!P58</f>
        <v>0</v>
      </c>
      <c r="R58" s="323">
        <f>+[15]cons!Q58</f>
        <v>0</v>
      </c>
      <c r="S58" s="254">
        <f>+[15]cons!R58</f>
        <v>0</v>
      </c>
      <c r="T58" s="323">
        <f>+[15]cons!S58</f>
        <v>0</v>
      </c>
      <c r="U58" s="254">
        <f>+[15]cons!T58</f>
        <v>0</v>
      </c>
      <c r="V58" s="323">
        <f>+[15]cons!U58</f>
        <v>0</v>
      </c>
      <c r="W58" s="254">
        <f>+[15]cons!V58</f>
        <v>0</v>
      </c>
      <c r="X58" s="323">
        <f>+[15]cons!W58</f>
        <v>0</v>
      </c>
      <c r="Y58" s="254">
        <f>+[15]cons!X58</f>
        <v>0</v>
      </c>
      <c r="Z58" s="323">
        <f>+[15]cons!Y58</f>
        <v>0</v>
      </c>
      <c r="AA58" s="254">
        <f>+[15]cons!Z58</f>
        <v>0</v>
      </c>
      <c r="AB58" s="323">
        <f>+[15]cons!AA58</f>
        <v>0</v>
      </c>
      <c r="AC58" s="254">
        <f>+[15]cons!AB58</f>
        <v>0</v>
      </c>
      <c r="AD58" s="323">
        <f>+[15]cons!AC58</f>
        <v>0</v>
      </c>
    </row>
    <row r="59" spans="1:30" s="94" customFormat="1">
      <c r="A59" s="874" t="s">
        <v>1392</v>
      </c>
      <c r="B59" s="369">
        <f t="shared" si="3"/>
        <v>7</v>
      </c>
      <c r="C59" s="368">
        <f t="shared" si="6"/>
        <v>0</v>
      </c>
      <c r="D59" s="368">
        <f t="shared" si="7"/>
        <v>7</v>
      </c>
      <c r="E59" s="254">
        <f>+[15]cons!D59</f>
        <v>0</v>
      </c>
      <c r="F59" s="323">
        <f>+[15]cons!E59</f>
        <v>0</v>
      </c>
      <c r="G59" s="254">
        <f>+[15]cons!F59</f>
        <v>0</v>
      </c>
      <c r="H59" s="323">
        <f>+[15]cons!G59</f>
        <v>0</v>
      </c>
      <c r="I59" s="254">
        <f>+[15]cons!H59</f>
        <v>0</v>
      </c>
      <c r="J59" s="323">
        <f>+[15]cons!I59</f>
        <v>0</v>
      </c>
      <c r="K59" s="254">
        <f>+[15]cons!J59</f>
        <v>0</v>
      </c>
      <c r="L59" s="323">
        <f>+[15]cons!K59</f>
        <v>0</v>
      </c>
      <c r="M59" s="254">
        <f>+[15]cons!L59</f>
        <v>0</v>
      </c>
      <c r="N59" s="323">
        <f>+[15]cons!M59</f>
        <v>3</v>
      </c>
      <c r="O59" s="254">
        <f>+[15]cons!N59</f>
        <v>0</v>
      </c>
      <c r="P59" s="323">
        <f>+[15]cons!O59</f>
        <v>0</v>
      </c>
      <c r="Q59" s="254">
        <f>+[15]cons!P59</f>
        <v>0</v>
      </c>
      <c r="R59" s="323">
        <f>+[15]cons!Q59</f>
        <v>0</v>
      </c>
      <c r="S59" s="254">
        <f>+[15]cons!R59</f>
        <v>0</v>
      </c>
      <c r="T59" s="323">
        <f>+[15]cons!S59</f>
        <v>0</v>
      </c>
      <c r="U59" s="254">
        <f>+[15]cons!T59</f>
        <v>0</v>
      </c>
      <c r="V59" s="323">
        <f>+[15]cons!U59</f>
        <v>1</v>
      </c>
      <c r="W59" s="254">
        <f>+[15]cons!V59</f>
        <v>0</v>
      </c>
      <c r="X59" s="323">
        <f>+[15]cons!W59</f>
        <v>0</v>
      </c>
      <c r="Y59" s="254">
        <f>+[15]cons!X59</f>
        <v>0</v>
      </c>
      <c r="Z59" s="323">
        <f>+[15]cons!Y59</f>
        <v>0</v>
      </c>
      <c r="AA59" s="254">
        <f>+[15]cons!Z59</f>
        <v>0</v>
      </c>
      <c r="AB59" s="323">
        <f>+[15]cons!AA59</f>
        <v>0</v>
      </c>
      <c r="AC59" s="254">
        <f>+[15]cons!AB59</f>
        <v>0</v>
      </c>
      <c r="AD59" s="323">
        <f>+[15]cons!AC59</f>
        <v>3</v>
      </c>
    </row>
    <row r="60" spans="1:30" s="94" customFormat="1">
      <c r="A60" s="874" t="s">
        <v>1455</v>
      </c>
      <c r="B60" s="369">
        <f t="shared" ref="B60:B65" si="8">SUM(C60:D60)</f>
        <v>2</v>
      </c>
      <c r="C60" s="368">
        <f t="shared" si="6"/>
        <v>0</v>
      </c>
      <c r="D60" s="368">
        <f t="shared" si="7"/>
        <v>2</v>
      </c>
      <c r="E60" s="254">
        <f>+[15]cons!D60</f>
        <v>0</v>
      </c>
      <c r="F60" s="323">
        <f>+[15]cons!E60</f>
        <v>0</v>
      </c>
      <c r="G60" s="254">
        <f>+[15]cons!F60</f>
        <v>0</v>
      </c>
      <c r="H60" s="323">
        <f>+[15]cons!G60</f>
        <v>0</v>
      </c>
      <c r="I60" s="254">
        <f>+[15]cons!H60</f>
        <v>0</v>
      </c>
      <c r="J60" s="323">
        <f>+[15]cons!I60</f>
        <v>0</v>
      </c>
      <c r="K60" s="254">
        <f>+[15]cons!J60</f>
        <v>0</v>
      </c>
      <c r="L60" s="323">
        <f>+[15]cons!K60</f>
        <v>2</v>
      </c>
      <c r="M60" s="254">
        <f>+[15]cons!L60</f>
        <v>0</v>
      </c>
      <c r="N60" s="323">
        <f>+[15]cons!M60</f>
        <v>0</v>
      </c>
      <c r="O60" s="254">
        <f>+[15]cons!N60</f>
        <v>0</v>
      </c>
      <c r="P60" s="323">
        <f>+[15]cons!O60</f>
        <v>0</v>
      </c>
      <c r="Q60" s="254">
        <f>+[15]cons!P60</f>
        <v>0</v>
      </c>
      <c r="R60" s="323">
        <f>+[15]cons!Q60</f>
        <v>0</v>
      </c>
      <c r="S60" s="254">
        <f>+[15]cons!R60</f>
        <v>0</v>
      </c>
      <c r="T60" s="323">
        <f>+[15]cons!S60</f>
        <v>0</v>
      </c>
      <c r="U60" s="254">
        <f>+[15]cons!T60</f>
        <v>0</v>
      </c>
      <c r="V60" s="323">
        <f>+[15]cons!U60</f>
        <v>0</v>
      </c>
      <c r="W60" s="254">
        <f>+[15]cons!V60</f>
        <v>0</v>
      </c>
      <c r="X60" s="323">
        <f>+[15]cons!W60</f>
        <v>0</v>
      </c>
      <c r="Y60" s="254">
        <f>+[15]cons!X60</f>
        <v>0</v>
      </c>
      <c r="Z60" s="323">
        <f>+[15]cons!Y60</f>
        <v>0</v>
      </c>
      <c r="AA60" s="254">
        <f>+[15]cons!Z60</f>
        <v>0</v>
      </c>
      <c r="AB60" s="323">
        <f>+[15]cons!AA60</f>
        <v>0</v>
      </c>
      <c r="AC60" s="254">
        <f>+[15]cons!AB60</f>
        <v>0</v>
      </c>
      <c r="AD60" s="323">
        <f>+[15]cons!AC60</f>
        <v>0</v>
      </c>
    </row>
    <row r="61" spans="1:30" s="94" customFormat="1">
      <c r="A61" s="874" t="s">
        <v>1393</v>
      </c>
      <c r="B61" s="369">
        <f t="shared" si="8"/>
        <v>13</v>
      </c>
      <c r="C61" s="368">
        <f t="shared" ref="C61:D65" si="9">+E61+G61+I61+K61+M61+O61+Q61+S61+U61+W61+Y61+AA61+AC61</f>
        <v>1</v>
      </c>
      <c r="D61" s="368">
        <f t="shared" si="9"/>
        <v>12</v>
      </c>
      <c r="E61" s="254">
        <f>+[15]cons!D61</f>
        <v>0</v>
      </c>
      <c r="F61" s="323">
        <f>+[15]cons!E61</f>
        <v>0</v>
      </c>
      <c r="G61" s="254">
        <f>+[15]cons!F61</f>
        <v>0</v>
      </c>
      <c r="H61" s="323">
        <f>+[15]cons!G61</f>
        <v>0</v>
      </c>
      <c r="I61" s="254">
        <f>+[15]cons!H61</f>
        <v>0</v>
      </c>
      <c r="J61" s="323">
        <f>+[15]cons!I61</f>
        <v>0</v>
      </c>
      <c r="K61" s="254">
        <f>+[15]cons!J61</f>
        <v>0</v>
      </c>
      <c r="L61" s="323">
        <f>+[15]cons!K61</f>
        <v>2</v>
      </c>
      <c r="M61" s="254">
        <f>+[15]cons!L61</f>
        <v>0</v>
      </c>
      <c r="N61" s="323">
        <f>+[15]cons!M61</f>
        <v>0</v>
      </c>
      <c r="O61" s="254">
        <f>+[15]cons!N61</f>
        <v>0</v>
      </c>
      <c r="P61" s="323">
        <f>+[15]cons!O61</f>
        <v>0</v>
      </c>
      <c r="Q61" s="254">
        <f>+[15]cons!P61</f>
        <v>0</v>
      </c>
      <c r="R61" s="323">
        <f>+[15]cons!Q61</f>
        <v>0</v>
      </c>
      <c r="S61" s="254">
        <f>+[15]cons!R61</f>
        <v>0</v>
      </c>
      <c r="T61" s="323">
        <f>+[15]cons!S61</f>
        <v>0</v>
      </c>
      <c r="U61" s="254">
        <f>+[15]cons!T61</f>
        <v>0</v>
      </c>
      <c r="V61" s="323">
        <f>+[15]cons!U61</f>
        <v>0</v>
      </c>
      <c r="W61" s="254">
        <f>+[15]cons!V61</f>
        <v>0</v>
      </c>
      <c r="X61" s="323">
        <f>+[15]cons!W61</f>
        <v>0</v>
      </c>
      <c r="Y61" s="254">
        <f>+[15]cons!X61</f>
        <v>0</v>
      </c>
      <c r="Z61" s="323">
        <f>+[15]cons!Y61</f>
        <v>0</v>
      </c>
      <c r="AA61" s="254">
        <f>+[15]cons!Z61</f>
        <v>1</v>
      </c>
      <c r="AB61" s="323">
        <f>+[15]cons!AA61</f>
        <v>6</v>
      </c>
      <c r="AC61" s="254">
        <f>+[15]cons!AB61</f>
        <v>0</v>
      </c>
      <c r="AD61" s="323">
        <f>+[15]cons!AC61</f>
        <v>4</v>
      </c>
    </row>
    <row r="62" spans="1:30">
      <c r="A62" s="906" t="s">
        <v>1394</v>
      </c>
      <c r="B62" s="369">
        <f t="shared" si="8"/>
        <v>0</v>
      </c>
      <c r="C62" s="368">
        <f t="shared" si="9"/>
        <v>0</v>
      </c>
      <c r="D62" s="368">
        <f t="shared" si="9"/>
        <v>0</v>
      </c>
      <c r="E62" s="254">
        <f>+[15]cons!D62</f>
        <v>0</v>
      </c>
      <c r="F62" s="323">
        <f>+[15]cons!E62</f>
        <v>0</v>
      </c>
      <c r="G62" s="254">
        <f>+[15]cons!F62</f>
        <v>0</v>
      </c>
      <c r="H62" s="323">
        <f>+[15]cons!G62</f>
        <v>0</v>
      </c>
      <c r="I62" s="254">
        <f>+[15]cons!H62</f>
        <v>0</v>
      </c>
      <c r="J62" s="323">
        <f>+[15]cons!I62</f>
        <v>0</v>
      </c>
      <c r="K62" s="254">
        <f>+[15]cons!J62</f>
        <v>0</v>
      </c>
      <c r="L62" s="323">
        <f>+[15]cons!K62</f>
        <v>0</v>
      </c>
      <c r="M62" s="254">
        <f>+[15]cons!L62</f>
        <v>0</v>
      </c>
      <c r="N62" s="323">
        <f>+[15]cons!M62</f>
        <v>0</v>
      </c>
      <c r="O62" s="254">
        <f>+[15]cons!N62</f>
        <v>0</v>
      </c>
      <c r="P62" s="323">
        <f>+[15]cons!O62</f>
        <v>0</v>
      </c>
      <c r="Q62" s="254">
        <f>+[15]cons!P62</f>
        <v>0</v>
      </c>
      <c r="R62" s="323">
        <f>+[15]cons!Q62</f>
        <v>0</v>
      </c>
      <c r="S62" s="254">
        <f>+[15]cons!R62</f>
        <v>0</v>
      </c>
      <c r="T62" s="323">
        <f>+[15]cons!S62</f>
        <v>0</v>
      </c>
      <c r="U62" s="254">
        <f>+[15]cons!T62</f>
        <v>0</v>
      </c>
      <c r="V62" s="323">
        <f>+[15]cons!U62</f>
        <v>0</v>
      </c>
      <c r="W62" s="254">
        <f>+[15]cons!V62</f>
        <v>0</v>
      </c>
      <c r="X62" s="323">
        <f>+[15]cons!W62</f>
        <v>0</v>
      </c>
      <c r="Y62" s="254">
        <f>+[15]cons!X62</f>
        <v>0</v>
      </c>
      <c r="Z62" s="323">
        <f>+[15]cons!Y62</f>
        <v>0</v>
      </c>
      <c r="AA62" s="254">
        <f>+[15]cons!Z62</f>
        <v>0</v>
      </c>
      <c r="AB62" s="323">
        <f>+[15]cons!AA62</f>
        <v>0</v>
      </c>
      <c r="AC62" s="254">
        <f>+[15]cons!AB62</f>
        <v>0</v>
      </c>
      <c r="AD62" s="323">
        <f>+[15]cons!AC62</f>
        <v>0</v>
      </c>
    </row>
    <row r="63" spans="1:30">
      <c r="A63" s="907" t="s">
        <v>1456</v>
      </c>
      <c r="B63" s="369">
        <f t="shared" si="8"/>
        <v>0</v>
      </c>
      <c r="C63" s="368">
        <f t="shared" si="9"/>
        <v>0</v>
      </c>
      <c r="D63" s="368">
        <f t="shared" si="9"/>
        <v>0</v>
      </c>
      <c r="E63" s="254">
        <f>+[15]cons!D63</f>
        <v>0</v>
      </c>
      <c r="F63" s="323">
        <f>+[15]cons!E63</f>
        <v>0</v>
      </c>
      <c r="G63" s="254">
        <f>+[15]cons!F63</f>
        <v>0</v>
      </c>
      <c r="H63" s="323">
        <f>+[15]cons!G63</f>
        <v>0</v>
      </c>
      <c r="I63" s="254">
        <f>+[15]cons!H63</f>
        <v>0</v>
      </c>
      <c r="J63" s="323">
        <f>+[15]cons!I63</f>
        <v>0</v>
      </c>
      <c r="K63" s="254">
        <f>+[15]cons!J63</f>
        <v>0</v>
      </c>
      <c r="L63" s="323">
        <f>+[15]cons!K63</f>
        <v>0</v>
      </c>
      <c r="M63" s="254">
        <f>+[15]cons!L63</f>
        <v>0</v>
      </c>
      <c r="N63" s="323">
        <f>+[15]cons!M63</f>
        <v>0</v>
      </c>
      <c r="O63" s="254">
        <f>+[15]cons!N63</f>
        <v>0</v>
      </c>
      <c r="P63" s="323">
        <f>+[15]cons!O63</f>
        <v>0</v>
      </c>
      <c r="Q63" s="254">
        <f>+[15]cons!P63</f>
        <v>0</v>
      </c>
      <c r="R63" s="323">
        <f>+[15]cons!Q63</f>
        <v>0</v>
      </c>
      <c r="S63" s="254">
        <f>+[15]cons!R63</f>
        <v>0</v>
      </c>
      <c r="T63" s="323">
        <f>+[15]cons!S63</f>
        <v>0</v>
      </c>
      <c r="U63" s="254">
        <f>+[15]cons!T63</f>
        <v>0</v>
      </c>
      <c r="V63" s="323">
        <f>+[15]cons!U63</f>
        <v>0</v>
      </c>
      <c r="W63" s="254">
        <f>+[15]cons!V63</f>
        <v>0</v>
      </c>
      <c r="X63" s="323">
        <f>+[15]cons!W63</f>
        <v>0</v>
      </c>
      <c r="Y63" s="254">
        <f>+[15]cons!X63</f>
        <v>0</v>
      </c>
      <c r="Z63" s="323">
        <f>+[15]cons!Y63</f>
        <v>0</v>
      </c>
      <c r="AA63" s="254">
        <f>+[15]cons!Z63</f>
        <v>0</v>
      </c>
      <c r="AB63" s="323">
        <f>+[15]cons!AA63</f>
        <v>0</v>
      </c>
      <c r="AC63" s="254">
        <f>+[15]cons!AB63</f>
        <v>0</v>
      </c>
      <c r="AD63" s="323">
        <f>+[15]cons!AC63</f>
        <v>0</v>
      </c>
    </row>
    <row r="64" spans="1:30">
      <c r="A64" s="907" t="s">
        <v>1457</v>
      </c>
      <c r="B64" s="369">
        <f t="shared" si="8"/>
        <v>0</v>
      </c>
      <c r="C64" s="368">
        <f t="shared" si="9"/>
        <v>0</v>
      </c>
      <c r="D64" s="368">
        <f t="shared" si="9"/>
        <v>0</v>
      </c>
      <c r="E64" s="254">
        <f>+[15]cons!D64</f>
        <v>0</v>
      </c>
      <c r="F64" s="323">
        <f>+[15]cons!E64</f>
        <v>0</v>
      </c>
      <c r="G64" s="254">
        <f>+[15]cons!F64</f>
        <v>0</v>
      </c>
      <c r="H64" s="323">
        <f>+[15]cons!G64</f>
        <v>0</v>
      </c>
      <c r="I64" s="254">
        <f>+[15]cons!H64</f>
        <v>0</v>
      </c>
      <c r="J64" s="323">
        <f>+[15]cons!I64</f>
        <v>0</v>
      </c>
      <c r="K64" s="254">
        <f>+[15]cons!J64</f>
        <v>0</v>
      </c>
      <c r="L64" s="323">
        <f>+[15]cons!K64</f>
        <v>0</v>
      </c>
      <c r="M64" s="254">
        <f>+[15]cons!L64</f>
        <v>0</v>
      </c>
      <c r="N64" s="323">
        <f>+[15]cons!M64</f>
        <v>0</v>
      </c>
      <c r="O64" s="254">
        <f>+[15]cons!N64</f>
        <v>0</v>
      </c>
      <c r="P64" s="323">
        <f>+[15]cons!O64</f>
        <v>0</v>
      </c>
      <c r="Q64" s="254">
        <f>+[15]cons!P64</f>
        <v>0</v>
      </c>
      <c r="R64" s="323">
        <f>+[15]cons!Q64</f>
        <v>0</v>
      </c>
      <c r="S64" s="254">
        <f>+[15]cons!R64</f>
        <v>0</v>
      </c>
      <c r="T64" s="323">
        <f>+[15]cons!S64</f>
        <v>0</v>
      </c>
      <c r="U64" s="254">
        <f>+[15]cons!T64</f>
        <v>0</v>
      </c>
      <c r="V64" s="323">
        <f>+[15]cons!U64</f>
        <v>0</v>
      </c>
      <c r="W64" s="254">
        <f>+[15]cons!V64</f>
        <v>0</v>
      </c>
      <c r="X64" s="323">
        <f>+[15]cons!W64</f>
        <v>0</v>
      </c>
      <c r="Y64" s="254">
        <f>+[15]cons!X64</f>
        <v>0</v>
      </c>
      <c r="Z64" s="323">
        <f>+[15]cons!Y64</f>
        <v>0</v>
      </c>
      <c r="AA64" s="254">
        <f>+[15]cons!Z64</f>
        <v>0</v>
      </c>
      <c r="AB64" s="323">
        <f>+[15]cons!AA64</f>
        <v>0</v>
      </c>
      <c r="AC64" s="254">
        <f>+[15]cons!AB64</f>
        <v>0</v>
      </c>
      <c r="AD64" s="323">
        <f>+[15]cons!AC64</f>
        <v>0</v>
      </c>
    </row>
    <row r="65" spans="1:30">
      <c r="A65" s="1307" t="s">
        <v>474</v>
      </c>
      <c r="B65" s="1308">
        <f t="shared" si="8"/>
        <v>29358</v>
      </c>
      <c r="C65" s="1309">
        <f t="shared" si="9"/>
        <v>4552</v>
      </c>
      <c r="D65" s="1309">
        <f t="shared" si="9"/>
        <v>24806</v>
      </c>
      <c r="E65" s="1310">
        <f>SUM(E5:E64)</f>
        <v>287</v>
      </c>
      <c r="F65" s="1311">
        <f t="shared" ref="F65:AD65" si="10">SUM(F5:F64)</f>
        <v>2184</v>
      </c>
      <c r="G65" s="1310">
        <f t="shared" si="10"/>
        <v>285</v>
      </c>
      <c r="H65" s="1311">
        <f t="shared" si="10"/>
        <v>2628</v>
      </c>
      <c r="I65" s="1310">
        <f t="shared" si="10"/>
        <v>351</v>
      </c>
      <c r="J65" s="1311">
        <f t="shared" si="10"/>
        <v>1597</v>
      </c>
      <c r="K65" s="1310">
        <f t="shared" si="10"/>
        <v>315</v>
      </c>
      <c r="L65" s="1311">
        <f t="shared" si="10"/>
        <v>1293</v>
      </c>
      <c r="M65" s="1310">
        <f t="shared" si="10"/>
        <v>132</v>
      </c>
      <c r="N65" s="1311">
        <f t="shared" si="10"/>
        <v>1572</v>
      </c>
      <c r="O65" s="1310">
        <f t="shared" si="10"/>
        <v>113</v>
      </c>
      <c r="P65" s="1311">
        <f t="shared" si="10"/>
        <v>666</v>
      </c>
      <c r="Q65" s="1310">
        <f t="shared" si="10"/>
        <v>554</v>
      </c>
      <c r="R65" s="1311">
        <f t="shared" si="10"/>
        <v>2985</v>
      </c>
      <c r="S65" s="1310">
        <f t="shared" si="10"/>
        <v>1002</v>
      </c>
      <c r="T65" s="1311">
        <f t="shared" si="10"/>
        <v>3766</v>
      </c>
      <c r="U65" s="1310">
        <f t="shared" si="10"/>
        <v>240</v>
      </c>
      <c r="V65" s="1311">
        <f t="shared" si="10"/>
        <v>1364</v>
      </c>
      <c r="W65" s="1310">
        <f t="shared" si="10"/>
        <v>467</v>
      </c>
      <c r="X65" s="1311">
        <f t="shared" si="10"/>
        <v>2859</v>
      </c>
      <c r="Y65" s="1310">
        <f t="shared" si="10"/>
        <v>142</v>
      </c>
      <c r="Z65" s="1311">
        <f t="shared" si="10"/>
        <v>640</v>
      </c>
      <c r="AA65" s="1310">
        <f t="shared" si="10"/>
        <v>334</v>
      </c>
      <c r="AB65" s="1311">
        <f t="shared" si="10"/>
        <v>1671</v>
      </c>
      <c r="AC65" s="1310">
        <f t="shared" si="10"/>
        <v>330</v>
      </c>
      <c r="AD65" s="1311">
        <f t="shared" si="10"/>
        <v>1581</v>
      </c>
    </row>
    <row r="66" spans="1:30">
      <c r="A66" s="905"/>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255"/>
    </row>
    <row r="67" spans="1:30">
      <c r="A67" s="905"/>
      <c r="B67" s="255"/>
      <c r="C67" s="255"/>
      <c r="D67" s="255"/>
      <c r="E67" s="255"/>
      <c r="F67" s="255"/>
      <c r="G67" s="255"/>
      <c r="H67" s="255"/>
      <c r="I67" s="255"/>
      <c r="J67" s="255"/>
      <c r="K67" s="255"/>
      <c r="L67" s="255"/>
      <c r="M67" s="255"/>
      <c r="N67" s="255"/>
      <c r="O67" s="255"/>
      <c r="P67" s="255"/>
      <c r="Q67" s="255"/>
      <c r="R67" s="255"/>
      <c r="S67" s="255"/>
      <c r="T67" s="255"/>
      <c r="U67" s="255"/>
      <c r="V67" s="255"/>
      <c r="W67" s="255"/>
      <c r="X67" s="255"/>
      <c r="Y67" s="255"/>
      <c r="Z67" s="255"/>
      <c r="AA67" s="255"/>
      <c r="AB67" s="255"/>
      <c r="AC67" s="255"/>
      <c r="AD67" s="255"/>
    </row>
    <row r="69" spans="1:30">
      <c r="A69" s="631" t="s">
        <v>1067</v>
      </c>
    </row>
    <row r="70" spans="1:30">
      <c r="A70" s="627" t="s">
        <v>1064</v>
      </c>
      <c r="B70" s="367">
        <f>SUM(F70:AD70)</f>
        <v>1623</v>
      </c>
      <c r="C70" s="139"/>
      <c r="D70" s="179"/>
      <c r="E70" s="641"/>
      <c r="F70" s="642">
        <f>+[15]cons!E67</f>
        <v>169</v>
      </c>
      <c r="G70" s="641"/>
      <c r="H70" s="642">
        <f>+[15]cons!G67</f>
        <v>110</v>
      </c>
      <c r="I70" s="641"/>
      <c r="J70" s="642">
        <f>+[15]cons!I67</f>
        <v>35</v>
      </c>
      <c r="K70" s="641"/>
      <c r="L70" s="642">
        <f>+[15]cons!K67</f>
        <v>192</v>
      </c>
      <c r="M70" s="641"/>
      <c r="N70" s="642">
        <f>+[15]cons!M67</f>
        <v>108</v>
      </c>
      <c r="O70" s="641"/>
      <c r="P70" s="642">
        <f>+[15]cons!O67</f>
        <v>24</v>
      </c>
      <c r="Q70" s="641"/>
      <c r="R70" s="642">
        <f>+[15]cons!Q67</f>
        <v>28</v>
      </c>
      <c r="S70" s="641"/>
      <c r="T70" s="642">
        <f>+[15]cons!S67</f>
        <v>256</v>
      </c>
      <c r="U70" s="641"/>
      <c r="V70" s="642">
        <f>+[15]cons!U67</f>
        <v>114</v>
      </c>
      <c r="W70" s="641"/>
      <c r="X70" s="642">
        <f>+[15]cons!W67</f>
        <v>125</v>
      </c>
      <c r="Y70" s="641"/>
      <c r="Z70" s="642">
        <f>+[15]cons!Y67</f>
        <v>95</v>
      </c>
      <c r="AA70" s="641"/>
      <c r="AB70" s="642">
        <f>+[15]cons!AA67</f>
        <v>199</v>
      </c>
      <c r="AC70" s="641"/>
      <c r="AD70" s="642">
        <f>+[15]cons!AC67</f>
        <v>168</v>
      </c>
    </row>
    <row r="71" spans="1:30">
      <c r="A71" s="628" t="s">
        <v>1465</v>
      </c>
      <c r="B71" s="369">
        <f>SUM(F71:AD71)</f>
        <v>1933</v>
      </c>
      <c r="C71" s="231"/>
      <c r="E71" s="643"/>
      <c r="F71" s="644">
        <f>+[15]cons!E68</f>
        <v>354</v>
      </c>
      <c r="G71" s="643"/>
      <c r="H71" s="644">
        <f>+[15]cons!G68</f>
        <v>295</v>
      </c>
      <c r="I71" s="643"/>
      <c r="J71" s="644">
        <f>+[15]cons!I68</f>
        <v>33</v>
      </c>
      <c r="K71" s="643"/>
      <c r="L71" s="644">
        <f>+[15]cons!K68</f>
        <v>90</v>
      </c>
      <c r="M71" s="643"/>
      <c r="N71" s="644">
        <f>+[15]cons!M68</f>
        <v>96</v>
      </c>
      <c r="O71" s="643"/>
      <c r="P71" s="644">
        <f>+[15]cons!O68</f>
        <v>32</v>
      </c>
      <c r="Q71" s="643"/>
      <c r="R71" s="644">
        <f>+[15]cons!Q68</f>
        <v>6</v>
      </c>
      <c r="S71" s="643"/>
      <c r="T71" s="644">
        <f>+[15]cons!S68</f>
        <v>207</v>
      </c>
      <c r="U71" s="643"/>
      <c r="V71" s="644">
        <f>+[15]cons!U68</f>
        <v>89</v>
      </c>
      <c r="W71" s="643"/>
      <c r="X71" s="644">
        <f>+[15]cons!W68</f>
        <v>198</v>
      </c>
      <c r="Y71" s="643"/>
      <c r="Z71" s="644">
        <f>+[15]cons!Y68</f>
        <v>74</v>
      </c>
      <c r="AA71" s="643"/>
      <c r="AB71" s="644">
        <f>+[15]cons!AA68</f>
        <v>266</v>
      </c>
      <c r="AC71" s="643"/>
      <c r="AD71" s="644">
        <f>+[15]cons!AC68</f>
        <v>193</v>
      </c>
    </row>
    <row r="72" spans="1:30">
      <c r="A72" s="628" t="s">
        <v>1065</v>
      </c>
      <c r="B72" s="369">
        <f>SUM(F72:AD72)</f>
        <v>15</v>
      </c>
      <c r="C72" s="231"/>
      <c r="E72" s="643"/>
      <c r="F72" s="644">
        <f>+[15]cons!E69</f>
        <v>0</v>
      </c>
      <c r="G72" s="643"/>
      <c r="H72" s="644">
        <f>+[15]cons!G69</f>
        <v>0</v>
      </c>
      <c r="I72" s="643"/>
      <c r="J72" s="644">
        <f>+[15]cons!I69</f>
        <v>0</v>
      </c>
      <c r="K72" s="643"/>
      <c r="L72" s="644">
        <f>+[15]cons!K69</f>
        <v>0</v>
      </c>
      <c r="M72" s="643"/>
      <c r="N72" s="644">
        <f>+[15]cons!M69</f>
        <v>0</v>
      </c>
      <c r="O72" s="643"/>
      <c r="P72" s="644">
        <f>+[15]cons!O69</f>
        <v>0</v>
      </c>
      <c r="Q72" s="643"/>
      <c r="R72" s="644">
        <f>+[15]cons!Q69</f>
        <v>0</v>
      </c>
      <c r="S72" s="643"/>
      <c r="T72" s="644">
        <f>+[15]cons!S69</f>
        <v>1</v>
      </c>
      <c r="U72" s="643"/>
      <c r="V72" s="644">
        <f>+[15]cons!U69</f>
        <v>0</v>
      </c>
      <c r="W72" s="643"/>
      <c r="X72" s="644">
        <f>+[15]cons!W69</f>
        <v>1</v>
      </c>
      <c r="Y72" s="643"/>
      <c r="Z72" s="644">
        <f>+[15]cons!Y69</f>
        <v>13</v>
      </c>
      <c r="AA72" s="643"/>
      <c r="AB72" s="644">
        <f>+[15]cons!AA69</f>
        <v>0</v>
      </c>
      <c r="AC72" s="643"/>
      <c r="AD72" s="644">
        <f>+[15]cons!AC69</f>
        <v>0</v>
      </c>
    </row>
    <row r="73" spans="1:30" ht="21">
      <c r="A73" s="628" t="s">
        <v>1466</v>
      </c>
      <c r="B73" s="369">
        <f>SUM(F73:AD73)</f>
        <v>0</v>
      </c>
      <c r="C73" s="231"/>
      <c r="E73" s="643"/>
      <c r="F73" s="644">
        <f>+[15]cons!E70</f>
        <v>0</v>
      </c>
      <c r="G73" s="643"/>
      <c r="H73" s="644">
        <f>+[15]cons!G70</f>
        <v>0</v>
      </c>
      <c r="I73" s="643"/>
      <c r="J73" s="644">
        <f>+[15]cons!I70</f>
        <v>0</v>
      </c>
      <c r="K73" s="643"/>
      <c r="L73" s="644">
        <f>+[15]cons!K70</f>
        <v>0</v>
      </c>
      <c r="M73" s="643"/>
      <c r="N73" s="644">
        <f>+[15]cons!M70</f>
        <v>0</v>
      </c>
      <c r="O73" s="643"/>
      <c r="P73" s="644">
        <f>+[15]cons!O70</f>
        <v>0</v>
      </c>
      <c r="Q73" s="643"/>
      <c r="R73" s="644">
        <f>+[15]cons!Q70</f>
        <v>0</v>
      </c>
      <c r="S73" s="643"/>
      <c r="T73" s="644">
        <f>+[15]cons!S70</f>
        <v>0</v>
      </c>
      <c r="U73" s="643"/>
      <c r="V73" s="644">
        <f>+[15]cons!U70</f>
        <v>0</v>
      </c>
      <c r="W73" s="643"/>
      <c r="X73" s="644">
        <f>+[15]cons!W70</f>
        <v>0</v>
      </c>
      <c r="Y73" s="643"/>
      <c r="Z73" s="644">
        <f>+[15]cons!Y70</f>
        <v>0</v>
      </c>
      <c r="AA73" s="643"/>
      <c r="AB73" s="644">
        <f>+[15]cons!AA70</f>
        <v>0</v>
      </c>
      <c r="AC73" s="643"/>
      <c r="AD73" s="644">
        <f>+[15]cons!AC70</f>
        <v>0</v>
      </c>
    </row>
    <row r="74" spans="1:30">
      <c r="A74" s="628" t="s">
        <v>1467</v>
      </c>
      <c r="B74" s="369">
        <f t="shared" ref="B74:B84" si="11">SUM(F74:AD74)</f>
        <v>50</v>
      </c>
      <c r="C74" s="231"/>
      <c r="E74" s="643"/>
      <c r="F74" s="644">
        <f>+[15]cons!E71</f>
        <v>16</v>
      </c>
      <c r="G74" s="643"/>
      <c r="H74" s="644">
        <f>+[15]cons!G71</f>
        <v>16</v>
      </c>
      <c r="I74" s="643"/>
      <c r="J74" s="644">
        <f>+[15]cons!I71</f>
        <v>0</v>
      </c>
      <c r="K74" s="643"/>
      <c r="L74" s="644">
        <f>+[15]cons!K71</f>
        <v>0</v>
      </c>
      <c r="M74" s="643"/>
      <c r="N74" s="644">
        <f>+[15]cons!M71</f>
        <v>0</v>
      </c>
      <c r="O74" s="643"/>
      <c r="P74" s="644">
        <f>+[15]cons!O71</f>
        <v>1</v>
      </c>
      <c r="Q74" s="643"/>
      <c r="R74" s="644">
        <f>+[15]cons!Q71</f>
        <v>17</v>
      </c>
      <c r="S74" s="643"/>
      <c r="T74" s="644">
        <f>+[15]cons!S71</f>
        <v>0</v>
      </c>
      <c r="U74" s="643"/>
      <c r="V74" s="644">
        <f>+[15]cons!U71</f>
        <v>0</v>
      </c>
      <c r="W74" s="643"/>
      <c r="X74" s="644">
        <f>+[15]cons!W71</f>
        <v>0</v>
      </c>
      <c r="Y74" s="643"/>
      <c r="Z74" s="644">
        <f>+[15]cons!Y71</f>
        <v>0</v>
      </c>
      <c r="AA74" s="643"/>
      <c r="AB74" s="644">
        <f>+[15]cons!AA71</f>
        <v>0</v>
      </c>
      <c r="AC74" s="643"/>
      <c r="AD74" s="644">
        <f>+[15]cons!AC71</f>
        <v>0</v>
      </c>
    </row>
    <row r="75" spans="1:30" ht="21">
      <c r="A75" s="628" t="s">
        <v>1468</v>
      </c>
      <c r="B75" s="369">
        <f t="shared" si="11"/>
        <v>1307</v>
      </c>
      <c r="C75" s="231"/>
      <c r="E75" s="643"/>
      <c r="F75" s="644">
        <f>+[15]cons!E72</f>
        <v>154</v>
      </c>
      <c r="G75" s="643"/>
      <c r="H75" s="644">
        <f>+[15]cons!G72</f>
        <v>138</v>
      </c>
      <c r="I75" s="643"/>
      <c r="J75" s="644">
        <f>+[15]cons!I72</f>
        <v>29</v>
      </c>
      <c r="K75" s="643"/>
      <c r="L75" s="644">
        <f>+[15]cons!K72</f>
        <v>29</v>
      </c>
      <c r="M75" s="643"/>
      <c r="N75" s="644">
        <f>+[15]cons!M72</f>
        <v>60</v>
      </c>
      <c r="O75" s="643"/>
      <c r="P75" s="644">
        <f>+[15]cons!O72</f>
        <v>25</v>
      </c>
      <c r="Q75" s="643"/>
      <c r="R75" s="644">
        <f>+[15]cons!Q72</f>
        <v>101</v>
      </c>
      <c r="S75" s="643"/>
      <c r="T75" s="644">
        <f>+[15]cons!S72</f>
        <v>325</v>
      </c>
      <c r="U75" s="643"/>
      <c r="V75" s="644">
        <f>+[15]cons!U72</f>
        <v>51</v>
      </c>
      <c r="W75" s="643"/>
      <c r="X75" s="644">
        <f>+[15]cons!W72</f>
        <v>77</v>
      </c>
      <c r="Y75" s="643"/>
      <c r="Z75" s="644">
        <f>+[15]cons!Y72</f>
        <v>36</v>
      </c>
      <c r="AA75" s="643"/>
      <c r="AB75" s="644">
        <f>+[15]cons!AA72</f>
        <v>129</v>
      </c>
      <c r="AC75" s="643"/>
      <c r="AD75" s="644">
        <f>+[15]cons!AC72</f>
        <v>153</v>
      </c>
    </row>
    <row r="76" spans="1:30">
      <c r="A76" s="628" t="s">
        <v>1469</v>
      </c>
      <c r="B76" s="369">
        <f t="shared" si="11"/>
        <v>199</v>
      </c>
      <c r="C76" s="231"/>
      <c r="E76" s="643"/>
      <c r="F76" s="644">
        <f>+[15]cons!E73</f>
        <v>28</v>
      </c>
      <c r="G76" s="643"/>
      <c r="H76" s="644">
        <f>+[15]cons!G73</f>
        <v>25</v>
      </c>
      <c r="I76" s="643"/>
      <c r="J76" s="644">
        <f>+[15]cons!I73</f>
        <v>4</v>
      </c>
      <c r="K76" s="643"/>
      <c r="L76" s="644">
        <f>+[15]cons!K73</f>
        <v>17</v>
      </c>
      <c r="M76" s="643"/>
      <c r="N76" s="644">
        <f>+[15]cons!M73</f>
        <v>13</v>
      </c>
      <c r="O76" s="643"/>
      <c r="P76" s="644">
        <f>+[15]cons!O73</f>
        <v>1</v>
      </c>
      <c r="Q76" s="643"/>
      <c r="R76" s="644">
        <f>+[15]cons!Q73</f>
        <v>14</v>
      </c>
      <c r="S76" s="643"/>
      <c r="T76" s="644">
        <f>+[15]cons!S73</f>
        <v>33</v>
      </c>
      <c r="U76" s="643"/>
      <c r="V76" s="644">
        <f>+[15]cons!U73</f>
        <v>2</v>
      </c>
      <c r="W76" s="643"/>
      <c r="X76" s="644">
        <f>+[15]cons!W73</f>
        <v>16</v>
      </c>
      <c r="Y76" s="643"/>
      <c r="Z76" s="644">
        <f>+[15]cons!Y73</f>
        <v>8</v>
      </c>
      <c r="AA76" s="643"/>
      <c r="AB76" s="644">
        <f>+[15]cons!AA73</f>
        <v>16</v>
      </c>
      <c r="AC76" s="643"/>
      <c r="AD76" s="644">
        <f>+[15]cons!AC73</f>
        <v>22</v>
      </c>
    </row>
    <row r="77" spans="1:30">
      <c r="A77" s="628" t="s">
        <v>1470</v>
      </c>
      <c r="B77" s="369">
        <f t="shared" si="11"/>
        <v>825</v>
      </c>
      <c r="C77" s="231"/>
      <c r="E77" s="643"/>
      <c r="F77" s="644">
        <f>+[15]cons!E74</f>
        <v>63</v>
      </c>
      <c r="G77" s="643"/>
      <c r="H77" s="644">
        <f>+[15]cons!G74</f>
        <v>115</v>
      </c>
      <c r="I77" s="643"/>
      <c r="J77" s="644">
        <f>+[15]cons!I74</f>
        <v>18</v>
      </c>
      <c r="K77" s="643"/>
      <c r="L77" s="644">
        <f>+[15]cons!K74</f>
        <v>43</v>
      </c>
      <c r="M77" s="643"/>
      <c r="N77" s="644">
        <f>+[15]cons!M74</f>
        <v>18</v>
      </c>
      <c r="O77" s="643"/>
      <c r="P77" s="644">
        <f>+[15]cons!O74</f>
        <v>9</v>
      </c>
      <c r="Q77" s="643"/>
      <c r="R77" s="644">
        <f>+[15]cons!Q74</f>
        <v>90</v>
      </c>
      <c r="S77" s="643"/>
      <c r="T77" s="644">
        <f>+[15]cons!S74</f>
        <v>154</v>
      </c>
      <c r="U77" s="643"/>
      <c r="V77" s="644">
        <f>+[15]cons!U74</f>
        <v>38</v>
      </c>
      <c r="W77" s="643"/>
      <c r="X77" s="644">
        <f>+[15]cons!W74</f>
        <v>116</v>
      </c>
      <c r="Y77" s="643"/>
      <c r="Z77" s="644">
        <f>+[15]cons!Y74</f>
        <v>9</v>
      </c>
      <c r="AA77" s="643"/>
      <c r="AB77" s="644">
        <f>+[15]cons!AA74</f>
        <v>62</v>
      </c>
      <c r="AC77" s="643"/>
      <c r="AD77" s="644">
        <f>+[15]cons!AC74</f>
        <v>90</v>
      </c>
    </row>
    <row r="78" spans="1:30" ht="21">
      <c r="A78" s="628" t="s">
        <v>1471</v>
      </c>
      <c r="B78" s="369">
        <f t="shared" si="11"/>
        <v>0</v>
      </c>
      <c r="C78" s="231"/>
      <c r="E78" s="643"/>
      <c r="F78" s="644">
        <f>+[15]cons!E75</f>
        <v>0</v>
      </c>
      <c r="G78" s="643"/>
      <c r="H78" s="644">
        <f>+[15]cons!G75</f>
        <v>0</v>
      </c>
      <c r="I78" s="643"/>
      <c r="J78" s="644">
        <f>+[15]cons!I75</f>
        <v>0</v>
      </c>
      <c r="K78" s="643"/>
      <c r="L78" s="644">
        <f>+[15]cons!K75</f>
        <v>0</v>
      </c>
      <c r="M78" s="643"/>
      <c r="N78" s="644">
        <f>+[15]cons!M75</f>
        <v>0</v>
      </c>
      <c r="O78" s="643"/>
      <c r="P78" s="644">
        <f>+[15]cons!O75</f>
        <v>0</v>
      </c>
      <c r="Q78" s="643"/>
      <c r="R78" s="644">
        <f>+[15]cons!Q75</f>
        <v>0</v>
      </c>
      <c r="S78" s="643"/>
      <c r="T78" s="644">
        <f>+[15]cons!S75</f>
        <v>0</v>
      </c>
      <c r="U78" s="643"/>
      <c r="V78" s="644">
        <f>+[15]cons!U75</f>
        <v>0</v>
      </c>
      <c r="W78" s="643"/>
      <c r="X78" s="644">
        <f>+[15]cons!W75</f>
        <v>0</v>
      </c>
      <c r="Y78" s="643"/>
      <c r="Z78" s="644">
        <f>+[15]cons!Y75</f>
        <v>0</v>
      </c>
      <c r="AA78" s="643"/>
      <c r="AB78" s="644">
        <f>+[15]cons!AA75</f>
        <v>0</v>
      </c>
      <c r="AC78" s="643"/>
      <c r="AD78" s="644">
        <f>+[15]cons!AC75</f>
        <v>0</v>
      </c>
    </row>
    <row r="79" spans="1:30">
      <c r="A79" s="628" t="s">
        <v>1066</v>
      </c>
      <c r="B79" s="369">
        <f t="shared" si="11"/>
        <v>567</v>
      </c>
      <c r="C79" s="231"/>
      <c r="E79" s="643"/>
      <c r="F79" s="644">
        <f>+[15]cons!E76</f>
        <v>84</v>
      </c>
      <c r="G79" s="643"/>
      <c r="H79" s="644">
        <f>+[15]cons!G76</f>
        <v>69</v>
      </c>
      <c r="I79" s="643"/>
      <c r="J79" s="644">
        <f>+[15]cons!I76</f>
        <v>4</v>
      </c>
      <c r="K79" s="643"/>
      <c r="L79" s="644">
        <f>+[15]cons!K76</f>
        <v>48</v>
      </c>
      <c r="M79" s="643"/>
      <c r="N79" s="644">
        <f>+[15]cons!M76</f>
        <v>27</v>
      </c>
      <c r="O79" s="643"/>
      <c r="P79" s="644">
        <f>+[15]cons!O76</f>
        <v>23</v>
      </c>
      <c r="Q79" s="643"/>
      <c r="R79" s="644">
        <f>+[15]cons!Q76</f>
        <v>40</v>
      </c>
      <c r="S79" s="643"/>
      <c r="T79" s="644">
        <f>+[15]cons!S76</f>
        <v>73</v>
      </c>
      <c r="U79" s="643"/>
      <c r="V79" s="644">
        <f>+[15]cons!U76</f>
        <v>38</v>
      </c>
      <c r="W79" s="643"/>
      <c r="X79" s="644">
        <f>+[15]cons!W76</f>
        <v>43</v>
      </c>
      <c r="Y79" s="643"/>
      <c r="Z79" s="644">
        <f>+[15]cons!Y76</f>
        <v>11</v>
      </c>
      <c r="AA79" s="643"/>
      <c r="AB79" s="644">
        <f>+[15]cons!AA76</f>
        <v>63</v>
      </c>
      <c r="AC79" s="643"/>
      <c r="AD79" s="644">
        <f>+[15]cons!AC76</f>
        <v>44</v>
      </c>
    </row>
    <row r="80" spans="1:30" ht="21">
      <c r="A80" s="628" t="s">
        <v>1082</v>
      </c>
      <c r="B80" s="369">
        <f t="shared" si="11"/>
        <v>216</v>
      </c>
      <c r="C80" s="231"/>
      <c r="E80" s="643"/>
      <c r="F80" s="644">
        <f>+[15]cons!E77</f>
        <v>34</v>
      </c>
      <c r="G80" s="643"/>
      <c r="H80" s="644">
        <f>+[15]cons!G77</f>
        <v>20</v>
      </c>
      <c r="I80" s="643"/>
      <c r="J80" s="644">
        <f>+[15]cons!I77</f>
        <v>4</v>
      </c>
      <c r="K80" s="643"/>
      <c r="L80" s="644">
        <f>+[15]cons!K77</f>
        <v>3</v>
      </c>
      <c r="M80" s="643"/>
      <c r="N80" s="644">
        <f>+[15]cons!M77</f>
        <v>7</v>
      </c>
      <c r="O80" s="643"/>
      <c r="P80" s="644">
        <f>+[15]cons!O77</f>
        <v>14</v>
      </c>
      <c r="Q80" s="643"/>
      <c r="R80" s="644">
        <f>+[15]cons!Q77</f>
        <v>37</v>
      </c>
      <c r="S80" s="643"/>
      <c r="T80" s="644">
        <f>+[15]cons!S77</f>
        <v>19</v>
      </c>
      <c r="U80" s="643"/>
      <c r="V80" s="644">
        <f>+[15]cons!U77</f>
        <v>29</v>
      </c>
      <c r="W80" s="643"/>
      <c r="X80" s="644">
        <f>+[15]cons!W77</f>
        <v>22</v>
      </c>
      <c r="Y80" s="643"/>
      <c r="Z80" s="644">
        <f>+[15]cons!Y77</f>
        <v>13</v>
      </c>
      <c r="AA80" s="643"/>
      <c r="AB80" s="644">
        <f>+[15]cons!AA77</f>
        <v>7</v>
      </c>
      <c r="AC80" s="643"/>
      <c r="AD80" s="644">
        <f>+[15]cons!AC77</f>
        <v>7</v>
      </c>
    </row>
    <row r="81" spans="1:30">
      <c r="A81" s="628" t="s">
        <v>1083</v>
      </c>
      <c r="B81" s="369">
        <f t="shared" si="11"/>
        <v>185</v>
      </c>
      <c r="C81" s="231"/>
      <c r="E81" s="643"/>
      <c r="F81" s="644">
        <f>+[15]cons!E78</f>
        <v>41</v>
      </c>
      <c r="G81" s="643"/>
      <c r="H81" s="644">
        <f>+[15]cons!G78</f>
        <v>22</v>
      </c>
      <c r="I81" s="643"/>
      <c r="J81" s="644">
        <f>+[15]cons!I78</f>
        <v>7</v>
      </c>
      <c r="K81" s="643"/>
      <c r="L81" s="644">
        <f>+[15]cons!K78</f>
        <v>8</v>
      </c>
      <c r="M81" s="643"/>
      <c r="N81" s="644">
        <f>+[15]cons!M78</f>
        <v>8</v>
      </c>
      <c r="O81" s="643"/>
      <c r="P81" s="644">
        <f>+[15]cons!O78</f>
        <v>6</v>
      </c>
      <c r="Q81" s="643"/>
      <c r="R81" s="644">
        <f>+[15]cons!Q78</f>
        <v>10</v>
      </c>
      <c r="S81" s="643"/>
      <c r="T81" s="644">
        <f>+[15]cons!S78</f>
        <v>23</v>
      </c>
      <c r="U81" s="643"/>
      <c r="V81" s="644">
        <f>+[15]cons!U78</f>
        <v>23</v>
      </c>
      <c r="W81" s="643"/>
      <c r="X81" s="644">
        <f>+[15]cons!W78</f>
        <v>10</v>
      </c>
      <c r="Y81" s="643"/>
      <c r="Z81" s="644">
        <f>+[15]cons!Y78</f>
        <v>10</v>
      </c>
      <c r="AA81" s="643"/>
      <c r="AB81" s="644">
        <f>+[15]cons!AA78</f>
        <v>6</v>
      </c>
      <c r="AC81" s="643"/>
      <c r="AD81" s="644">
        <f>+[15]cons!AC78</f>
        <v>11</v>
      </c>
    </row>
    <row r="82" spans="1:30" ht="21">
      <c r="A82" s="629" t="s">
        <v>1084</v>
      </c>
      <c r="B82" s="369">
        <f t="shared" si="11"/>
        <v>106</v>
      </c>
      <c r="C82" s="231"/>
      <c r="E82" s="643"/>
      <c r="F82" s="644">
        <f>+[15]cons!E79</f>
        <v>21</v>
      </c>
      <c r="G82" s="643"/>
      <c r="H82" s="644">
        <f>+[15]cons!G79</f>
        <v>13</v>
      </c>
      <c r="I82" s="643"/>
      <c r="J82" s="644">
        <f>+[15]cons!I79</f>
        <v>1</v>
      </c>
      <c r="K82" s="643"/>
      <c r="L82" s="644">
        <f>+[15]cons!K79</f>
        <v>5</v>
      </c>
      <c r="M82" s="643"/>
      <c r="N82" s="644">
        <f>+[15]cons!M79</f>
        <v>4</v>
      </c>
      <c r="O82" s="643"/>
      <c r="P82" s="644">
        <f>+[15]cons!O79</f>
        <v>0</v>
      </c>
      <c r="Q82" s="643"/>
      <c r="R82" s="644">
        <f>+[15]cons!Q79</f>
        <v>8</v>
      </c>
      <c r="S82" s="643"/>
      <c r="T82" s="644">
        <f>+[15]cons!S79</f>
        <v>14</v>
      </c>
      <c r="U82" s="643"/>
      <c r="V82" s="644">
        <f>+[15]cons!U79</f>
        <v>6</v>
      </c>
      <c r="W82" s="643"/>
      <c r="X82" s="644">
        <f>+[15]cons!W79</f>
        <v>16</v>
      </c>
      <c r="Y82" s="643"/>
      <c r="Z82" s="644">
        <f>+[15]cons!Y79</f>
        <v>2</v>
      </c>
      <c r="AA82" s="643"/>
      <c r="AB82" s="644">
        <f>+[15]cons!AA79</f>
        <v>6</v>
      </c>
      <c r="AC82" s="643"/>
      <c r="AD82" s="644">
        <f>+[15]cons!AC79</f>
        <v>10</v>
      </c>
    </row>
    <row r="83" spans="1:30" ht="21">
      <c r="A83" s="628" t="s">
        <v>1472</v>
      </c>
      <c r="B83" s="369">
        <f t="shared" si="11"/>
        <v>2</v>
      </c>
      <c r="C83" s="231"/>
      <c r="E83" s="643"/>
      <c r="F83" s="644">
        <f>+[15]cons!E80</f>
        <v>0</v>
      </c>
      <c r="G83" s="643"/>
      <c r="H83" s="644">
        <f>+[15]cons!G80</f>
        <v>0</v>
      </c>
      <c r="I83" s="643"/>
      <c r="J83" s="644">
        <f>+[15]cons!I80</f>
        <v>0</v>
      </c>
      <c r="K83" s="643"/>
      <c r="L83" s="644">
        <f>+[15]cons!K80</f>
        <v>0</v>
      </c>
      <c r="M83" s="643"/>
      <c r="N83" s="644">
        <f>+[15]cons!M80</f>
        <v>0</v>
      </c>
      <c r="O83" s="643"/>
      <c r="P83" s="644">
        <f>+[15]cons!O80</f>
        <v>0</v>
      </c>
      <c r="Q83" s="643"/>
      <c r="R83" s="644">
        <f>+[15]cons!Q80</f>
        <v>0</v>
      </c>
      <c r="S83" s="643"/>
      <c r="T83" s="644">
        <f>+[15]cons!S80</f>
        <v>0</v>
      </c>
      <c r="U83" s="643"/>
      <c r="V83" s="644">
        <f>+[15]cons!U80</f>
        <v>0</v>
      </c>
      <c r="W83" s="643"/>
      <c r="X83" s="644">
        <f>+[15]cons!W80</f>
        <v>2</v>
      </c>
      <c r="Y83" s="643"/>
      <c r="Z83" s="644">
        <f>+[15]cons!Y80</f>
        <v>0</v>
      </c>
      <c r="AA83" s="643"/>
      <c r="AB83" s="644">
        <f>+[15]cons!AA80</f>
        <v>0</v>
      </c>
      <c r="AC83" s="643"/>
      <c r="AD83" s="644">
        <f>+[15]cons!AC80</f>
        <v>0</v>
      </c>
    </row>
    <row r="84" spans="1:30">
      <c r="A84" s="629" t="s">
        <v>1473</v>
      </c>
      <c r="B84" s="369">
        <f t="shared" si="11"/>
        <v>7028</v>
      </c>
      <c r="C84" s="231"/>
      <c r="E84" s="643"/>
      <c r="F84" s="644">
        <f>+[15]cons!E81</f>
        <v>964</v>
      </c>
      <c r="G84" s="643"/>
      <c r="H84" s="644">
        <f>+[15]cons!G81</f>
        <v>823</v>
      </c>
      <c r="I84" s="643"/>
      <c r="J84" s="644">
        <f>+[15]cons!I81</f>
        <v>135</v>
      </c>
      <c r="K84" s="643"/>
      <c r="L84" s="644">
        <f>+[15]cons!K81</f>
        <v>435</v>
      </c>
      <c r="M84" s="643"/>
      <c r="N84" s="644">
        <f>+[15]cons!M81</f>
        <v>341</v>
      </c>
      <c r="O84" s="643"/>
      <c r="P84" s="644">
        <f>+[15]cons!O81</f>
        <v>135</v>
      </c>
      <c r="Q84" s="643"/>
      <c r="R84" s="644">
        <f>+[15]cons!Q81</f>
        <v>351</v>
      </c>
      <c r="S84" s="643"/>
      <c r="T84" s="644">
        <f>+[15]cons!S81</f>
        <v>1105</v>
      </c>
      <c r="U84" s="643"/>
      <c r="V84" s="644">
        <f>+[15]cons!U81</f>
        <v>390</v>
      </c>
      <c r="W84" s="643"/>
      <c r="X84" s="644">
        <f>+[15]cons!W81</f>
        <v>626</v>
      </c>
      <c r="Y84" s="643"/>
      <c r="Z84" s="644">
        <f>+[15]cons!Y81</f>
        <v>271</v>
      </c>
      <c r="AA84" s="643"/>
      <c r="AB84" s="644">
        <f>+[15]cons!AA81</f>
        <v>754</v>
      </c>
      <c r="AC84" s="643"/>
      <c r="AD84" s="644">
        <f>+[15]cons!AC81</f>
        <v>698</v>
      </c>
    </row>
    <row r="85" spans="1:30">
      <c r="A85" s="630" t="s">
        <v>474</v>
      </c>
      <c r="B85" s="651">
        <f>SUM(B70:B84)</f>
        <v>14056</v>
      </c>
      <c r="C85" s="143"/>
      <c r="D85" s="435"/>
      <c r="E85" s="143"/>
      <c r="F85" s="652">
        <f>SUM(F70:F84)</f>
        <v>1928</v>
      </c>
      <c r="G85" s="435"/>
      <c r="H85" s="653">
        <f>SUM(H70:H84)</f>
        <v>1646</v>
      </c>
      <c r="I85" s="143"/>
      <c r="J85" s="652">
        <f>SUM(J70:J84)</f>
        <v>270</v>
      </c>
      <c r="K85" s="435"/>
      <c r="L85" s="653">
        <f>SUM(L70:L84)</f>
        <v>870</v>
      </c>
      <c r="M85" s="143"/>
      <c r="N85" s="652">
        <f>SUM(N70:N84)</f>
        <v>682</v>
      </c>
      <c r="O85" s="435"/>
      <c r="P85" s="653">
        <f>SUM(P70:P84)</f>
        <v>270</v>
      </c>
      <c r="Q85" s="143"/>
      <c r="R85" s="652">
        <f>SUM(R70:R84)</f>
        <v>702</v>
      </c>
      <c r="S85" s="435"/>
      <c r="T85" s="653">
        <f>SUM(T70:T84)</f>
        <v>2210</v>
      </c>
      <c r="U85" s="143"/>
      <c r="V85" s="652">
        <f>SUM(V70:V84)</f>
        <v>780</v>
      </c>
      <c r="W85" s="435"/>
      <c r="X85" s="653">
        <f>SUM(X70:X84)</f>
        <v>1252</v>
      </c>
      <c r="Y85" s="143"/>
      <c r="Z85" s="652">
        <f>SUM(Z70:Z84)</f>
        <v>542</v>
      </c>
      <c r="AA85" s="435"/>
      <c r="AB85" s="653">
        <f>SUM(AB70:AB84)</f>
        <v>1508</v>
      </c>
      <c r="AC85" s="143"/>
      <c r="AD85" s="652">
        <f>SUM(AD70:AD84)</f>
        <v>1396</v>
      </c>
    </row>
  </sheetData>
  <mergeCells count="14">
    <mergeCell ref="W3:X3"/>
    <mergeCell ref="Y3:Z3"/>
    <mergeCell ref="AC3:AD3"/>
    <mergeCell ref="AA3:AB3"/>
    <mergeCell ref="A1:AB1"/>
    <mergeCell ref="E3:F3"/>
    <mergeCell ref="G3:H3"/>
    <mergeCell ref="I3:J3"/>
    <mergeCell ref="K3:L3"/>
    <mergeCell ref="M3:N3"/>
    <mergeCell ref="O3:P3"/>
    <mergeCell ref="Q3:R3"/>
    <mergeCell ref="S3:T3"/>
    <mergeCell ref="U3:V3"/>
  </mergeCells>
  <phoneticPr fontId="18" type="noConversion"/>
  <dataValidations disablePrompts="1" count="3">
    <dataValidation type="list" errorStyle="information" allowBlank="1" showInputMessage="1" showErrorMessage="1" errorTitle="COMUNAS" error="Por favor, utilice la lista disponible con la flecha lateral para seleccionar la Comuna._x000a_Gracias!_x000a_EQUIPO DEIS" sqref="AC3 U3:AA3 I3:P3" xr:uid="{00000000-0002-0000-3600-000000000000}">
      <formula1>$AM$1:$AM$345</formula1>
    </dataValidation>
    <dataValidation type="list" errorStyle="information" allowBlank="1" showInputMessage="1" showErrorMessage="1" errorTitle="COMUNAS" error="Por favor, utilice la lista disponible con la flecha lateral para seleccionar la Comuna._x000a_Gracias!_x000a_EQUIPO DEIS" sqref="S3:T3" xr:uid="{00000000-0002-0000-3600-000001000000}">
      <formula1>$AQ$1:$AQ$345</formula1>
    </dataValidation>
    <dataValidation type="list" errorStyle="information" allowBlank="1" showInputMessage="1" showErrorMessage="1" errorTitle="COMUNAS" error="Por favor, utilice la lista disponible con la flecha lateral para seleccionar la Comuna._x000a_Gracias!_x000a_EQUIPO DEIS" sqref="Q3:R3" xr:uid="{00000000-0002-0000-3600-000002000000}">
      <formula1>$AN$1:$AN$345</formula1>
    </dataValidation>
  </dataValidations>
  <pageMargins left="1.1811023622047245" right="0.19685039370078741" top="0.78740157480314965" bottom="0.78740157480314965" header="0" footer="0"/>
  <pageSetup paperSize="5" scale="75" orientation="landscape"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J70"/>
  <sheetViews>
    <sheetView zoomScale="83" zoomScaleNormal="83" workbookViewId="0">
      <selection activeCell="L10" sqref="L10"/>
    </sheetView>
  </sheetViews>
  <sheetFormatPr baseColWidth="10" defaultRowHeight="12.75"/>
  <cols>
    <col min="1" max="1" width="28.28515625" customWidth="1"/>
    <col min="2" max="2" width="10.7109375" style="288" customWidth="1"/>
    <col min="3" max="3" width="12.7109375" style="370" customWidth="1"/>
    <col min="4" max="4" width="9.7109375" style="370" customWidth="1"/>
    <col min="5" max="5" width="9.28515625" style="370" customWidth="1"/>
    <col min="6" max="7" width="9.7109375" style="370" customWidth="1"/>
    <col min="8" max="8" width="16.7109375" customWidth="1"/>
    <col min="9" max="9" width="16" customWidth="1"/>
    <col min="10" max="10" width="12.5703125" customWidth="1"/>
  </cols>
  <sheetData>
    <row r="1" spans="1:10">
      <c r="A1" s="1583" t="s">
        <v>1547</v>
      </c>
      <c r="B1" s="1583"/>
      <c r="C1" s="1583"/>
      <c r="D1" s="1583"/>
      <c r="E1" s="1583"/>
      <c r="F1" s="1583"/>
      <c r="G1" s="1583"/>
      <c r="H1" s="1583"/>
      <c r="I1" s="1583"/>
      <c r="J1" s="1583"/>
    </row>
    <row r="2" spans="1:10" ht="20.25" customHeight="1">
      <c r="A2" s="366"/>
      <c r="B2" s="370"/>
    </row>
    <row r="3" spans="1:10" s="94" customFormat="1" ht="24" customHeight="1">
      <c r="A3" s="1298" t="s">
        <v>943</v>
      </c>
      <c r="B3" s="1312" t="s">
        <v>952</v>
      </c>
      <c r="C3" s="1312" t="s">
        <v>953</v>
      </c>
      <c r="D3" s="1587" t="s">
        <v>1244</v>
      </c>
      <c r="E3" s="1587"/>
      <c r="F3" s="1587"/>
      <c r="G3" s="1587"/>
      <c r="H3" s="1588" t="s">
        <v>954</v>
      </c>
      <c r="I3" s="1589"/>
      <c r="J3" s="1590"/>
    </row>
    <row r="4" spans="1:10" s="94" customFormat="1" ht="36" customHeight="1">
      <c r="A4" s="1302"/>
      <c r="B4" s="1314" t="s">
        <v>474</v>
      </c>
      <c r="C4" s="1313" t="s">
        <v>943</v>
      </c>
      <c r="D4" s="1315" t="s">
        <v>474</v>
      </c>
      <c r="E4" s="1315" t="s">
        <v>955</v>
      </c>
      <c r="F4" s="1316" t="s">
        <v>956</v>
      </c>
      <c r="G4" s="1316" t="s">
        <v>957</v>
      </c>
      <c r="H4" s="1317" t="s">
        <v>1270</v>
      </c>
      <c r="I4" s="1317" t="s">
        <v>1037</v>
      </c>
      <c r="J4" s="1317" t="s">
        <v>1085</v>
      </c>
    </row>
    <row r="5" spans="1:10" s="94" customFormat="1" ht="23.25" customHeight="1">
      <c r="A5" s="869" t="s">
        <v>1354</v>
      </c>
      <c r="B5" s="372">
        <f>+'55'!B5</f>
        <v>1008</v>
      </c>
      <c r="C5" s="229">
        <f>+'57'!B5</f>
        <v>5596</v>
      </c>
      <c r="D5" s="229">
        <f>SUM(E5:G5)</f>
        <v>965</v>
      </c>
      <c r="E5" s="229">
        <f>+'57'!D5</f>
        <v>391</v>
      </c>
      <c r="F5" s="229">
        <f>+'57'!E5</f>
        <v>554</v>
      </c>
      <c r="G5" s="229">
        <f>+'57'!F5</f>
        <v>20</v>
      </c>
      <c r="H5" s="626">
        <f>+E5/B5*100</f>
        <v>38.789682539682538</v>
      </c>
      <c r="I5" s="626">
        <f>+D5/C5*100</f>
        <v>17.244460328806291</v>
      </c>
      <c r="J5" s="626">
        <f>+E5/C5*100</f>
        <v>6.9871336669049322</v>
      </c>
    </row>
    <row r="6" spans="1:10" s="94" customFormat="1" ht="23.25" customHeight="1">
      <c r="A6" s="869" t="s">
        <v>1355</v>
      </c>
      <c r="B6" s="372">
        <f>+'55'!B6</f>
        <v>5188</v>
      </c>
      <c r="C6" s="229">
        <f>+'57'!B6</f>
        <v>23520</v>
      </c>
      <c r="D6" s="229">
        <f t="shared" ref="D6:D64" si="0">SUM(E6:G6)</f>
        <v>3512</v>
      </c>
      <c r="E6" s="229">
        <f>+'57'!D6</f>
        <v>1934</v>
      </c>
      <c r="F6" s="229">
        <f>+'57'!E6</f>
        <v>1560</v>
      </c>
      <c r="G6" s="229">
        <f>+'57'!F6</f>
        <v>18</v>
      </c>
      <c r="H6" s="626">
        <f t="shared" ref="H6:H57" si="1">+E6/B6*100</f>
        <v>37.278334618350037</v>
      </c>
      <c r="I6" s="626">
        <f t="shared" ref="I6:I57" si="2">+D6/C6*100</f>
        <v>14.931972789115648</v>
      </c>
      <c r="J6" s="626">
        <f t="shared" ref="J6:J57" si="3">+E6/C6*100</f>
        <v>8.2227891156462594</v>
      </c>
    </row>
    <row r="7" spans="1:10" s="94" customFormat="1" ht="23.25" customHeight="1">
      <c r="A7" s="869" t="s">
        <v>1356</v>
      </c>
      <c r="B7" s="372">
        <f>+'55'!B7</f>
        <v>0</v>
      </c>
      <c r="C7" s="229">
        <f>+'57'!B7</f>
        <v>2034</v>
      </c>
      <c r="D7" s="229">
        <f t="shared" si="0"/>
        <v>0</v>
      </c>
      <c r="E7" s="229">
        <f>+'57'!D7</f>
        <v>0</v>
      </c>
      <c r="F7" s="229">
        <f>+'57'!E7</f>
        <v>0</v>
      </c>
      <c r="G7" s="229">
        <f>+'57'!F7</f>
        <v>0</v>
      </c>
      <c r="H7" s="626"/>
      <c r="I7" s="626"/>
      <c r="J7" s="626"/>
    </row>
    <row r="8" spans="1:10" s="94" customFormat="1" ht="23.25" customHeight="1">
      <c r="A8" s="869" t="s">
        <v>1357</v>
      </c>
      <c r="B8" s="372">
        <f>+'55'!B8</f>
        <v>2</v>
      </c>
      <c r="C8" s="229">
        <f>+'57'!B8</f>
        <v>651</v>
      </c>
      <c r="D8" s="229">
        <f t="shared" si="0"/>
        <v>47</v>
      </c>
      <c r="E8" s="229">
        <f>+'57'!D8</f>
        <v>18</v>
      </c>
      <c r="F8" s="229">
        <f>+'57'!E8</f>
        <v>26</v>
      </c>
      <c r="G8" s="229">
        <f>+'57'!F8</f>
        <v>3</v>
      </c>
      <c r="H8" s="626"/>
      <c r="I8" s="626">
        <f t="shared" si="2"/>
        <v>7.2196620583717355</v>
      </c>
      <c r="J8" s="626">
        <f t="shared" si="3"/>
        <v>2.7649769585253456</v>
      </c>
    </row>
    <row r="9" spans="1:10" s="94" customFormat="1" ht="23.25" customHeight="1">
      <c r="A9" s="869" t="s">
        <v>1358</v>
      </c>
      <c r="B9" s="372">
        <f>+'55'!B9</f>
        <v>10</v>
      </c>
      <c r="C9" s="229">
        <f>+'57'!B9</f>
        <v>1093</v>
      </c>
      <c r="D9" s="229">
        <f t="shared" si="0"/>
        <v>150</v>
      </c>
      <c r="E9" s="229">
        <f>+'57'!D9</f>
        <v>78</v>
      </c>
      <c r="F9" s="229">
        <f>+'57'!E9</f>
        <v>64</v>
      </c>
      <c r="G9" s="229">
        <f>+'57'!F9</f>
        <v>8</v>
      </c>
      <c r="H9" s="626">
        <f t="shared" si="1"/>
        <v>780</v>
      </c>
      <c r="I9" s="626">
        <f t="shared" si="2"/>
        <v>13.72369624885636</v>
      </c>
      <c r="J9" s="626">
        <f t="shared" si="3"/>
        <v>7.1363220494053063</v>
      </c>
    </row>
    <row r="10" spans="1:10" s="94" customFormat="1" ht="23.25" customHeight="1">
      <c r="A10" s="869" t="s">
        <v>1359</v>
      </c>
      <c r="B10" s="372">
        <f>+'55'!B10</f>
        <v>7</v>
      </c>
      <c r="C10" s="229">
        <f>+'57'!B10</f>
        <v>701</v>
      </c>
      <c r="D10" s="229">
        <f t="shared" si="0"/>
        <v>154</v>
      </c>
      <c r="E10" s="229">
        <f>+'57'!D10</f>
        <v>66</v>
      </c>
      <c r="F10" s="229">
        <f>+'57'!E10</f>
        <v>87</v>
      </c>
      <c r="G10" s="229">
        <f>+'57'!F10</f>
        <v>1</v>
      </c>
      <c r="H10" s="626">
        <f t="shared" si="1"/>
        <v>942.85714285714289</v>
      </c>
      <c r="I10" s="626">
        <f t="shared" si="2"/>
        <v>21.968616262482168</v>
      </c>
      <c r="J10" s="626">
        <f t="shared" si="3"/>
        <v>9.4151212553495007</v>
      </c>
    </row>
    <row r="11" spans="1:10" s="94" customFormat="1" ht="23.25" customHeight="1">
      <c r="A11" s="869" t="s">
        <v>1441</v>
      </c>
      <c r="B11" s="372">
        <f>+'55'!B11</f>
        <v>4</v>
      </c>
      <c r="C11" s="229">
        <f>+'57'!B11</f>
        <v>6738</v>
      </c>
      <c r="D11" s="229">
        <f t="shared" si="0"/>
        <v>1164</v>
      </c>
      <c r="E11" s="229">
        <f>+'57'!D11</f>
        <v>558</v>
      </c>
      <c r="F11" s="229">
        <f>+'57'!E11</f>
        <v>556</v>
      </c>
      <c r="G11" s="229">
        <f>+'57'!F11</f>
        <v>50</v>
      </c>
      <c r="H11" s="626"/>
      <c r="I11" s="626">
        <f t="shared" si="2"/>
        <v>17.275155832591274</v>
      </c>
      <c r="J11" s="626">
        <f t="shared" si="3"/>
        <v>8.2813891362422076</v>
      </c>
    </row>
    <row r="12" spans="1:10" s="94" customFormat="1" ht="23.25" customHeight="1">
      <c r="A12" s="869" t="s">
        <v>1360</v>
      </c>
      <c r="B12" s="372">
        <f>+'55'!B12</f>
        <v>1</v>
      </c>
      <c r="C12" s="229">
        <f>+'57'!B12</f>
        <v>0</v>
      </c>
      <c r="D12" s="229">
        <f t="shared" si="0"/>
        <v>0</v>
      </c>
      <c r="E12" s="229">
        <f>+'57'!D12</f>
        <v>0</v>
      </c>
      <c r="F12" s="229">
        <f>+'57'!E12</f>
        <v>0</v>
      </c>
      <c r="G12" s="229">
        <f>+'57'!F12</f>
        <v>0</v>
      </c>
      <c r="H12" s="626"/>
      <c r="I12" s="626"/>
      <c r="J12" s="626"/>
    </row>
    <row r="13" spans="1:10" s="94" customFormat="1" ht="23.25" customHeight="1">
      <c r="A13" s="869" t="s">
        <v>1361</v>
      </c>
      <c r="B13" s="372">
        <f>+'55'!B13</f>
        <v>3</v>
      </c>
      <c r="C13" s="229">
        <f>+'57'!B13</f>
        <v>2581</v>
      </c>
      <c r="D13" s="229">
        <f t="shared" si="0"/>
        <v>425</v>
      </c>
      <c r="E13" s="229">
        <f>+'57'!D13</f>
        <v>134</v>
      </c>
      <c r="F13" s="229">
        <f>+'57'!E13</f>
        <v>291</v>
      </c>
      <c r="G13" s="229">
        <f>+'57'!F13</f>
        <v>0</v>
      </c>
      <c r="H13" s="626">
        <f t="shared" si="1"/>
        <v>4466.6666666666661</v>
      </c>
      <c r="I13" s="626">
        <f t="shared" si="2"/>
        <v>16.466485858194499</v>
      </c>
      <c r="J13" s="626">
        <f t="shared" si="3"/>
        <v>5.1917861294072072</v>
      </c>
    </row>
    <row r="14" spans="1:10" s="94" customFormat="1" ht="23.25" customHeight="1">
      <c r="A14" s="869" t="s">
        <v>1362</v>
      </c>
      <c r="B14" s="372">
        <f>+'55'!B14</f>
        <v>1</v>
      </c>
      <c r="C14" s="229">
        <f>+'57'!B14</f>
        <v>471</v>
      </c>
      <c r="D14" s="229">
        <f t="shared" si="0"/>
        <v>95</v>
      </c>
      <c r="E14" s="229">
        <f>+'57'!D14</f>
        <v>21</v>
      </c>
      <c r="F14" s="229">
        <f>+'57'!E14</f>
        <v>73</v>
      </c>
      <c r="G14" s="229">
        <f>+'57'!F14</f>
        <v>1</v>
      </c>
      <c r="H14" s="626"/>
      <c r="I14" s="626">
        <f t="shared" si="2"/>
        <v>20.169851380042463</v>
      </c>
      <c r="J14" s="626">
        <f t="shared" si="3"/>
        <v>4.4585987261146496</v>
      </c>
    </row>
    <row r="15" spans="1:10" s="94" customFormat="1" ht="23.25" customHeight="1">
      <c r="A15" s="869" t="s">
        <v>1363</v>
      </c>
      <c r="B15" s="372">
        <f>+'55'!B15</f>
        <v>0</v>
      </c>
      <c r="C15" s="229">
        <f>+'57'!B15</f>
        <v>2137</v>
      </c>
      <c r="D15" s="229">
        <f t="shared" si="0"/>
        <v>621</v>
      </c>
      <c r="E15" s="229">
        <f>+'57'!D15</f>
        <v>310</v>
      </c>
      <c r="F15" s="229">
        <f>+'57'!E15</f>
        <v>305</v>
      </c>
      <c r="G15" s="229">
        <f>+'57'!F15</f>
        <v>6</v>
      </c>
      <c r="H15" s="626" t="e">
        <f t="shared" si="1"/>
        <v>#DIV/0!</v>
      </c>
      <c r="I15" s="626">
        <f t="shared" si="2"/>
        <v>29.059429106223678</v>
      </c>
      <c r="J15" s="626">
        <f t="shared" si="3"/>
        <v>14.506317267197005</v>
      </c>
    </row>
    <row r="16" spans="1:10" s="94" customFormat="1" ht="23.25" customHeight="1">
      <c r="A16" s="869" t="s">
        <v>1364</v>
      </c>
      <c r="B16" s="372">
        <f>+'55'!B16</f>
        <v>0</v>
      </c>
      <c r="C16" s="229">
        <f>+'57'!B16</f>
        <v>0</v>
      </c>
      <c r="D16" s="229">
        <f t="shared" si="0"/>
        <v>0</v>
      </c>
      <c r="E16" s="229">
        <f>+'57'!D16</f>
        <v>0</v>
      </c>
      <c r="F16" s="229">
        <f>+'57'!E16</f>
        <v>0</v>
      </c>
      <c r="G16" s="229">
        <f>+'57'!F16</f>
        <v>0</v>
      </c>
      <c r="H16" s="626"/>
      <c r="I16" s="626"/>
      <c r="J16" s="626"/>
    </row>
    <row r="17" spans="1:10" s="94" customFormat="1" ht="23.25" customHeight="1">
      <c r="A17" s="869" t="s">
        <v>1365</v>
      </c>
      <c r="B17" s="372">
        <f>+'55'!B17</f>
        <v>0</v>
      </c>
      <c r="C17" s="229">
        <f>+'57'!B17</f>
        <v>0</v>
      </c>
      <c r="D17" s="229">
        <f t="shared" si="0"/>
        <v>0</v>
      </c>
      <c r="E17" s="229">
        <f>+'57'!D17</f>
        <v>0</v>
      </c>
      <c r="F17" s="229">
        <f>+'57'!E17</f>
        <v>0</v>
      </c>
      <c r="G17" s="229">
        <f>+'57'!F17</f>
        <v>0</v>
      </c>
      <c r="H17" s="626"/>
      <c r="I17" s="626"/>
      <c r="J17" s="626"/>
    </row>
    <row r="18" spans="1:10" s="94" customFormat="1" ht="23.25" customHeight="1">
      <c r="A18" s="869" t="s">
        <v>1442</v>
      </c>
      <c r="B18" s="372">
        <f>+'55'!B18</f>
        <v>0</v>
      </c>
      <c r="C18" s="229">
        <f>+'57'!B18</f>
        <v>658</v>
      </c>
      <c r="D18" s="229">
        <f t="shared" si="0"/>
        <v>189</v>
      </c>
      <c r="E18" s="229">
        <f>+'57'!D18</f>
        <v>58</v>
      </c>
      <c r="F18" s="229">
        <f>+'57'!E18</f>
        <v>130</v>
      </c>
      <c r="G18" s="229">
        <f>+'57'!F18</f>
        <v>1</v>
      </c>
      <c r="H18" s="626"/>
      <c r="I18" s="626"/>
      <c r="J18" s="626"/>
    </row>
    <row r="19" spans="1:10" s="94" customFormat="1" ht="23.25" customHeight="1">
      <c r="A19" s="871" t="s">
        <v>1366</v>
      </c>
      <c r="B19" s="372">
        <f>+'55'!B19</f>
        <v>0</v>
      </c>
      <c r="C19" s="229">
        <f>+'57'!B19</f>
        <v>0</v>
      </c>
      <c r="D19" s="229">
        <f t="shared" si="0"/>
        <v>0</v>
      </c>
      <c r="E19" s="229">
        <f>+'57'!D19</f>
        <v>0</v>
      </c>
      <c r="F19" s="229">
        <f>+'57'!E19</f>
        <v>0</v>
      </c>
      <c r="G19" s="229">
        <f>+'57'!F19</f>
        <v>0</v>
      </c>
      <c r="H19" s="626"/>
      <c r="I19" s="626"/>
      <c r="J19" s="626"/>
    </row>
    <row r="20" spans="1:10" s="94" customFormat="1" ht="23.25" customHeight="1">
      <c r="A20" s="869" t="s">
        <v>1367</v>
      </c>
      <c r="B20" s="372">
        <f>+'55'!B20</f>
        <v>18</v>
      </c>
      <c r="C20" s="229">
        <f>+'57'!B20</f>
        <v>704</v>
      </c>
      <c r="D20" s="229">
        <f t="shared" si="0"/>
        <v>183</v>
      </c>
      <c r="E20" s="229">
        <f>+'57'!D20</f>
        <v>88</v>
      </c>
      <c r="F20" s="229">
        <f>+'57'!E20</f>
        <v>95</v>
      </c>
      <c r="G20" s="229">
        <f>+'57'!F20</f>
        <v>0</v>
      </c>
      <c r="H20" s="626">
        <f t="shared" si="1"/>
        <v>488.88888888888891</v>
      </c>
      <c r="I20" s="626">
        <f t="shared" si="2"/>
        <v>25.994318181818183</v>
      </c>
      <c r="J20" s="626">
        <f t="shared" si="3"/>
        <v>12.5</v>
      </c>
    </row>
    <row r="21" spans="1:10" s="94" customFormat="1" ht="23.25" customHeight="1">
      <c r="A21" s="869" t="s">
        <v>1368</v>
      </c>
      <c r="B21" s="372">
        <f>+'55'!B21</f>
        <v>0</v>
      </c>
      <c r="C21" s="229">
        <f>+'57'!B21</f>
        <v>0</v>
      </c>
      <c r="D21" s="229">
        <f t="shared" si="0"/>
        <v>0</v>
      </c>
      <c r="E21" s="229">
        <f>+'57'!D21</f>
        <v>0</v>
      </c>
      <c r="F21" s="229">
        <f>+'57'!E21</f>
        <v>0</v>
      </c>
      <c r="G21" s="229">
        <f>+'57'!F21</f>
        <v>0</v>
      </c>
      <c r="H21" s="626"/>
      <c r="I21" s="626"/>
      <c r="J21" s="626"/>
    </row>
    <row r="22" spans="1:10" s="94" customFormat="1" ht="23.25" customHeight="1">
      <c r="A22" s="869" t="s">
        <v>1443</v>
      </c>
      <c r="B22" s="372">
        <f>+'55'!B22</f>
        <v>0</v>
      </c>
      <c r="C22" s="229">
        <f>+'57'!B22</f>
        <v>0</v>
      </c>
      <c r="D22" s="229">
        <f t="shared" si="0"/>
        <v>0</v>
      </c>
      <c r="E22" s="229">
        <f>+'57'!D22</f>
        <v>0</v>
      </c>
      <c r="F22" s="229">
        <f>+'57'!E22</f>
        <v>0</v>
      </c>
      <c r="G22" s="229">
        <f>+'57'!F22</f>
        <v>0</v>
      </c>
      <c r="H22" s="626"/>
      <c r="I22" s="626"/>
      <c r="J22" s="626"/>
    </row>
    <row r="23" spans="1:10" s="94" customFormat="1" ht="23.25" customHeight="1">
      <c r="A23" s="869" t="s">
        <v>1369</v>
      </c>
      <c r="B23" s="372">
        <f>+'55'!B23</f>
        <v>0</v>
      </c>
      <c r="C23" s="229">
        <f>+'57'!B23</f>
        <v>20</v>
      </c>
      <c r="D23" s="229">
        <f t="shared" si="0"/>
        <v>8</v>
      </c>
      <c r="E23" s="229">
        <f>+'57'!D23</f>
        <v>3</v>
      </c>
      <c r="F23" s="229">
        <f>+'57'!E23</f>
        <v>5</v>
      </c>
      <c r="G23" s="229">
        <f>+'57'!F23</f>
        <v>0</v>
      </c>
      <c r="H23" s="626"/>
      <c r="I23" s="626"/>
      <c r="J23" s="626"/>
    </row>
    <row r="24" spans="1:10" s="94" customFormat="1" ht="23.25" customHeight="1">
      <c r="A24" s="869" t="s">
        <v>1444</v>
      </c>
      <c r="B24" s="372">
        <f>+'55'!B24</f>
        <v>23</v>
      </c>
      <c r="C24" s="229">
        <f>+'57'!B24</f>
        <v>2907</v>
      </c>
      <c r="D24" s="229">
        <f t="shared" si="0"/>
        <v>458</v>
      </c>
      <c r="E24" s="229">
        <f>+'57'!D24</f>
        <v>176</v>
      </c>
      <c r="F24" s="229">
        <f>+'57'!E24</f>
        <v>280</v>
      </c>
      <c r="G24" s="229">
        <f>+'57'!F24</f>
        <v>2</v>
      </c>
      <c r="H24" s="626">
        <f t="shared" si="1"/>
        <v>765.21739130434787</v>
      </c>
      <c r="I24" s="626">
        <f t="shared" si="2"/>
        <v>15.755073959408325</v>
      </c>
      <c r="J24" s="626">
        <f t="shared" si="3"/>
        <v>6.0543515651874786</v>
      </c>
    </row>
    <row r="25" spans="1:10" s="94" customFormat="1" ht="23.25" customHeight="1">
      <c r="A25" s="872" t="s">
        <v>1370</v>
      </c>
      <c r="B25" s="372">
        <f>+'55'!B25</f>
        <v>494</v>
      </c>
      <c r="C25" s="229">
        <f>+'57'!B25</f>
        <v>0</v>
      </c>
      <c r="D25" s="229">
        <f t="shared" si="0"/>
        <v>0</v>
      </c>
      <c r="E25" s="229">
        <f>+'57'!D25</f>
        <v>0</v>
      </c>
      <c r="F25" s="229">
        <f>+'57'!E25</f>
        <v>0</v>
      </c>
      <c r="G25" s="229">
        <f>+'57'!F25</f>
        <v>0</v>
      </c>
      <c r="H25" s="626"/>
      <c r="I25" s="626"/>
      <c r="J25" s="626"/>
    </row>
    <row r="26" spans="1:10" s="94" customFormat="1" ht="23.25" customHeight="1">
      <c r="A26" s="872" t="s">
        <v>1371</v>
      </c>
      <c r="B26" s="372">
        <f>+'55'!B26</f>
        <v>8</v>
      </c>
      <c r="C26" s="229">
        <f>+'57'!B26</f>
        <v>0</v>
      </c>
      <c r="D26" s="229">
        <f t="shared" si="0"/>
        <v>0</v>
      </c>
      <c r="E26" s="229">
        <f>+'57'!D26</f>
        <v>0</v>
      </c>
      <c r="F26" s="229">
        <f>+'57'!E26</f>
        <v>0</v>
      </c>
      <c r="G26" s="229">
        <f>+'57'!F26</f>
        <v>0</v>
      </c>
      <c r="H26" s="626"/>
      <c r="I26" s="626"/>
      <c r="J26" s="626"/>
    </row>
    <row r="27" spans="1:10" s="94" customFormat="1" ht="23.25" customHeight="1">
      <c r="A27" s="869" t="s">
        <v>1445</v>
      </c>
      <c r="B27" s="372">
        <f>+'55'!B27</f>
        <v>74</v>
      </c>
      <c r="C27" s="229">
        <f>+'57'!B27</f>
        <v>867</v>
      </c>
      <c r="D27" s="229">
        <f t="shared" si="0"/>
        <v>0</v>
      </c>
      <c r="E27" s="229">
        <f>+'57'!D27</f>
        <v>0</v>
      </c>
      <c r="F27" s="229">
        <f>+'57'!E27</f>
        <v>0</v>
      </c>
      <c r="G27" s="229">
        <f>+'57'!F27</f>
        <v>0</v>
      </c>
      <c r="H27" s="626">
        <f t="shared" si="1"/>
        <v>0</v>
      </c>
      <c r="I27" s="626">
        <f t="shared" si="2"/>
        <v>0</v>
      </c>
      <c r="J27" s="626">
        <f t="shared" si="3"/>
        <v>0</v>
      </c>
    </row>
    <row r="28" spans="1:10" s="94" customFormat="1" ht="23.25" customHeight="1">
      <c r="A28" s="869" t="s">
        <v>1372</v>
      </c>
      <c r="B28" s="372">
        <f>+'55'!B28</f>
        <v>0</v>
      </c>
      <c r="C28" s="229">
        <f>+'57'!B28</f>
        <v>0</v>
      </c>
      <c r="D28" s="229">
        <f t="shared" si="0"/>
        <v>0</v>
      </c>
      <c r="E28" s="229">
        <f>+'57'!D28</f>
        <v>0</v>
      </c>
      <c r="F28" s="229">
        <f>+'57'!E28</f>
        <v>0</v>
      </c>
      <c r="G28" s="229">
        <f>+'57'!F28</f>
        <v>0</v>
      </c>
      <c r="H28" s="626"/>
      <c r="I28" s="626"/>
      <c r="J28" s="626"/>
    </row>
    <row r="29" spans="1:10" s="94" customFormat="1" ht="23.25" customHeight="1">
      <c r="A29" s="869" t="s">
        <v>1373</v>
      </c>
      <c r="B29" s="372">
        <f>+'55'!B29</f>
        <v>0</v>
      </c>
      <c r="C29" s="229">
        <f>+'57'!B29</f>
        <v>0</v>
      </c>
      <c r="D29" s="229">
        <f t="shared" si="0"/>
        <v>0</v>
      </c>
      <c r="E29" s="229">
        <f>+'57'!D29</f>
        <v>0</v>
      </c>
      <c r="F29" s="229">
        <f>+'57'!E29</f>
        <v>0</v>
      </c>
      <c r="G29" s="229">
        <f>+'57'!F29</f>
        <v>0</v>
      </c>
      <c r="H29" s="626"/>
      <c r="I29" s="626"/>
      <c r="J29" s="626"/>
    </row>
    <row r="30" spans="1:10" s="94" customFormat="1" ht="23.25" customHeight="1">
      <c r="A30" s="869" t="s">
        <v>1374</v>
      </c>
      <c r="B30" s="372">
        <f>+'55'!B30</f>
        <v>22</v>
      </c>
      <c r="C30" s="229">
        <f>+'57'!B30</f>
        <v>547</v>
      </c>
      <c r="D30" s="229">
        <f t="shared" si="0"/>
        <v>159</v>
      </c>
      <c r="E30" s="229">
        <f>+'57'!D30</f>
        <v>27</v>
      </c>
      <c r="F30" s="229">
        <f>+'57'!E30</f>
        <v>132</v>
      </c>
      <c r="G30" s="229">
        <f>+'57'!F30</f>
        <v>0</v>
      </c>
      <c r="H30" s="626">
        <f t="shared" si="1"/>
        <v>122.72727272727273</v>
      </c>
      <c r="I30" s="626">
        <f t="shared" si="2"/>
        <v>29.067641681901279</v>
      </c>
      <c r="J30" s="626">
        <f t="shared" si="3"/>
        <v>4.9360146252285197</v>
      </c>
    </row>
    <row r="31" spans="1:10" s="94" customFormat="1" ht="23.25" customHeight="1">
      <c r="A31" s="869" t="s">
        <v>1375</v>
      </c>
      <c r="B31" s="372">
        <f>+'55'!B31</f>
        <v>138</v>
      </c>
      <c r="C31" s="229">
        <f>+'57'!B31</f>
        <v>1448</v>
      </c>
      <c r="D31" s="229">
        <f t="shared" si="0"/>
        <v>378</v>
      </c>
      <c r="E31" s="229">
        <f>+'57'!D31</f>
        <v>91</v>
      </c>
      <c r="F31" s="229">
        <f>+'57'!E31</f>
        <v>287</v>
      </c>
      <c r="G31" s="229">
        <f>+'57'!F31</f>
        <v>0</v>
      </c>
      <c r="H31" s="626">
        <f t="shared" si="1"/>
        <v>65.94202898550725</v>
      </c>
      <c r="I31" s="626">
        <f t="shared" si="2"/>
        <v>26.104972375690611</v>
      </c>
      <c r="J31" s="626">
        <f t="shared" si="3"/>
        <v>6.2845303867403324</v>
      </c>
    </row>
    <row r="32" spans="1:10" s="94" customFormat="1" ht="23.25" customHeight="1">
      <c r="A32" s="869" t="s">
        <v>1376</v>
      </c>
      <c r="B32" s="372">
        <f>+'55'!B32</f>
        <v>638</v>
      </c>
      <c r="C32" s="229">
        <f>+'57'!B32</f>
        <v>2123</v>
      </c>
      <c r="D32" s="229">
        <f t="shared" si="0"/>
        <v>583</v>
      </c>
      <c r="E32" s="229">
        <f>+'57'!D32</f>
        <v>376</v>
      </c>
      <c r="F32" s="229">
        <f>+'57'!E32</f>
        <v>196</v>
      </c>
      <c r="G32" s="229">
        <f>+'57'!F32</f>
        <v>11</v>
      </c>
      <c r="H32" s="626">
        <f t="shared" si="1"/>
        <v>58.934169278996862</v>
      </c>
      <c r="I32" s="626">
        <f t="shared" si="2"/>
        <v>27.461139896373055</v>
      </c>
      <c r="J32" s="626">
        <f t="shared" si="3"/>
        <v>17.710786622703722</v>
      </c>
    </row>
    <row r="33" spans="1:10" s="94" customFormat="1" ht="23.25" customHeight="1">
      <c r="A33" s="869" t="s">
        <v>1446</v>
      </c>
      <c r="B33" s="372">
        <f>+'55'!B33</f>
        <v>1000</v>
      </c>
      <c r="C33" s="229">
        <f>+'57'!B33</f>
        <v>2705</v>
      </c>
      <c r="D33" s="229">
        <f t="shared" si="0"/>
        <v>404</v>
      </c>
      <c r="E33" s="229">
        <f>+'57'!D33</f>
        <v>267</v>
      </c>
      <c r="F33" s="229">
        <f>+'57'!E33</f>
        <v>137</v>
      </c>
      <c r="G33" s="229">
        <f>+'57'!F33</f>
        <v>0</v>
      </c>
      <c r="H33" s="626">
        <f t="shared" si="1"/>
        <v>26.700000000000003</v>
      </c>
      <c r="I33" s="626">
        <f t="shared" si="2"/>
        <v>14.935304990757855</v>
      </c>
      <c r="J33" s="626">
        <f t="shared" si="3"/>
        <v>9.8706099815157113</v>
      </c>
    </row>
    <row r="34" spans="1:10" s="94" customFormat="1" ht="23.25" customHeight="1">
      <c r="A34" s="869" t="s">
        <v>1377</v>
      </c>
      <c r="B34" s="372">
        <f>+'55'!B34</f>
        <v>9</v>
      </c>
      <c r="C34" s="229">
        <f>+'57'!B34</f>
        <v>0</v>
      </c>
      <c r="D34" s="229">
        <f t="shared" si="0"/>
        <v>0</v>
      </c>
      <c r="E34" s="229">
        <f>+'57'!D34</f>
        <v>0</v>
      </c>
      <c r="F34" s="229">
        <f>+'57'!E34</f>
        <v>0</v>
      </c>
      <c r="G34" s="229">
        <f>+'57'!F34</f>
        <v>0</v>
      </c>
      <c r="H34" s="626">
        <f t="shared" si="1"/>
        <v>0</v>
      </c>
      <c r="I34" s="626"/>
      <c r="J34" s="626"/>
    </row>
    <row r="35" spans="1:10" s="94" customFormat="1" ht="23.25" customHeight="1">
      <c r="A35" s="869" t="s">
        <v>1378</v>
      </c>
      <c r="B35" s="372">
        <f>+'55'!B35</f>
        <v>156</v>
      </c>
      <c r="C35" s="229">
        <f>+'57'!B35</f>
        <v>2519</v>
      </c>
      <c r="D35" s="229">
        <f t="shared" si="0"/>
        <v>274</v>
      </c>
      <c r="E35" s="229">
        <f>+'57'!D35</f>
        <v>187</v>
      </c>
      <c r="F35" s="229">
        <f>+'57'!E35</f>
        <v>37</v>
      </c>
      <c r="G35" s="229">
        <f>+'57'!F35</f>
        <v>50</v>
      </c>
      <c r="H35" s="626">
        <f t="shared" si="1"/>
        <v>119.87179487179486</v>
      </c>
      <c r="I35" s="626">
        <f t="shared" si="2"/>
        <v>10.877332274712186</v>
      </c>
      <c r="J35" s="626">
        <f t="shared" si="3"/>
        <v>7.4235807860262017</v>
      </c>
    </row>
    <row r="36" spans="1:10" s="94" customFormat="1" ht="23.25" customHeight="1">
      <c r="A36" s="869" t="s">
        <v>1447</v>
      </c>
      <c r="B36" s="372">
        <f>+'55'!B36</f>
        <v>518</v>
      </c>
      <c r="C36" s="229">
        <f>+'57'!B36</f>
        <v>5512</v>
      </c>
      <c r="D36" s="229">
        <f t="shared" si="0"/>
        <v>566</v>
      </c>
      <c r="E36" s="229">
        <f>+'57'!D36</f>
        <v>388</v>
      </c>
      <c r="F36" s="229">
        <f>+'57'!E36</f>
        <v>68</v>
      </c>
      <c r="G36" s="229">
        <f>+'57'!F36</f>
        <v>110</v>
      </c>
      <c r="H36" s="626">
        <f t="shared" si="1"/>
        <v>74.903474903474901</v>
      </c>
      <c r="I36" s="626">
        <f t="shared" si="2"/>
        <v>10.268505079825834</v>
      </c>
      <c r="J36" s="626">
        <f t="shared" si="3"/>
        <v>7.0391872278664742</v>
      </c>
    </row>
    <row r="37" spans="1:10" s="94" customFormat="1" ht="23.25" customHeight="1">
      <c r="A37" s="869" t="s">
        <v>1379</v>
      </c>
      <c r="B37" s="372">
        <f>+'55'!B37</f>
        <v>697</v>
      </c>
      <c r="C37" s="229">
        <f>+'57'!B37</f>
        <v>2723</v>
      </c>
      <c r="D37" s="229">
        <f t="shared" si="0"/>
        <v>863</v>
      </c>
      <c r="E37" s="229">
        <f>+'57'!D37</f>
        <v>624</v>
      </c>
      <c r="F37" s="229">
        <f>+'57'!E37</f>
        <v>200</v>
      </c>
      <c r="G37" s="229">
        <f>+'57'!F37</f>
        <v>39</v>
      </c>
      <c r="H37" s="626">
        <f t="shared" si="1"/>
        <v>89.526542324246776</v>
      </c>
      <c r="I37" s="626">
        <f t="shared" si="2"/>
        <v>31.692985677561513</v>
      </c>
      <c r="J37" s="626">
        <f t="shared" si="3"/>
        <v>22.915901579140655</v>
      </c>
    </row>
    <row r="38" spans="1:10" s="94" customFormat="1" ht="23.25" customHeight="1">
      <c r="A38" s="869" t="s">
        <v>1448</v>
      </c>
      <c r="B38" s="372">
        <f>+'55'!B38</f>
        <v>3517</v>
      </c>
      <c r="C38" s="229">
        <f>+'57'!B38</f>
        <v>14076</v>
      </c>
      <c r="D38" s="229">
        <f t="shared" si="0"/>
        <v>2841</v>
      </c>
      <c r="E38" s="229">
        <f>+'57'!D38</f>
        <v>1608</v>
      </c>
      <c r="F38" s="229">
        <f>+'57'!E38</f>
        <v>1217</v>
      </c>
      <c r="G38" s="229">
        <f>+'57'!F38</f>
        <v>16</v>
      </c>
      <c r="H38" s="626">
        <f t="shared" si="1"/>
        <v>45.720784759738414</v>
      </c>
      <c r="I38" s="626">
        <f t="shared" si="2"/>
        <v>20.183290707587386</v>
      </c>
      <c r="J38" s="626">
        <f t="shared" si="3"/>
        <v>11.423699914748509</v>
      </c>
    </row>
    <row r="39" spans="1:10" s="94" customFormat="1" ht="23.25" customHeight="1">
      <c r="A39" s="869" t="s">
        <v>1449</v>
      </c>
      <c r="B39" s="372">
        <f>+'55'!B39</f>
        <v>0</v>
      </c>
      <c r="C39" s="229">
        <f>+'57'!B39</f>
        <v>0</v>
      </c>
      <c r="D39" s="229">
        <f t="shared" si="0"/>
        <v>0</v>
      </c>
      <c r="E39" s="229">
        <f>+'57'!D39</f>
        <v>0</v>
      </c>
      <c r="F39" s="229">
        <f>+'57'!E39</f>
        <v>0</v>
      </c>
      <c r="G39" s="229">
        <f>+'57'!F39</f>
        <v>0</v>
      </c>
      <c r="H39" s="626"/>
      <c r="I39" s="626"/>
      <c r="J39" s="626"/>
    </row>
    <row r="40" spans="1:10" s="94" customFormat="1" ht="23.25" customHeight="1">
      <c r="A40" s="869" t="s">
        <v>1380</v>
      </c>
      <c r="B40" s="372">
        <f>+'55'!B40</f>
        <v>38</v>
      </c>
      <c r="C40" s="229">
        <f>+'57'!B40</f>
        <v>0</v>
      </c>
      <c r="D40" s="229">
        <f t="shared" si="0"/>
        <v>0</v>
      </c>
      <c r="E40" s="229">
        <f>+'57'!D40</f>
        <v>0</v>
      </c>
      <c r="F40" s="229">
        <f>+'57'!E40</f>
        <v>0</v>
      </c>
      <c r="G40" s="229">
        <f>+'57'!F40</f>
        <v>0</v>
      </c>
      <c r="H40" s="626">
        <f t="shared" si="1"/>
        <v>0</v>
      </c>
      <c r="I40" s="626"/>
      <c r="J40" s="626"/>
    </row>
    <row r="41" spans="1:10" s="94" customFormat="1" ht="23.25" customHeight="1">
      <c r="A41" s="869" t="s">
        <v>1381</v>
      </c>
      <c r="B41" s="372">
        <f>+'55'!B41</f>
        <v>0</v>
      </c>
      <c r="C41" s="229">
        <f>+'57'!B41</f>
        <v>0</v>
      </c>
      <c r="D41" s="229">
        <f t="shared" si="0"/>
        <v>0</v>
      </c>
      <c r="E41" s="229">
        <f>+'57'!D41</f>
        <v>0</v>
      </c>
      <c r="F41" s="229">
        <f>+'57'!E41</f>
        <v>0</v>
      </c>
      <c r="G41" s="229">
        <f>+'57'!F41</f>
        <v>0</v>
      </c>
      <c r="H41" s="626"/>
      <c r="I41" s="626"/>
      <c r="J41" s="626"/>
    </row>
    <row r="42" spans="1:10" s="94" customFormat="1" ht="23.25" customHeight="1">
      <c r="A42" s="869" t="s">
        <v>1450</v>
      </c>
      <c r="B42" s="372">
        <f>+'55'!B42</f>
        <v>0</v>
      </c>
      <c r="C42" s="229">
        <f>+'57'!B42</f>
        <v>1335</v>
      </c>
      <c r="D42" s="229">
        <f t="shared" si="0"/>
        <v>125</v>
      </c>
      <c r="E42" s="229">
        <f>+'57'!D42</f>
        <v>58</v>
      </c>
      <c r="F42" s="229">
        <f>+'57'!E42</f>
        <v>66</v>
      </c>
      <c r="G42" s="229">
        <f>+'57'!F42</f>
        <v>1</v>
      </c>
      <c r="H42" s="626"/>
      <c r="I42" s="626">
        <f t="shared" si="2"/>
        <v>9.3632958801498134</v>
      </c>
      <c r="J42" s="626">
        <f t="shared" si="3"/>
        <v>4.3445692883895131</v>
      </c>
    </row>
    <row r="43" spans="1:10" s="94" customFormat="1" ht="23.25" customHeight="1">
      <c r="A43" s="869" t="s">
        <v>1451</v>
      </c>
      <c r="B43" s="372">
        <f>+'55'!B43</f>
        <v>0</v>
      </c>
      <c r="C43" s="229">
        <f>+'57'!B43</f>
        <v>0</v>
      </c>
      <c r="D43" s="229">
        <f t="shared" si="0"/>
        <v>0</v>
      </c>
      <c r="E43" s="229">
        <f>+'57'!D43</f>
        <v>0</v>
      </c>
      <c r="F43" s="229">
        <f>+'57'!E43</f>
        <v>0</v>
      </c>
      <c r="G43" s="229">
        <f>+'57'!F43</f>
        <v>0</v>
      </c>
      <c r="H43" s="626"/>
      <c r="I43" s="626"/>
      <c r="J43" s="626"/>
    </row>
    <row r="44" spans="1:10" s="94" customFormat="1" ht="23.25" customHeight="1">
      <c r="A44" s="869" t="s">
        <v>1382</v>
      </c>
      <c r="B44" s="372">
        <f>+'55'!B44</f>
        <v>0</v>
      </c>
      <c r="C44" s="229">
        <f>+'57'!B44</f>
        <v>0</v>
      </c>
      <c r="D44" s="229">
        <f t="shared" si="0"/>
        <v>0</v>
      </c>
      <c r="E44" s="229">
        <f>+'57'!D44</f>
        <v>0</v>
      </c>
      <c r="F44" s="229">
        <f>+'57'!E44</f>
        <v>0</v>
      </c>
      <c r="G44" s="229">
        <f>+'57'!F44</f>
        <v>0</v>
      </c>
      <c r="H44" s="626"/>
      <c r="I44" s="626"/>
      <c r="J44" s="626"/>
    </row>
    <row r="45" spans="1:10" s="94" customFormat="1" ht="23.25" customHeight="1">
      <c r="A45" s="869" t="s">
        <v>1290</v>
      </c>
      <c r="B45" s="372">
        <f>+'55'!B45</f>
        <v>24</v>
      </c>
      <c r="C45" s="229">
        <f>+'57'!B45</f>
        <v>704</v>
      </c>
      <c r="D45" s="229">
        <f t="shared" si="0"/>
        <v>146</v>
      </c>
      <c r="E45" s="229">
        <f>+'57'!D45</f>
        <v>49</v>
      </c>
      <c r="F45" s="229">
        <f>+'57'!E45</f>
        <v>94</v>
      </c>
      <c r="G45" s="229">
        <f>+'57'!F45</f>
        <v>3</v>
      </c>
      <c r="H45" s="626">
        <f t="shared" si="1"/>
        <v>204.16666666666666</v>
      </c>
      <c r="I45" s="626">
        <f t="shared" si="2"/>
        <v>20.738636363636363</v>
      </c>
      <c r="J45" s="626">
        <f t="shared" si="3"/>
        <v>6.9602272727272725</v>
      </c>
    </row>
    <row r="46" spans="1:10" s="94" customFormat="1" ht="23.25" customHeight="1">
      <c r="A46" s="869" t="s">
        <v>1383</v>
      </c>
      <c r="B46" s="372">
        <f>+'55'!B46</f>
        <v>947</v>
      </c>
      <c r="C46" s="229">
        <f>+'57'!B46</f>
        <v>3941</v>
      </c>
      <c r="D46" s="229">
        <f t="shared" si="0"/>
        <v>922</v>
      </c>
      <c r="E46" s="229">
        <f>+'57'!D46</f>
        <v>626</v>
      </c>
      <c r="F46" s="229">
        <f>+'57'!E46</f>
        <v>291</v>
      </c>
      <c r="G46" s="229">
        <f>+'57'!F46</f>
        <v>5</v>
      </c>
      <c r="H46" s="626">
        <f t="shared" si="1"/>
        <v>66.103484688489971</v>
      </c>
      <c r="I46" s="626">
        <f t="shared" si="2"/>
        <v>23.395077391524993</v>
      </c>
      <c r="J46" s="626">
        <f t="shared" si="3"/>
        <v>15.884293326566862</v>
      </c>
    </row>
    <row r="47" spans="1:10" s="94" customFormat="1" ht="23.25" customHeight="1">
      <c r="A47" s="869" t="s">
        <v>1384</v>
      </c>
      <c r="B47" s="372">
        <f>+'55'!B47</f>
        <v>0</v>
      </c>
      <c r="C47" s="229">
        <f>+'57'!B47</f>
        <v>0</v>
      </c>
      <c r="D47" s="229">
        <f t="shared" si="0"/>
        <v>0</v>
      </c>
      <c r="E47" s="229">
        <f>+'57'!D47</f>
        <v>0</v>
      </c>
      <c r="F47" s="229">
        <f>+'57'!E47</f>
        <v>0</v>
      </c>
      <c r="G47" s="229">
        <f>+'57'!F47</f>
        <v>0</v>
      </c>
      <c r="H47" s="626"/>
      <c r="I47" s="626"/>
      <c r="J47" s="626"/>
    </row>
    <row r="48" spans="1:10" s="94" customFormat="1" ht="23.25" customHeight="1">
      <c r="A48" s="869" t="s">
        <v>1291</v>
      </c>
      <c r="B48" s="372">
        <f>+'55'!B48</f>
        <v>2</v>
      </c>
      <c r="C48" s="229">
        <f>+'57'!B48</f>
        <v>341</v>
      </c>
      <c r="D48" s="229">
        <f t="shared" si="0"/>
        <v>0</v>
      </c>
      <c r="E48" s="229">
        <f>+'57'!D48</f>
        <v>0</v>
      </c>
      <c r="F48" s="229">
        <f>+'57'!E48</f>
        <v>0</v>
      </c>
      <c r="G48" s="229">
        <f>+'57'!F48</f>
        <v>0</v>
      </c>
      <c r="H48" s="626"/>
      <c r="I48" s="626">
        <f t="shared" si="2"/>
        <v>0</v>
      </c>
      <c r="J48" s="626">
        <f t="shared" si="3"/>
        <v>0</v>
      </c>
    </row>
    <row r="49" spans="1:10" s="94" customFormat="1" ht="23.25" customHeight="1">
      <c r="A49" s="869" t="s">
        <v>1385</v>
      </c>
      <c r="B49" s="372">
        <f>+'55'!B49</f>
        <v>572</v>
      </c>
      <c r="C49" s="229">
        <f>+'57'!B49</f>
        <v>7531</v>
      </c>
      <c r="D49" s="229">
        <f t="shared" si="0"/>
        <v>1081</v>
      </c>
      <c r="E49" s="229">
        <f>+'57'!D49</f>
        <v>705</v>
      </c>
      <c r="F49" s="229">
        <f>+'57'!E49</f>
        <v>349</v>
      </c>
      <c r="G49" s="229">
        <f>+'57'!F49</f>
        <v>27</v>
      </c>
      <c r="H49" s="626">
        <f t="shared" si="1"/>
        <v>123.25174825174825</v>
      </c>
      <c r="I49" s="626">
        <f t="shared" si="2"/>
        <v>14.354003452396761</v>
      </c>
      <c r="J49" s="626">
        <f t="shared" si="3"/>
        <v>9.3613065993891915</v>
      </c>
    </row>
    <row r="50" spans="1:10" s="94" customFormat="1" ht="23.25" customHeight="1">
      <c r="A50" s="869" t="s">
        <v>1386</v>
      </c>
      <c r="B50" s="372">
        <f>+'55'!B50</f>
        <v>7</v>
      </c>
      <c r="C50" s="229">
        <f>+'57'!B50</f>
        <v>0</v>
      </c>
      <c r="D50" s="229">
        <f t="shared" si="0"/>
        <v>0</v>
      </c>
      <c r="E50" s="229">
        <f>+'57'!D50</f>
        <v>0</v>
      </c>
      <c r="F50" s="229">
        <f>+'57'!E50</f>
        <v>0</v>
      </c>
      <c r="G50" s="229">
        <f>+'57'!F50</f>
        <v>0</v>
      </c>
      <c r="H50" s="626">
        <f t="shared" si="1"/>
        <v>0</v>
      </c>
      <c r="I50" s="626"/>
      <c r="J50" s="626"/>
    </row>
    <row r="51" spans="1:10" s="94" customFormat="1" ht="23.25" customHeight="1">
      <c r="A51" s="869" t="s">
        <v>1452</v>
      </c>
      <c r="B51" s="372">
        <f>+'55'!B51</f>
        <v>1276</v>
      </c>
      <c r="C51" s="229">
        <f>+'57'!B51</f>
        <v>9663</v>
      </c>
      <c r="D51" s="229">
        <f t="shared" si="0"/>
        <v>1641</v>
      </c>
      <c r="E51" s="229">
        <f>+'57'!D51</f>
        <v>612</v>
      </c>
      <c r="F51" s="229">
        <f>+'57'!E51</f>
        <v>909</v>
      </c>
      <c r="G51" s="229">
        <f>+'57'!F51</f>
        <v>120</v>
      </c>
      <c r="H51" s="626">
        <f t="shared" si="1"/>
        <v>47.962382445141067</v>
      </c>
      <c r="I51" s="626">
        <f t="shared" si="2"/>
        <v>16.982303632412293</v>
      </c>
      <c r="J51" s="626">
        <f t="shared" si="3"/>
        <v>6.3334368208630867</v>
      </c>
    </row>
    <row r="52" spans="1:10" s="94" customFormat="1" ht="23.25" customHeight="1">
      <c r="A52" s="869" t="s">
        <v>1387</v>
      </c>
      <c r="B52" s="372">
        <f>+'55'!B52</f>
        <v>6271</v>
      </c>
      <c r="C52" s="229">
        <f>+'57'!B52</f>
        <v>3172</v>
      </c>
      <c r="D52" s="229">
        <f t="shared" si="0"/>
        <v>658</v>
      </c>
      <c r="E52" s="229">
        <f>+'57'!D52</f>
        <v>193</v>
      </c>
      <c r="F52" s="229">
        <f>+'57'!E52</f>
        <v>456</v>
      </c>
      <c r="G52" s="229">
        <f>+'57'!F52</f>
        <v>9</v>
      </c>
      <c r="H52" s="626">
        <f t="shared" si="1"/>
        <v>3.0776590655397862</v>
      </c>
      <c r="I52" s="626">
        <f t="shared" si="2"/>
        <v>20.744010088272383</v>
      </c>
      <c r="J52" s="626">
        <f t="shared" si="3"/>
        <v>6.0844892812105931</v>
      </c>
    </row>
    <row r="53" spans="1:10" s="94" customFormat="1" ht="23.25" customHeight="1">
      <c r="A53" s="869" t="s">
        <v>1388</v>
      </c>
      <c r="B53" s="372">
        <f>+'55'!B53</f>
        <v>2712</v>
      </c>
      <c r="C53" s="229">
        <f>+'57'!B53</f>
        <v>5939</v>
      </c>
      <c r="D53" s="229">
        <f t="shared" si="0"/>
        <v>3003</v>
      </c>
      <c r="E53" s="229">
        <f>+'57'!D53</f>
        <v>1244</v>
      </c>
      <c r="F53" s="229">
        <f>+'57'!E53</f>
        <v>1758</v>
      </c>
      <c r="G53" s="229">
        <f>+'57'!F53</f>
        <v>1</v>
      </c>
      <c r="H53" s="626">
        <f t="shared" si="1"/>
        <v>45.87020648967551</v>
      </c>
      <c r="I53" s="626">
        <f t="shared" si="2"/>
        <v>50.564068024920019</v>
      </c>
      <c r="J53" s="626">
        <f t="shared" si="3"/>
        <v>20.946287253746419</v>
      </c>
    </row>
    <row r="54" spans="1:10" s="94" customFormat="1" ht="23.25" customHeight="1">
      <c r="A54" s="869" t="s">
        <v>1389</v>
      </c>
      <c r="B54" s="372">
        <f>+'55'!B54</f>
        <v>452</v>
      </c>
      <c r="C54" s="229">
        <f>+'57'!B54</f>
        <v>3198</v>
      </c>
      <c r="D54" s="229">
        <f t="shared" si="0"/>
        <v>270</v>
      </c>
      <c r="E54" s="229">
        <f>+'57'!D54</f>
        <v>100</v>
      </c>
      <c r="F54" s="229">
        <f>+'57'!E54</f>
        <v>168</v>
      </c>
      <c r="G54" s="229">
        <f>+'57'!F54</f>
        <v>2</v>
      </c>
      <c r="H54" s="626">
        <f t="shared" si="1"/>
        <v>22.123893805309734</v>
      </c>
      <c r="I54" s="626">
        <f t="shared" si="2"/>
        <v>8.4427767354596615</v>
      </c>
      <c r="J54" s="626">
        <f t="shared" si="3"/>
        <v>3.1269543464665412</v>
      </c>
    </row>
    <row r="55" spans="1:10" s="94" customFormat="1" ht="23.25" customHeight="1">
      <c r="A55" s="869" t="s">
        <v>1453</v>
      </c>
      <c r="B55" s="372">
        <f>+'55'!B55</f>
        <v>2145</v>
      </c>
      <c r="C55" s="229">
        <f>+'57'!B55</f>
        <v>13746</v>
      </c>
      <c r="D55" s="229">
        <f t="shared" si="0"/>
        <v>4975</v>
      </c>
      <c r="E55" s="229">
        <f>+'57'!D55</f>
        <v>2497</v>
      </c>
      <c r="F55" s="229">
        <f>+'57'!E55</f>
        <v>2366</v>
      </c>
      <c r="G55" s="229">
        <f>+'57'!F55</f>
        <v>112</v>
      </c>
      <c r="H55" s="626">
        <f t="shared" si="1"/>
        <v>116.41025641025642</v>
      </c>
      <c r="I55" s="626">
        <f t="shared" si="2"/>
        <v>36.192346864542415</v>
      </c>
      <c r="J55" s="626">
        <f t="shared" si="3"/>
        <v>18.165284446384401</v>
      </c>
    </row>
    <row r="56" spans="1:10" s="94" customFormat="1" ht="23.25" customHeight="1">
      <c r="A56" s="869" t="s">
        <v>1390</v>
      </c>
      <c r="B56" s="372">
        <f>+'55'!B56</f>
        <v>39</v>
      </c>
      <c r="C56" s="229">
        <f>+'57'!B56</f>
        <v>0</v>
      </c>
      <c r="D56" s="229">
        <f t="shared" si="0"/>
        <v>0</v>
      </c>
      <c r="E56" s="229">
        <f>+'57'!D56</f>
        <v>0</v>
      </c>
      <c r="F56" s="229">
        <f>+'57'!E56</f>
        <v>0</v>
      </c>
      <c r="G56" s="229">
        <f>+'57'!F56</f>
        <v>0</v>
      </c>
      <c r="H56" s="626"/>
      <c r="I56" s="626"/>
      <c r="J56" s="626"/>
    </row>
    <row r="57" spans="1:10" s="94" customFormat="1" ht="23.25" customHeight="1">
      <c r="A57" s="869" t="s">
        <v>1454</v>
      </c>
      <c r="B57" s="372">
        <f>+'55'!B57</f>
        <v>1315</v>
      </c>
      <c r="C57" s="229">
        <f>+'57'!B57</f>
        <v>6559</v>
      </c>
      <c r="D57" s="229">
        <f t="shared" si="0"/>
        <v>1344</v>
      </c>
      <c r="E57" s="229">
        <f>+'57'!D57</f>
        <v>277</v>
      </c>
      <c r="F57" s="229">
        <f>+'57'!E57</f>
        <v>1014</v>
      </c>
      <c r="G57" s="229">
        <f>+'57'!F57</f>
        <v>53</v>
      </c>
      <c r="H57" s="626">
        <f t="shared" si="1"/>
        <v>21.064638783269963</v>
      </c>
      <c r="I57" s="626">
        <f t="shared" si="2"/>
        <v>20.490928495197437</v>
      </c>
      <c r="J57" s="626">
        <f t="shared" si="3"/>
        <v>4.2232047568226863</v>
      </c>
    </row>
    <row r="58" spans="1:10" s="94" customFormat="1" ht="23.25" customHeight="1">
      <c r="A58" s="869" t="s">
        <v>1391</v>
      </c>
      <c r="B58" s="372">
        <f>+'55'!B58</f>
        <v>0</v>
      </c>
      <c r="C58" s="229">
        <f>+'57'!B58</f>
        <v>0</v>
      </c>
      <c r="D58" s="229">
        <f t="shared" si="0"/>
        <v>0</v>
      </c>
      <c r="E58" s="229">
        <f>+'57'!D58</f>
        <v>0</v>
      </c>
      <c r="F58" s="229">
        <f>+'57'!E58</f>
        <v>0</v>
      </c>
      <c r="G58" s="229">
        <f>+'57'!F58</f>
        <v>0</v>
      </c>
      <c r="H58" s="626"/>
      <c r="I58" s="626"/>
      <c r="J58" s="626"/>
    </row>
    <row r="59" spans="1:10" s="94" customFormat="1" ht="23.25" customHeight="1">
      <c r="A59" s="869" t="s">
        <v>1392</v>
      </c>
      <c r="B59" s="372">
        <f>+'55'!B59</f>
        <v>7</v>
      </c>
      <c r="C59" s="229"/>
      <c r="D59" s="229"/>
      <c r="E59" s="229"/>
      <c r="F59" s="229"/>
      <c r="G59" s="229"/>
      <c r="H59" s="626"/>
      <c r="I59" s="626"/>
      <c r="J59" s="626"/>
    </row>
    <row r="60" spans="1:10" s="94" customFormat="1" ht="23.25" customHeight="1">
      <c r="A60" s="869" t="s">
        <v>1455</v>
      </c>
      <c r="B60" s="372">
        <f>+'55'!B60</f>
        <v>2</v>
      </c>
      <c r="C60" s="229"/>
      <c r="D60" s="229"/>
      <c r="E60" s="229"/>
      <c r="F60" s="229"/>
      <c r="G60" s="229"/>
      <c r="H60" s="626"/>
      <c r="I60" s="626"/>
      <c r="J60" s="626"/>
    </row>
    <row r="61" spans="1:10" s="94" customFormat="1" ht="23.25" customHeight="1">
      <c r="A61" s="869" t="s">
        <v>1393</v>
      </c>
      <c r="B61" s="372">
        <f>+'55'!B61</f>
        <v>13</v>
      </c>
      <c r="C61" s="229"/>
      <c r="D61" s="229"/>
      <c r="E61" s="229"/>
      <c r="F61" s="229"/>
      <c r="G61" s="229"/>
      <c r="H61" s="626"/>
      <c r="I61" s="626"/>
      <c r="J61" s="626"/>
    </row>
    <row r="62" spans="1:10" s="94" customFormat="1" ht="23.25" customHeight="1">
      <c r="A62" s="869" t="s">
        <v>1394</v>
      </c>
      <c r="B62" s="372">
        <f>+'55'!B62</f>
        <v>0</v>
      </c>
      <c r="C62" s="229">
        <f>+'57'!B62</f>
        <v>0</v>
      </c>
      <c r="D62" s="229">
        <f t="shared" si="0"/>
        <v>0</v>
      </c>
      <c r="E62" s="229">
        <f>+'57'!D62</f>
        <v>0</v>
      </c>
      <c r="F62" s="229">
        <f>+'57'!E62</f>
        <v>0</v>
      </c>
      <c r="G62" s="229">
        <f>+'57'!F62</f>
        <v>0</v>
      </c>
      <c r="H62" s="626"/>
      <c r="I62" s="626"/>
      <c r="J62" s="626"/>
    </row>
    <row r="63" spans="1:10" s="94" customFormat="1" ht="23.25" customHeight="1">
      <c r="A63" s="869" t="s">
        <v>1456</v>
      </c>
      <c r="B63" s="372">
        <f>+'55'!B63</f>
        <v>0</v>
      </c>
      <c r="C63" s="229">
        <f>+'57'!B63</f>
        <v>0</v>
      </c>
      <c r="D63" s="229">
        <f t="shared" si="0"/>
        <v>0</v>
      </c>
      <c r="E63" s="229">
        <f>+'57'!D63</f>
        <v>0</v>
      </c>
      <c r="F63" s="229">
        <f>+'57'!E63</f>
        <v>0</v>
      </c>
      <c r="G63" s="229">
        <f>+'57'!F63</f>
        <v>0</v>
      </c>
      <c r="H63" s="626"/>
      <c r="I63" s="626"/>
      <c r="J63" s="626"/>
    </row>
    <row r="64" spans="1:10" s="94" customFormat="1" ht="23.25" customHeight="1">
      <c r="A64" s="869" t="s">
        <v>1457</v>
      </c>
      <c r="B64" s="372">
        <f>+'55'!B64</f>
        <v>0</v>
      </c>
      <c r="C64" s="229">
        <f>+'57'!B64</f>
        <v>0</v>
      </c>
      <c r="D64" s="229">
        <f t="shared" si="0"/>
        <v>0</v>
      </c>
      <c r="E64" s="229">
        <f>+'57'!D64</f>
        <v>0</v>
      </c>
      <c r="F64" s="229">
        <f>+'57'!E64</f>
        <v>0</v>
      </c>
      <c r="G64" s="229">
        <f>+'57'!F64</f>
        <v>0</v>
      </c>
      <c r="H64" s="626"/>
      <c r="I64" s="626"/>
      <c r="J64" s="626"/>
    </row>
    <row r="65" spans="1:10" ht="23.25" customHeight="1">
      <c r="A65" s="1319" t="s">
        <v>474</v>
      </c>
      <c r="B65" s="1313">
        <f t="shared" ref="B65:G65" si="4">SUM(B5:B64)</f>
        <v>29358</v>
      </c>
      <c r="C65" s="1313">
        <f t="shared" si="4"/>
        <v>138460</v>
      </c>
      <c r="D65" s="1313">
        <f t="shared" si="4"/>
        <v>28204</v>
      </c>
      <c r="E65" s="1313">
        <f t="shared" si="4"/>
        <v>13764</v>
      </c>
      <c r="F65" s="1313">
        <f t="shared" si="4"/>
        <v>13771</v>
      </c>
      <c r="G65" s="1313">
        <f t="shared" si="4"/>
        <v>669</v>
      </c>
      <c r="H65" s="1320">
        <f>+E65/B65*100</f>
        <v>46.88330267729409</v>
      </c>
      <c r="I65" s="1320">
        <f>+D65/C65*100</f>
        <v>20.369781886465404</v>
      </c>
      <c r="J65" s="1318">
        <f>+E65/C65*100</f>
        <v>9.9407771197457748</v>
      </c>
    </row>
    <row r="66" spans="1:10">
      <c r="A66" s="373"/>
    </row>
    <row r="67" spans="1:10">
      <c r="A67" s="373"/>
      <c r="C67" s="601"/>
    </row>
    <row r="68" spans="1:10">
      <c r="A68" s="373"/>
    </row>
    <row r="69" spans="1:10">
      <c r="A69" s="373"/>
    </row>
    <row r="70" spans="1:10">
      <c r="A70" s="373"/>
    </row>
  </sheetData>
  <mergeCells count="3">
    <mergeCell ref="D3:G3"/>
    <mergeCell ref="H3:J3"/>
    <mergeCell ref="A1:J1"/>
  </mergeCells>
  <phoneticPr fontId="18" type="noConversion"/>
  <pageMargins left="0.85" right="0.19685039370078741" top="0.63" bottom="0.78740157480314965" header="0" footer="0"/>
  <pageSetup paperSize="5" scale="8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O70"/>
  <sheetViews>
    <sheetView workbookViewId="0">
      <selection activeCell="N6" sqref="N6"/>
    </sheetView>
  </sheetViews>
  <sheetFormatPr baseColWidth="10" defaultRowHeight="12.75"/>
  <cols>
    <col min="1" max="1" width="27" customWidth="1"/>
    <col min="2" max="2" width="12.7109375" style="370" customWidth="1"/>
    <col min="3" max="6" width="10" style="370" customWidth="1"/>
    <col min="7" max="10" width="10" customWidth="1"/>
    <col min="12" max="14" width="11.42578125" style="176"/>
  </cols>
  <sheetData>
    <row r="1" spans="1:15" ht="23.25" customHeight="1">
      <c r="A1" s="1598" t="s">
        <v>1548</v>
      </c>
      <c r="B1" s="1598"/>
      <c r="C1" s="1598"/>
      <c r="D1" s="1598"/>
      <c r="E1" s="1598"/>
      <c r="F1" s="1598"/>
      <c r="G1" s="1598"/>
      <c r="H1" s="1598"/>
      <c r="I1" s="1598"/>
      <c r="J1" s="1598"/>
      <c r="K1" s="1598"/>
      <c r="L1" s="1598"/>
      <c r="M1" s="1598"/>
      <c r="N1" s="1598"/>
      <c r="O1" s="1598"/>
    </row>
    <row r="2" spans="1:15" ht="20.25" customHeight="1" thickBot="1">
      <c r="A2" s="366"/>
    </row>
    <row r="3" spans="1:15" s="94" customFormat="1" ht="24" customHeight="1">
      <c r="A3" s="1298" t="s">
        <v>943</v>
      </c>
      <c r="B3" s="1312" t="s">
        <v>953</v>
      </c>
      <c r="C3" s="1587" t="s">
        <v>1549</v>
      </c>
      <c r="D3" s="1587"/>
      <c r="E3" s="1587"/>
      <c r="F3" s="1591"/>
      <c r="G3" s="1592" t="s">
        <v>1485</v>
      </c>
      <c r="H3" s="1593"/>
      <c r="I3" s="1593"/>
      <c r="J3" s="1594"/>
      <c r="K3" s="1595" t="s">
        <v>1550</v>
      </c>
      <c r="L3" s="1595"/>
      <c r="M3" s="1595"/>
      <c r="N3" s="1595"/>
      <c r="O3" s="1596" t="s">
        <v>468</v>
      </c>
    </row>
    <row r="4" spans="1:15" s="94" customFormat="1" ht="36" customHeight="1" thickBot="1">
      <c r="A4" s="1302"/>
      <c r="B4" s="1313" t="s">
        <v>943</v>
      </c>
      <c r="C4" s="1315" t="s">
        <v>474</v>
      </c>
      <c r="D4" s="1315" t="s">
        <v>955</v>
      </c>
      <c r="E4" s="1316" t="s">
        <v>956</v>
      </c>
      <c r="F4" s="1322" t="s">
        <v>957</v>
      </c>
      <c r="G4" s="1323" t="s">
        <v>474</v>
      </c>
      <c r="H4" s="1324" t="s">
        <v>955</v>
      </c>
      <c r="I4" s="1325" t="s">
        <v>956</v>
      </c>
      <c r="J4" s="1326" t="s">
        <v>957</v>
      </c>
      <c r="K4" s="1327" t="s">
        <v>474</v>
      </c>
      <c r="L4" s="1324" t="s">
        <v>955</v>
      </c>
      <c r="M4" s="1325" t="s">
        <v>956</v>
      </c>
      <c r="N4" s="1328" t="s">
        <v>957</v>
      </c>
      <c r="O4" s="1597"/>
    </row>
    <row r="5" spans="1:15" s="94" customFormat="1" ht="23.25" customHeight="1">
      <c r="A5" s="869" t="s">
        <v>1354</v>
      </c>
      <c r="B5" s="229">
        <f>+[16]A07!$B11</f>
        <v>5596</v>
      </c>
      <c r="C5" s="688">
        <f>SUM(D5:F5)</f>
        <v>965</v>
      </c>
      <c r="D5" s="229">
        <f>+[16]A07!X11+[16]A07!AB11</f>
        <v>391</v>
      </c>
      <c r="E5" s="229">
        <f>+[16]A07!Y11+[16]A07!AC11</f>
        <v>554</v>
      </c>
      <c r="F5" s="229">
        <f>+[16]A07!Z11+[16]A07!AD11</f>
        <v>20</v>
      </c>
      <c r="G5" s="834">
        <f>SUM(H5:J5)</f>
        <v>914</v>
      </c>
      <c r="H5" s="229">
        <v>350</v>
      </c>
      <c r="I5" s="229">
        <v>535</v>
      </c>
      <c r="J5" s="835">
        <v>29</v>
      </c>
      <c r="K5" s="689">
        <f>SUM(L5:N5)</f>
        <v>51</v>
      </c>
      <c r="L5" s="55">
        <f t="shared" ref="L5:N6" si="0">+D5-H5</f>
        <v>41</v>
      </c>
      <c r="M5" s="55">
        <f t="shared" si="0"/>
        <v>19</v>
      </c>
      <c r="N5" s="690">
        <f t="shared" si="0"/>
        <v>-9</v>
      </c>
      <c r="O5" s="691">
        <f>(+C5-G5)/G5*100</f>
        <v>5.5798687089715537</v>
      </c>
    </row>
    <row r="6" spans="1:15" s="94" customFormat="1" ht="23.25" customHeight="1">
      <c r="A6" s="869" t="s">
        <v>1355</v>
      </c>
      <c r="B6" s="229">
        <f>+[16]A07!$B12</f>
        <v>23520</v>
      </c>
      <c r="C6" s="688">
        <f t="shared" ref="C6:C64" si="1">SUM(D6:F6)</f>
        <v>3512</v>
      </c>
      <c r="D6" s="229">
        <f>+[16]A07!X12+[16]A07!AB12</f>
        <v>1934</v>
      </c>
      <c r="E6" s="229">
        <f>+[16]A07!Y12+[16]A07!AC12</f>
        <v>1560</v>
      </c>
      <c r="F6" s="229">
        <f>+[16]A07!Z12+[16]A07!AD12</f>
        <v>18</v>
      </c>
      <c r="G6" s="834">
        <f t="shared" ref="G6:G65" si="2">SUM(H6:J6)</f>
        <v>2601</v>
      </c>
      <c r="H6" s="229">
        <v>1608</v>
      </c>
      <c r="I6" s="229">
        <v>972</v>
      </c>
      <c r="J6" s="835">
        <v>21</v>
      </c>
      <c r="K6" s="689">
        <f>SUM(L6:N6)</f>
        <v>911</v>
      </c>
      <c r="L6" s="55">
        <f t="shared" si="0"/>
        <v>326</v>
      </c>
      <c r="M6" s="55">
        <f t="shared" si="0"/>
        <v>588</v>
      </c>
      <c r="N6" s="690">
        <f t="shared" si="0"/>
        <v>-3</v>
      </c>
      <c r="O6" s="692">
        <f>(+C6-G6)/G6*100</f>
        <v>35.02499038831219</v>
      </c>
    </row>
    <row r="7" spans="1:15" s="94" customFormat="1" ht="23.25" customHeight="1">
      <c r="A7" s="869" t="s">
        <v>1356</v>
      </c>
      <c r="B7" s="229">
        <f>+[16]A07!$B13</f>
        <v>2034</v>
      </c>
      <c r="C7" s="688">
        <f t="shared" si="1"/>
        <v>0</v>
      </c>
      <c r="D7" s="229">
        <f>+[16]A07!X13+[16]A07!AB13</f>
        <v>0</v>
      </c>
      <c r="E7" s="229">
        <f>+[16]A07!Y13+[16]A07!AC13</f>
        <v>0</v>
      </c>
      <c r="F7" s="229">
        <f>+[16]A07!Z13+[16]A07!AD13</f>
        <v>0</v>
      </c>
      <c r="G7" s="834">
        <f t="shared" si="2"/>
        <v>0</v>
      </c>
      <c r="H7" s="229">
        <v>0</v>
      </c>
      <c r="I7" s="229">
        <v>0</v>
      </c>
      <c r="J7" s="835">
        <v>0</v>
      </c>
      <c r="K7" s="689">
        <f t="shared" ref="K7:K27" si="3">SUM(L7:N7)</f>
        <v>0</v>
      </c>
      <c r="L7" s="55">
        <f t="shared" ref="L7:L27" si="4">+D7-H7</f>
        <v>0</v>
      </c>
      <c r="M7" s="55">
        <f t="shared" ref="M7:M27" si="5">+E7-I7</f>
        <v>0</v>
      </c>
      <c r="N7" s="690">
        <f t="shared" ref="N7:N27" si="6">+F7-J7</f>
        <v>0</v>
      </c>
      <c r="O7" s="692"/>
    </row>
    <row r="8" spans="1:15" s="94" customFormat="1" ht="23.25" customHeight="1">
      <c r="A8" s="869" t="s">
        <v>1357</v>
      </c>
      <c r="B8" s="229">
        <f>+[16]A07!$B14</f>
        <v>651</v>
      </c>
      <c r="C8" s="688">
        <f t="shared" si="1"/>
        <v>47</v>
      </c>
      <c r="D8" s="229">
        <f>+[16]A07!X14+[16]A07!AB14</f>
        <v>18</v>
      </c>
      <c r="E8" s="229">
        <f>+[16]A07!Y14+[16]A07!AC14</f>
        <v>26</v>
      </c>
      <c r="F8" s="229">
        <f>+[16]A07!Z14+[16]A07!AD14</f>
        <v>3</v>
      </c>
      <c r="G8" s="834">
        <f t="shared" si="2"/>
        <v>43</v>
      </c>
      <c r="H8" s="229">
        <v>28</v>
      </c>
      <c r="I8" s="229">
        <v>13</v>
      </c>
      <c r="J8" s="835">
        <v>2</v>
      </c>
      <c r="K8" s="689">
        <f t="shared" si="3"/>
        <v>4</v>
      </c>
      <c r="L8" s="55">
        <f t="shared" si="4"/>
        <v>-10</v>
      </c>
      <c r="M8" s="55">
        <f t="shared" si="5"/>
        <v>13</v>
      </c>
      <c r="N8" s="690">
        <f t="shared" si="6"/>
        <v>1</v>
      </c>
      <c r="O8" s="692">
        <f t="shared" ref="O8:O57" si="7">(+C8-G8)/G8*100</f>
        <v>9.3023255813953494</v>
      </c>
    </row>
    <row r="9" spans="1:15" s="94" customFormat="1" ht="23.25" customHeight="1">
      <c r="A9" s="869" t="s">
        <v>1358</v>
      </c>
      <c r="B9" s="229">
        <f>+[16]A07!$B15</f>
        <v>1093</v>
      </c>
      <c r="C9" s="688">
        <f t="shared" si="1"/>
        <v>150</v>
      </c>
      <c r="D9" s="229">
        <f>+[16]A07!X15+[16]A07!AB15</f>
        <v>78</v>
      </c>
      <c r="E9" s="229">
        <f>+[16]A07!Y15+[16]A07!AC15</f>
        <v>64</v>
      </c>
      <c r="F9" s="229">
        <f>+[16]A07!Z15+[16]A07!AD15</f>
        <v>8</v>
      </c>
      <c r="G9" s="834">
        <f t="shared" si="2"/>
        <v>165</v>
      </c>
      <c r="H9" s="229">
        <v>107</v>
      </c>
      <c r="I9" s="229">
        <v>52</v>
      </c>
      <c r="J9" s="835">
        <v>6</v>
      </c>
      <c r="K9" s="689">
        <f t="shared" si="3"/>
        <v>-15</v>
      </c>
      <c r="L9" s="55">
        <f t="shared" si="4"/>
        <v>-29</v>
      </c>
      <c r="M9" s="55">
        <f t="shared" si="5"/>
        <v>12</v>
      </c>
      <c r="N9" s="690">
        <f t="shared" si="6"/>
        <v>2</v>
      </c>
      <c r="O9" s="692">
        <f t="shared" si="7"/>
        <v>-9.0909090909090917</v>
      </c>
    </row>
    <row r="10" spans="1:15" s="94" customFormat="1" ht="23.25" customHeight="1">
      <c r="A10" s="869" t="s">
        <v>1359</v>
      </c>
      <c r="B10" s="229">
        <f>+[16]A07!$B16</f>
        <v>701</v>
      </c>
      <c r="C10" s="688">
        <f t="shared" si="1"/>
        <v>154</v>
      </c>
      <c r="D10" s="229">
        <f>+[16]A07!X16+[16]A07!AB16</f>
        <v>66</v>
      </c>
      <c r="E10" s="229">
        <f>+[16]A07!Y16+[16]A07!AC16</f>
        <v>87</v>
      </c>
      <c r="F10" s="229">
        <f>+[16]A07!Z16+[16]A07!AD16</f>
        <v>1</v>
      </c>
      <c r="G10" s="834">
        <f t="shared" si="2"/>
        <v>150</v>
      </c>
      <c r="H10" s="229">
        <v>52</v>
      </c>
      <c r="I10" s="229">
        <v>96</v>
      </c>
      <c r="J10" s="835">
        <v>2</v>
      </c>
      <c r="K10" s="689">
        <f t="shared" si="3"/>
        <v>4</v>
      </c>
      <c r="L10" s="55">
        <f t="shared" si="4"/>
        <v>14</v>
      </c>
      <c r="M10" s="55">
        <f t="shared" si="5"/>
        <v>-9</v>
      </c>
      <c r="N10" s="690">
        <f t="shared" si="6"/>
        <v>-1</v>
      </c>
      <c r="O10" s="692">
        <f t="shared" si="7"/>
        <v>2.666666666666667</v>
      </c>
    </row>
    <row r="11" spans="1:15" s="94" customFormat="1" ht="23.25" customHeight="1">
      <c r="A11" s="869" t="s">
        <v>1441</v>
      </c>
      <c r="B11" s="229">
        <f>+[16]A07!$B17</f>
        <v>6738</v>
      </c>
      <c r="C11" s="688">
        <f t="shared" si="1"/>
        <v>1164</v>
      </c>
      <c r="D11" s="229">
        <f>+[16]A07!X17+[16]A07!AB17</f>
        <v>558</v>
      </c>
      <c r="E11" s="229">
        <f>+[16]A07!Y17+[16]A07!AC17</f>
        <v>556</v>
      </c>
      <c r="F11" s="229">
        <f>+[16]A07!Z17+[16]A07!AD17</f>
        <v>50</v>
      </c>
      <c r="G11" s="834">
        <f t="shared" si="2"/>
        <v>898</v>
      </c>
      <c r="H11" s="229">
        <v>443</v>
      </c>
      <c r="I11" s="229">
        <v>420</v>
      </c>
      <c r="J11" s="835">
        <v>35</v>
      </c>
      <c r="K11" s="689">
        <f t="shared" si="3"/>
        <v>266</v>
      </c>
      <c r="L11" s="55">
        <f t="shared" si="4"/>
        <v>115</v>
      </c>
      <c r="M11" s="55">
        <f t="shared" si="5"/>
        <v>136</v>
      </c>
      <c r="N11" s="690">
        <f t="shared" si="6"/>
        <v>15</v>
      </c>
      <c r="O11" s="692">
        <f t="shared" si="7"/>
        <v>29.621380846325167</v>
      </c>
    </row>
    <row r="12" spans="1:15" s="94" customFormat="1" ht="23.25" customHeight="1">
      <c r="A12" s="869" t="s">
        <v>1360</v>
      </c>
      <c r="B12" s="229">
        <f>+[16]A07!$B18</f>
        <v>0</v>
      </c>
      <c r="C12" s="688">
        <f t="shared" si="1"/>
        <v>0</v>
      </c>
      <c r="D12" s="229">
        <f>+[16]A07!X18+[16]A07!AB18</f>
        <v>0</v>
      </c>
      <c r="E12" s="229">
        <f>+[16]A07!Y18+[16]A07!AC18</f>
        <v>0</v>
      </c>
      <c r="F12" s="229">
        <f>+[16]A07!Z18+[16]A07!AD18</f>
        <v>0</v>
      </c>
      <c r="G12" s="834">
        <f t="shared" si="2"/>
        <v>0</v>
      </c>
      <c r="H12" s="229">
        <v>0</v>
      </c>
      <c r="I12" s="229">
        <v>0</v>
      </c>
      <c r="J12" s="835">
        <v>0</v>
      </c>
      <c r="K12" s="689">
        <f t="shared" si="3"/>
        <v>0</v>
      </c>
      <c r="L12" s="55">
        <f t="shared" si="4"/>
        <v>0</v>
      </c>
      <c r="M12" s="55">
        <f t="shared" si="5"/>
        <v>0</v>
      </c>
      <c r="N12" s="690">
        <f t="shared" si="6"/>
        <v>0</v>
      </c>
      <c r="O12" s="692"/>
    </row>
    <row r="13" spans="1:15" s="94" customFormat="1" ht="23.25" customHeight="1">
      <c r="A13" s="870" t="s">
        <v>1361</v>
      </c>
      <c r="B13" s="229">
        <f>+[16]A07!$B19</f>
        <v>2581</v>
      </c>
      <c r="C13" s="688">
        <f t="shared" si="1"/>
        <v>425</v>
      </c>
      <c r="D13" s="229">
        <f>+[16]A07!X19+[16]A07!AB19</f>
        <v>134</v>
      </c>
      <c r="E13" s="229">
        <f>+[16]A07!Y19+[16]A07!AC19</f>
        <v>291</v>
      </c>
      <c r="F13" s="229">
        <f>+[16]A07!Z19+[16]A07!AD19</f>
        <v>0</v>
      </c>
      <c r="G13" s="834">
        <f t="shared" si="2"/>
        <v>450</v>
      </c>
      <c r="H13" s="229">
        <v>289</v>
      </c>
      <c r="I13" s="229">
        <v>159</v>
      </c>
      <c r="J13" s="835">
        <v>2</v>
      </c>
      <c r="K13" s="689">
        <f t="shared" si="3"/>
        <v>-25</v>
      </c>
      <c r="L13" s="55">
        <f t="shared" si="4"/>
        <v>-155</v>
      </c>
      <c r="M13" s="55">
        <f t="shared" si="5"/>
        <v>132</v>
      </c>
      <c r="N13" s="690">
        <f t="shared" si="6"/>
        <v>-2</v>
      </c>
      <c r="O13" s="692">
        <f t="shared" si="7"/>
        <v>-5.5555555555555554</v>
      </c>
    </row>
    <row r="14" spans="1:15" s="94" customFormat="1" ht="23.25" customHeight="1">
      <c r="A14" s="869" t="s">
        <v>1362</v>
      </c>
      <c r="B14" s="229">
        <f>+[16]A07!$B20</f>
        <v>471</v>
      </c>
      <c r="C14" s="688">
        <f t="shared" si="1"/>
        <v>95</v>
      </c>
      <c r="D14" s="229">
        <f>+[16]A07!X20+[16]A07!AB20</f>
        <v>21</v>
      </c>
      <c r="E14" s="229">
        <f>+[16]A07!Y20+[16]A07!AC20</f>
        <v>73</v>
      </c>
      <c r="F14" s="229">
        <f>+[16]A07!Z20+[16]A07!AD20</f>
        <v>1</v>
      </c>
      <c r="G14" s="834">
        <f t="shared" si="2"/>
        <v>42</v>
      </c>
      <c r="H14" s="229">
        <v>18</v>
      </c>
      <c r="I14" s="229">
        <v>24</v>
      </c>
      <c r="J14" s="835">
        <v>0</v>
      </c>
      <c r="K14" s="689">
        <f t="shared" si="3"/>
        <v>53</v>
      </c>
      <c r="L14" s="55">
        <f t="shared" si="4"/>
        <v>3</v>
      </c>
      <c r="M14" s="55">
        <f t="shared" si="5"/>
        <v>49</v>
      </c>
      <c r="N14" s="690">
        <f t="shared" si="6"/>
        <v>1</v>
      </c>
      <c r="O14" s="692">
        <f t="shared" si="7"/>
        <v>126.19047619047619</v>
      </c>
    </row>
    <row r="15" spans="1:15" s="94" customFormat="1" ht="23.25" customHeight="1">
      <c r="A15" s="869" t="s">
        <v>1363</v>
      </c>
      <c r="B15" s="229">
        <f>+[16]A07!$B21</f>
        <v>2137</v>
      </c>
      <c r="C15" s="688">
        <f t="shared" si="1"/>
        <v>621</v>
      </c>
      <c r="D15" s="229">
        <f>+[16]A07!X21+[16]A07!AB21</f>
        <v>310</v>
      </c>
      <c r="E15" s="229">
        <f>+[16]A07!Y21+[16]A07!AC21</f>
        <v>305</v>
      </c>
      <c r="F15" s="229">
        <f>+[16]A07!Z21+[16]A07!AD21</f>
        <v>6</v>
      </c>
      <c r="G15" s="834">
        <f t="shared" si="2"/>
        <v>528</v>
      </c>
      <c r="H15" s="229">
        <v>314</v>
      </c>
      <c r="I15" s="229">
        <v>208</v>
      </c>
      <c r="J15" s="835">
        <v>6</v>
      </c>
      <c r="K15" s="689">
        <f t="shared" si="3"/>
        <v>93</v>
      </c>
      <c r="L15" s="55">
        <f t="shared" si="4"/>
        <v>-4</v>
      </c>
      <c r="M15" s="55">
        <f t="shared" si="5"/>
        <v>97</v>
      </c>
      <c r="N15" s="690">
        <f t="shared" si="6"/>
        <v>0</v>
      </c>
      <c r="O15" s="692">
        <f t="shared" si="7"/>
        <v>17.613636363636363</v>
      </c>
    </row>
    <row r="16" spans="1:15" s="94" customFormat="1" ht="23.25" customHeight="1">
      <c r="A16" s="869" t="s">
        <v>1364</v>
      </c>
      <c r="B16" s="229">
        <f>+[16]A07!$B22</f>
        <v>0</v>
      </c>
      <c r="C16" s="688">
        <f t="shared" si="1"/>
        <v>0</v>
      </c>
      <c r="D16" s="229">
        <f>+[16]A07!X22+[16]A07!AB22</f>
        <v>0</v>
      </c>
      <c r="E16" s="229">
        <f>+[16]A07!Y22+[16]A07!AC22</f>
        <v>0</v>
      </c>
      <c r="F16" s="229">
        <f>+[16]A07!Z22+[16]A07!AD22</f>
        <v>0</v>
      </c>
      <c r="G16" s="834">
        <f t="shared" si="2"/>
        <v>0</v>
      </c>
      <c r="H16" s="229">
        <v>0</v>
      </c>
      <c r="I16" s="229">
        <v>0</v>
      </c>
      <c r="J16" s="835">
        <v>0</v>
      </c>
      <c r="K16" s="689">
        <f t="shared" si="3"/>
        <v>0</v>
      </c>
      <c r="L16" s="55">
        <f t="shared" si="4"/>
        <v>0</v>
      </c>
      <c r="M16" s="55">
        <f t="shared" si="5"/>
        <v>0</v>
      </c>
      <c r="N16" s="690">
        <f t="shared" si="6"/>
        <v>0</v>
      </c>
      <c r="O16" s="692"/>
    </row>
    <row r="17" spans="1:15" s="94" customFormat="1" ht="23.25" customHeight="1">
      <c r="A17" s="869" t="s">
        <v>1365</v>
      </c>
      <c r="B17" s="229">
        <f>+[16]A07!$B23</f>
        <v>0</v>
      </c>
      <c r="C17" s="688">
        <f t="shared" si="1"/>
        <v>0</v>
      </c>
      <c r="D17" s="229">
        <f>+[16]A07!X23+[16]A07!AB23</f>
        <v>0</v>
      </c>
      <c r="E17" s="229">
        <f>+[16]A07!Y23+[16]A07!AC23</f>
        <v>0</v>
      </c>
      <c r="F17" s="229">
        <f>+[16]A07!Z23+[16]A07!AD23</f>
        <v>0</v>
      </c>
      <c r="G17" s="834">
        <f t="shared" si="2"/>
        <v>0</v>
      </c>
      <c r="H17" s="229">
        <v>0</v>
      </c>
      <c r="I17" s="229">
        <v>0</v>
      </c>
      <c r="J17" s="835">
        <v>0</v>
      </c>
      <c r="K17" s="689">
        <f t="shared" si="3"/>
        <v>0</v>
      </c>
      <c r="L17" s="55">
        <f t="shared" si="4"/>
        <v>0</v>
      </c>
      <c r="M17" s="55">
        <f t="shared" si="5"/>
        <v>0</v>
      </c>
      <c r="N17" s="690">
        <f t="shared" si="6"/>
        <v>0</v>
      </c>
      <c r="O17" s="692"/>
    </row>
    <row r="18" spans="1:15" s="94" customFormat="1" ht="23.25" customHeight="1">
      <c r="A18" s="869" t="s">
        <v>1442</v>
      </c>
      <c r="B18" s="229">
        <f>+[16]A07!$B24</f>
        <v>658</v>
      </c>
      <c r="C18" s="688">
        <f t="shared" si="1"/>
        <v>189</v>
      </c>
      <c r="D18" s="229">
        <f>+[16]A07!X24+[16]A07!AB24</f>
        <v>58</v>
      </c>
      <c r="E18" s="229">
        <f>+[16]A07!Y24+[16]A07!AC24</f>
        <v>130</v>
      </c>
      <c r="F18" s="229">
        <f>+[16]A07!Z24+[16]A07!AD24</f>
        <v>1</v>
      </c>
      <c r="G18" s="834">
        <f t="shared" si="2"/>
        <v>0</v>
      </c>
      <c r="H18" s="229">
        <v>0</v>
      </c>
      <c r="I18" s="229">
        <v>0</v>
      </c>
      <c r="J18" s="835">
        <v>0</v>
      </c>
      <c r="K18" s="689">
        <f t="shared" si="3"/>
        <v>189</v>
      </c>
      <c r="L18" s="55">
        <f t="shared" si="4"/>
        <v>58</v>
      </c>
      <c r="M18" s="55">
        <f t="shared" si="5"/>
        <v>130</v>
      </c>
      <c r="N18" s="690">
        <f t="shared" si="6"/>
        <v>1</v>
      </c>
      <c r="O18" s="692"/>
    </row>
    <row r="19" spans="1:15" s="94" customFormat="1" ht="23.25" customHeight="1">
      <c r="A19" s="871" t="s">
        <v>1366</v>
      </c>
      <c r="B19" s="229">
        <f>+[16]A07!$B25</f>
        <v>0</v>
      </c>
      <c r="C19" s="688">
        <f t="shared" si="1"/>
        <v>0</v>
      </c>
      <c r="D19" s="229">
        <f>+[16]A07!X25+[16]A07!AB25</f>
        <v>0</v>
      </c>
      <c r="E19" s="229">
        <f>+[16]A07!Y25+[16]A07!AC25</f>
        <v>0</v>
      </c>
      <c r="F19" s="229">
        <f>+[16]A07!Z25+[16]A07!AD25</f>
        <v>0</v>
      </c>
      <c r="G19" s="834">
        <f t="shared" si="2"/>
        <v>0</v>
      </c>
      <c r="H19" s="229">
        <v>0</v>
      </c>
      <c r="I19" s="229">
        <v>0</v>
      </c>
      <c r="J19" s="835">
        <v>0</v>
      </c>
      <c r="K19" s="689">
        <f t="shared" si="3"/>
        <v>0</v>
      </c>
      <c r="L19" s="55">
        <f t="shared" si="4"/>
        <v>0</v>
      </c>
      <c r="M19" s="55">
        <f t="shared" si="5"/>
        <v>0</v>
      </c>
      <c r="N19" s="690">
        <f t="shared" si="6"/>
        <v>0</v>
      </c>
      <c r="O19" s="692"/>
    </row>
    <row r="20" spans="1:15" s="94" customFormat="1" ht="23.25" customHeight="1">
      <c r="A20" s="869" t="s">
        <v>1367</v>
      </c>
      <c r="B20" s="229">
        <f>+[16]A07!$B26</f>
        <v>704</v>
      </c>
      <c r="C20" s="688">
        <f t="shared" si="1"/>
        <v>183</v>
      </c>
      <c r="D20" s="229">
        <f>+[16]A07!X26+[16]A07!AB26</f>
        <v>88</v>
      </c>
      <c r="E20" s="229">
        <f>+[16]A07!Y26+[16]A07!AC26</f>
        <v>95</v>
      </c>
      <c r="F20" s="229">
        <f>+[16]A07!Z26+[16]A07!AD26</f>
        <v>0</v>
      </c>
      <c r="G20" s="834">
        <f t="shared" si="2"/>
        <v>149</v>
      </c>
      <c r="H20" s="229">
        <v>53</v>
      </c>
      <c r="I20" s="229">
        <v>95</v>
      </c>
      <c r="J20" s="835">
        <v>1</v>
      </c>
      <c r="K20" s="689">
        <f t="shared" si="3"/>
        <v>34</v>
      </c>
      <c r="L20" s="55">
        <f t="shared" si="4"/>
        <v>35</v>
      </c>
      <c r="M20" s="55">
        <f t="shared" si="5"/>
        <v>0</v>
      </c>
      <c r="N20" s="690">
        <f t="shared" si="6"/>
        <v>-1</v>
      </c>
      <c r="O20" s="692">
        <f t="shared" si="7"/>
        <v>22.818791946308725</v>
      </c>
    </row>
    <row r="21" spans="1:15" s="94" customFormat="1" ht="23.25" customHeight="1">
      <c r="A21" s="869" t="s">
        <v>1368</v>
      </c>
      <c r="B21" s="229">
        <f>+[16]A07!$B27</f>
        <v>0</v>
      </c>
      <c r="C21" s="688">
        <f t="shared" si="1"/>
        <v>0</v>
      </c>
      <c r="D21" s="229">
        <f>+[16]A07!X27+[16]A07!AB27</f>
        <v>0</v>
      </c>
      <c r="E21" s="229">
        <f>+[16]A07!Y27+[16]A07!AC27</f>
        <v>0</v>
      </c>
      <c r="F21" s="229">
        <f>+[16]A07!Z27+[16]A07!AD27</f>
        <v>0</v>
      </c>
      <c r="G21" s="834">
        <v>0</v>
      </c>
      <c r="H21" s="229">
        <v>0</v>
      </c>
      <c r="I21" s="229">
        <v>0</v>
      </c>
      <c r="J21" s="835">
        <v>0</v>
      </c>
      <c r="K21" s="689">
        <v>0</v>
      </c>
      <c r="L21" s="55">
        <v>0</v>
      </c>
      <c r="M21" s="55">
        <v>0</v>
      </c>
      <c r="N21" s="690">
        <v>0</v>
      </c>
      <c r="O21" s="692">
        <v>0</v>
      </c>
    </row>
    <row r="22" spans="1:15" s="94" customFormat="1" ht="23.25" customHeight="1">
      <c r="A22" s="869" t="s">
        <v>1443</v>
      </c>
      <c r="B22" s="229">
        <f>+[16]A07!$B28</f>
        <v>0</v>
      </c>
      <c r="C22" s="688">
        <f t="shared" si="1"/>
        <v>0</v>
      </c>
      <c r="D22" s="229">
        <f>+[16]A07!X28+[16]A07!AB28</f>
        <v>0</v>
      </c>
      <c r="E22" s="229">
        <f>+[16]A07!Y28+[16]A07!AC28</f>
        <v>0</v>
      </c>
      <c r="F22" s="229">
        <f>+[16]A07!Z28+[16]A07!AD28</f>
        <v>0</v>
      </c>
      <c r="G22" s="834">
        <f t="shared" si="2"/>
        <v>0</v>
      </c>
      <c r="H22" s="229">
        <v>0</v>
      </c>
      <c r="I22" s="229">
        <v>0</v>
      </c>
      <c r="J22" s="835">
        <v>0</v>
      </c>
      <c r="K22" s="689">
        <f t="shared" si="3"/>
        <v>0</v>
      </c>
      <c r="L22" s="55">
        <f t="shared" si="4"/>
        <v>0</v>
      </c>
      <c r="M22" s="55">
        <f t="shared" si="5"/>
        <v>0</v>
      </c>
      <c r="N22" s="690">
        <f t="shared" si="6"/>
        <v>0</v>
      </c>
      <c r="O22" s="692"/>
    </row>
    <row r="23" spans="1:15" s="94" customFormat="1" ht="23.25" customHeight="1">
      <c r="A23" s="869" t="s">
        <v>1369</v>
      </c>
      <c r="B23" s="229">
        <f>+[16]A07!$B29</f>
        <v>20</v>
      </c>
      <c r="C23" s="688">
        <f t="shared" si="1"/>
        <v>8</v>
      </c>
      <c r="D23" s="229">
        <f>+[16]A07!X29+[16]A07!AB29</f>
        <v>3</v>
      </c>
      <c r="E23" s="229">
        <f>+[16]A07!Y29+[16]A07!AC29</f>
        <v>5</v>
      </c>
      <c r="F23" s="229">
        <f>+[16]A07!Z29+[16]A07!AD29</f>
        <v>0</v>
      </c>
      <c r="G23" s="834">
        <f t="shared" si="2"/>
        <v>0</v>
      </c>
      <c r="H23" s="229">
        <v>0</v>
      </c>
      <c r="I23" s="229">
        <v>0</v>
      </c>
      <c r="J23" s="835">
        <v>0</v>
      </c>
      <c r="K23" s="689">
        <f t="shared" si="3"/>
        <v>8</v>
      </c>
      <c r="L23" s="55">
        <f t="shared" si="4"/>
        <v>3</v>
      </c>
      <c r="M23" s="55">
        <f t="shared" si="5"/>
        <v>5</v>
      </c>
      <c r="N23" s="690">
        <f t="shared" si="6"/>
        <v>0</v>
      </c>
      <c r="O23" s="692"/>
    </row>
    <row r="24" spans="1:15" s="94" customFormat="1" ht="23.25" customHeight="1">
      <c r="A24" s="869" t="s">
        <v>1444</v>
      </c>
      <c r="B24" s="229">
        <f>+[16]A07!$B30</f>
        <v>2907</v>
      </c>
      <c r="C24" s="688">
        <f t="shared" si="1"/>
        <v>458</v>
      </c>
      <c r="D24" s="229">
        <f>+[16]A07!X30+[16]A07!AB30</f>
        <v>176</v>
      </c>
      <c r="E24" s="229">
        <f>+[16]A07!Y30+[16]A07!AC30</f>
        <v>280</v>
      </c>
      <c r="F24" s="229">
        <f>+[16]A07!Z30+[16]A07!AD30</f>
        <v>2</v>
      </c>
      <c r="G24" s="834">
        <f t="shared" si="2"/>
        <v>325</v>
      </c>
      <c r="H24" s="229">
        <v>257</v>
      </c>
      <c r="I24" s="229">
        <v>68</v>
      </c>
      <c r="J24" s="835">
        <v>0</v>
      </c>
      <c r="K24" s="689">
        <f t="shared" si="3"/>
        <v>133</v>
      </c>
      <c r="L24" s="55">
        <f t="shared" si="4"/>
        <v>-81</v>
      </c>
      <c r="M24" s="55">
        <f t="shared" si="5"/>
        <v>212</v>
      </c>
      <c r="N24" s="690">
        <f t="shared" si="6"/>
        <v>2</v>
      </c>
      <c r="O24" s="692">
        <f t="shared" si="7"/>
        <v>40.92307692307692</v>
      </c>
    </row>
    <row r="25" spans="1:15" s="94" customFormat="1" ht="23.25" customHeight="1">
      <c r="A25" s="872" t="s">
        <v>1370</v>
      </c>
      <c r="B25" s="229">
        <f>+[16]A07!$B31</f>
        <v>0</v>
      </c>
      <c r="C25" s="688">
        <f t="shared" si="1"/>
        <v>0</v>
      </c>
      <c r="D25" s="229">
        <f>+[16]A07!X31+[16]A07!AB31</f>
        <v>0</v>
      </c>
      <c r="E25" s="229">
        <f>+[16]A07!Y31+[16]A07!AC31</f>
        <v>0</v>
      </c>
      <c r="F25" s="229">
        <f>+[16]A07!Z31+[16]A07!AD31</f>
        <v>0</v>
      </c>
      <c r="G25" s="834">
        <f t="shared" si="2"/>
        <v>0</v>
      </c>
      <c r="H25" s="229">
        <v>0</v>
      </c>
      <c r="I25" s="229">
        <v>0</v>
      </c>
      <c r="J25" s="835">
        <v>0</v>
      </c>
      <c r="K25" s="689">
        <f t="shared" si="3"/>
        <v>0</v>
      </c>
      <c r="L25" s="55">
        <f t="shared" si="4"/>
        <v>0</v>
      </c>
      <c r="M25" s="55">
        <f t="shared" si="5"/>
        <v>0</v>
      </c>
      <c r="N25" s="690">
        <f t="shared" si="6"/>
        <v>0</v>
      </c>
      <c r="O25" s="692"/>
    </row>
    <row r="26" spans="1:15" s="94" customFormat="1" ht="23.25" customHeight="1">
      <c r="A26" s="872" t="s">
        <v>1371</v>
      </c>
      <c r="B26" s="229">
        <f>+[16]A07!$B32</f>
        <v>0</v>
      </c>
      <c r="C26" s="688">
        <f t="shared" si="1"/>
        <v>0</v>
      </c>
      <c r="D26" s="229">
        <f>+[16]A07!X32+[16]A07!AB32</f>
        <v>0</v>
      </c>
      <c r="E26" s="229">
        <f>+[16]A07!Y32+[16]A07!AC32</f>
        <v>0</v>
      </c>
      <c r="F26" s="229">
        <f>+[16]A07!Z32+[16]A07!AD32</f>
        <v>0</v>
      </c>
      <c r="G26" s="834">
        <f t="shared" si="2"/>
        <v>0</v>
      </c>
      <c r="H26" s="229">
        <v>0</v>
      </c>
      <c r="I26" s="229">
        <v>0</v>
      </c>
      <c r="J26" s="835">
        <v>0</v>
      </c>
      <c r="K26" s="689">
        <f t="shared" si="3"/>
        <v>0</v>
      </c>
      <c r="L26" s="55">
        <f t="shared" si="4"/>
        <v>0</v>
      </c>
      <c r="M26" s="55">
        <f t="shared" si="5"/>
        <v>0</v>
      </c>
      <c r="N26" s="690">
        <f t="shared" si="6"/>
        <v>0</v>
      </c>
      <c r="O26" s="692"/>
    </row>
    <row r="27" spans="1:15" s="94" customFormat="1" ht="23.25" customHeight="1">
      <c r="A27" s="869" t="s">
        <v>1445</v>
      </c>
      <c r="B27" s="229">
        <f>+[16]A07!$B33</f>
        <v>867</v>
      </c>
      <c r="C27" s="688">
        <f t="shared" si="1"/>
        <v>0</v>
      </c>
      <c r="D27" s="229">
        <f>+[16]A07!X33+[16]A07!AB33</f>
        <v>0</v>
      </c>
      <c r="E27" s="229">
        <f>+[16]A07!Y33+[16]A07!AC33</f>
        <v>0</v>
      </c>
      <c r="F27" s="229">
        <f>+[16]A07!Z33+[16]A07!AD33</f>
        <v>0</v>
      </c>
      <c r="G27" s="834">
        <f t="shared" si="2"/>
        <v>0</v>
      </c>
      <c r="H27" s="229">
        <v>0</v>
      </c>
      <c r="I27" s="229">
        <v>0</v>
      </c>
      <c r="J27" s="835">
        <v>0</v>
      </c>
      <c r="K27" s="689">
        <f t="shared" si="3"/>
        <v>0</v>
      </c>
      <c r="L27" s="55">
        <f t="shared" si="4"/>
        <v>0</v>
      </c>
      <c r="M27" s="55">
        <f t="shared" si="5"/>
        <v>0</v>
      </c>
      <c r="N27" s="690">
        <f t="shared" si="6"/>
        <v>0</v>
      </c>
      <c r="O27" s="692" t="e">
        <f t="shared" si="7"/>
        <v>#DIV/0!</v>
      </c>
    </row>
    <row r="28" spans="1:15" s="94" customFormat="1" ht="23.25" customHeight="1">
      <c r="A28" s="869" t="s">
        <v>1372</v>
      </c>
      <c r="B28" s="229">
        <f>+[16]A07!$B34</f>
        <v>0</v>
      </c>
      <c r="C28" s="688">
        <f t="shared" si="1"/>
        <v>0</v>
      </c>
      <c r="D28" s="229">
        <f>+[16]A07!X34+[16]A07!AB34</f>
        <v>0</v>
      </c>
      <c r="E28" s="229">
        <f>+[16]A07!Y34+[16]A07!AC34</f>
        <v>0</v>
      </c>
      <c r="F28" s="229">
        <f>+[16]A07!Z34+[16]A07!AD34</f>
        <v>0</v>
      </c>
      <c r="G28" s="834">
        <f t="shared" si="2"/>
        <v>0</v>
      </c>
      <c r="H28" s="229">
        <v>0</v>
      </c>
      <c r="I28" s="229">
        <v>0</v>
      </c>
      <c r="J28" s="835">
        <v>0</v>
      </c>
      <c r="K28" s="689">
        <f t="shared" ref="K28:K64" si="8">SUM(L28:N28)</f>
        <v>0</v>
      </c>
      <c r="L28" s="55">
        <f t="shared" ref="L28:L64" si="9">+D28-H28</f>
        <v>0</v>
      </c>
      <c r="M28" s="55">
        <f t="shared" ref="M28:M64" si="10">+E28-I28</f>
        <v>0</v>
      </c>
      <c r="N28" s="690">
        <f t="shared" ref="N28:N64" si="11">+F28-J28</f>
        <v>0</v>
      </c>
      <c r="O28" s="692"/>
    </row>
    <row r="29" spans="1:15" s="94" customFormat="1" ht="23.25" customHeight="1">
      <c r="A29" s="869" t="s">
        <v>1373</v>
      </c>
      <c r="B29" s="229">
        <f>+[16]A07!$B35</f>
        <v>0</v>
      </c>
      <c r="C29" s="688">
        <f t="shared" si="1"/>
        <v>0</v>
      </c>
      <c r="D29" s="229">
        <f>+[16]A07!X35+[16]A07!AB35</f>
        <v>0</v>
      </c>
      <c r="E29" s="229">
        <f>+[16]A07!Y35+[16]A07!AC35</f>
        <v>0</v>
      </c>
      <c r="F29" s="229">
        <f>+[16]A07!Z35+[16]A07!AD35</f>
        <v>0</v>
      </c>
      <c r="G29" s="834">
        <f t="shared" si="2"/>
        <v>0</v>
      </c>
      <c r="H29" s="229">
        <v>0</v>
      </c>
      <c r="I29" s="229">
        <v>0</v>
      </c>
      <c r="J29" s="835">
        <v>0</v>
      </c>
      <c r="K29" s="689">
        <f t="shared" si="8"/>
        <v>0</v>
      </c>
      <c r="L29" s="55">
        <f t="shared" si="9"/>
        <v>0</v>
      </c>
      <c r="M29" s="55">
        <f t="shared" si="10"/>
        <v>0</v>
      </c>
      <c r="N29" s="690">
        <f t="shared" si="11"/>
        <v>0</v>
      </c>
      <c r="O29" s="692"/>
    </row>
    <row r="30" spans="1:15" s="94" customFormat="1" ht="23.25" customHeight="1">
      <c r="A30" s="869" t="s">
        <v>1374</v>
      </c>
      <c r="B30" s="229">
        <f>+[16]A07!$B36</f>
        <v>547</v>
      </c>
      <c r="C30" s="688">
        <f t="shared" si="1"/>
        <v>159</v>
      </c>
      <c r="D30" s="229">
        <f>+[16]A07!X36+[16]A07!AB36</f>
        <v>27</v>
      </c>
      <c r="E30" s="229">
        <f>+[16]A07!Y36+[16]A07!AC36</f>
        <v>132</v>
      </c>
      <c r="F30" s="229">
        <f>+[16]A07!Z36+[16]A07!AD36</f>
        <v>0</v>
      </c>
      <c r="G30" s="834">
        <f t="shared" si="2"/>
        <v>113</v>
      </c>
      <c r="H30" s="229">
        <v>11</v>
      </c>
      <c r="I30" s="229">
        <v>102</v>
      </c>
      <c r="J30" s="835">
        <v>0</v>
      </c>
      <c r="K30" s="689">
        <f t="shared" si="8"/>
        <v>46</v>
      </c>
      <c r="L30" s="55">
        <f t="shared" si="9"/>
        <v>16</v>
      </c>
      <c r="M30" s="55">
        <f t="shared" si="10"/>
        <v>30</v>
      </c>
      <c r="N30" s="690">
        <f t="shared" si="11"/>
        <v>0</v>
      </c>
      <c r="O30" s="692">
        <f t="shared" si="7"/>
        <v>40.707964601769916</v>
      </c>
    </row>
    <row r="31" spans="1:15" s="94" customFormat="1" ht="23.25" customHeight="1">
      <c r="A31" s="869" t="s">
        <v>1375</v>
      </c>
      <c r="B31" s="229">
        <f>+[16]A07!$B37</f>
        <v>1448</v>
      </c>
      <c r="C31" s="688">
        <f t="shared" si="1"/>
        <v>378</v>
      </c>
      <c r="D31" s="229">
        <f>+[16]A07!X37+[16]A07!AB37</f>
        <v>91</v>
      </c>
      <c r="E31" s="229">
        <f>+[16]A07!Y37+[16]A07!AC37</f>
        <v>287</v>
      </c>
      <c r="F31" s="229">
        <f>+[16]A07!Z37+[16]A07!AD37</f>
        <v>0</v>
      </c>
      <c r="G31" s="834">
        <f t="shared" si="2"/>
        <v>270</v>
      </c>
      <c r="H31" s="229">
        <v>55</v>
      </c>
      <c r="I31" s="229">
        <v>215</v>
      </c>
      <c r="J31" s="835">
        <v>0</v>
      </c>
      <c r="K31" s="689">
        <f t="shared" si="8"/>
        <v>108</v>
      </c>
      <c r="L31" s="55">
        <f t="shared" si="9"/>
        <v>36</v>
      </c>
      <c r="M31" s="55">
        <f t="shared" si="10"/>
        <v>72</v>
      </c>
      <c r="N31" s="690">
        <f t="shared" si="11"/>
        <v>0</v>
      </c>
      <c r="O31" s="692">
        <f t="shared" si="7"/>
        <v>40</v>
      </c>
    </row>
    <row r="32" spans="1:15" s="94" customFormat="1" ht="23.25" customHeight="1">
      <c r="A32" s="869" t="s">
        <v>1376</v>
      </c>
      <c r="B32" s="229">
        <f>+[16]A07!$B38</f>
        <v>2123</v>
      </c>
      <c r="C32" s="688">
        <f t="shared" si="1"/>
        <v>583</v>
      </c>
      <c r="D32" s="229">
        <f>+[16]A07!X38+[16]A07!AB38</f>
        <v>376</v>
      </c>
      <c r="E32" s="229">
        <f>+[16]A07!Y38+[16]A07!AC38</f>
        <v>196</v>
      </c>
      <c r="F32" s="229">
        <f>+[16]A07!Z38+[16]A07!AD38</f>
        <v>11</v>
      </c>
      <c r="G32" s="834">
        <f t="shared" si="2"/>
        <v>561</v>
      </c>
      <c r="H32" s="229">
        <v>311</v>
      </c>
      <c r="I32" s="229">
        <v>241</v>
      </c>
      <c r="J32" s="835">
        <v>9</v>
      </c>
      <c r="K32" s="689">
        <f t="shared" si="8"/>
        <v>22</v>
      </c>
      <c r="L32" s="55">
        <f t="shared" si="9"/>
        <v>65</v>
      </c>
      <c r="M32" s="55">
        <f t="shared" si="10"/>
        <v>-45</v>
      </c>
      <c r="N32" s="690">
        <f t="shared" si="11"/>
        <v>2</v>
      </c>
      <c r="O32" s="692">
        <f t="shared" si="7"/>
        <v>3.9215686274509802</v>
      </c>
    </row>
    <row r="33" spans="1:15" s="94" customFormat="1" ht="23.25" customHeight="1">
      <c r="A33" s="869" t="s">
        <v>1446</v>
      </c>
      <c r="B33" s="229">
        <f>+[16]A07!$B39</f>
        <v>2705</v>
      </c>
      <c r="C33" s="688">
        <f t="shared" si="1"/>
        <v>404</v>
      </c>
      <c r="D33" s="229">
        <f>+[16]A07!X39+[16]A07!AB39</f>
        <v>267</v>
      </c>
      <c r="E33" s="229">
        <f>+[16]A07!Y39+[16]A07!AC39</f>
        <v>137</v>
      </c>
      <c r="F33" s="229">
        <f>+[16]A07!Z39+[16]A07!AD39</f>
        <v>0</v>
      </c>
      <c r="G33" s="834">
        <f t="shared" si="2"/>
        <v>815</v>
      </c>
      <c r="H33" s="229">
        <v>416</v>
      </c>
      <c r="I33" s="229">
        <v>399</v>
      </c>
      <c r="J33" s="835">
        <v>0</v>
      </c>
      <c r="K33" s="689">
        <f t="shared" si="8"/>
        <v>-411</v>
      </c>
      <c r="L33" s="55">
        <f t="shared" si="9"/>
        <v>-149</v>
      </c>
      <c r="M33" s="55">
        <f t="shared" si="10"/>
        <v>-262</v>
      </c>
      <c r="N33" s="690">
        <f t="shared" si="11"/>
        <v>0</v>
      </c>
      <c r="O33" s="692">
        <f t="shared" si="7"/>
        <v>-50.429447852760731</v>
      </c>
    </row>
    <row r="34" spans="1:15" s="94" customFormat="1" ht="23.25" customHeight="1">
      <c r="A34" s="869" t="s">
        <v>1377</v>
      </c>
      <c r="B34" s="229">
        <f>+[16]A07!$B40</f>
        <v>0</v>
      </c>
      <c r="C34" s="688">
        <f t="shared" si="1"/>
        <v>0</v>
      </c>
      <c r="D34" s="229">
        <f>+[16]A07!X40+[16]A07!AB40</f>
        <v>0</v>
      </c>
      <c r="E34" s="229">
        <f>+[16]A07!Y40+[16]A07!AC40</f>
        <v>0</v>
      </c>
      <c r="F34" s="229">
        <f>+[16]A07!Z40+[16]A07!AD40</f>
        <v>0</v>
      </c>
      <c r="G34" s="834">
        <f t="shared" si="2"/>
        <v>0</v>
      </c>
      <c r="H34" s="229">
        <v>0</v>
      </c>
      <c r="I34" s="229">
        <v>0</v>
      </c>
      <c r="J34" s="835">
        <v>0</v>
      </c>
      <c r="K34" s="689">
        <f t="shared" si="8"/>
        <v>0</v>
      </c>
      <c r="L34" s="55">
        <f t="shared" si="9"/>
        <v>0</v>
      </c>
      <c r="M34" s="55">
        <f t="shared" si="10"/>
        <v>0</v>
      </c>
      <c r="N34" s="690">
        <f t="shared" si="11"/>
        <v>0</v>
      </c>
      <c r="O34" s="692"/>
    </row>
    <row r="35" spans="1:15" s="94" customFormat="1" ht="23.25" customHeight="1">
      <c r="A35" s="869" t="s">
        <v>1378</v>
      </c>
      <c r="B35" s="229">
        <f>+[16]A07!$B41</f>
        <v>2519</v>
      </c>
      <c r="C35" s="688">
        <f t="shared" si="1"/>
        <v>274</v>
      </c>
      <c r="D35" s="229">
        <f>+[16]A07!X41+[16]A07!AB41</f>
        <v>187</v>
      </c>
      <c r="E35" s="229">
        <f>+[16]A07!Y41+[16]A07!AC41</f>
        <v>37</v>
      </c>
      <c r="F35" s="229">
        <f>+[16]A07!Z41+[16]A07!AD41</f>
        <v>50</v>
      </c>
      <c r="G35" s="834">
        <f t="shared" si="2"/>
        <v>196</v>
      </c>
      <c r="H35" s="229">
        <v>145</v>
      </c>
      <c r="I35" s="229">
        <v>10</v>
      </c>
      <c r="J35" s="835">
        <v>41</v>
      </c>
      <c r="K35" s="689">
        <f t="shared" si="8"/>
        <v>78</v>
      </c>
      <c r="L35" s="55">
        <f t="shared" si="9"/>
        <v>42</v>
      </c>
      <c r="M35" s="55">
        <f t="shared" si="10"/>
        <v>27</v>
      </c>
      <c r="N35" s="690">
        <f t="shared" si="11"/>
        <v>9</v>
      </c>
      <c r="O35" s="692">
        <f t="shared" si="7"/>
        <v>39.795918367346935</v>
      </c>
    </row>
    <row r="36" spans="1:15" s="94" customFormat="1" ht="23.25" customHeight="1">
      <c r="A36" s="869" t="s">
        <v>1447</v>
      </c>
      <c r="B36" s="229">
        <f>+[16]A07!$B42</f>
        <v>5512</v>
      </c>
      <c r="C36" s="688">
        <f t="shared" si="1"/>
        <v>566</v>
      </c>
      <c r="D36" s="229">
        <f>+[16]A07!X42+[16]A07!AB42</f>
        <v>388</v>
      </c>
      <c r="E36" s="229">
        <f>+[16]A07!Y42+[16]A07!AC42</f>
        <v>68</v>
      </c>
      <c r="F36" s="229">
        <f>+[16]A07!Z42+[16]A07!AD42</f>
        <v>110</v>
      </c>
      <c r="G36" s="834">
        <f t="shared" si="2"/>
        <v>531</v>
      </c>
      <c r="H36" s="229">
        <v>357</v>
      </c>
      <c r="I36" s="229">
        <v>88</v>
      </c>
      <c r="J36" s="835">
        <v>86</v>
      </c>
      <c r="K36" s="689">
        <f t="shared" si="8"/>
        <v>35</v>
      </c>
      <c r="L36" s="55">
        <f t="shared" si="9"/>
        <v>31</v>
      </c>
      <c r="M36" s="55">
        <f t="shared" si="10"/>
        <v>-20</v>
      </c>
      <c r="N36" s="690">
        <f t="shared" si="11"/>
        <v>24</v>
      </c>
      <c r="O36" s="692">
        <f t="shared" si="7"/>
        <v>6.5913370998116756</v>
      </c>
    </row>
    <row r="37" spans="1:15" s="94" customFormat="1" ht="23.25" customHeight="1">
      <c r="A37" s="869" t="s">
        <v>1379</v>
      </c>
      <c r="B37" s="229">
        <f>+[16]A07!$B43</f>
        <v>2723</v>
      </c>
      <c r="C37" s="688">
        <f t="shared" si="1"/>
        <v>863</v>
      </c>
      <c r="D37" s="229">
        <f>+[16]A07!X43+[16]A07!AB43</f>
        <v>624</v>
      </c>
      <c r="E37" s="229">
        <f>+[16]A07!Y43+[16]A07!AC43</f>
        <v>200</v>
      </c>
      <c r="F37" s="229">
        <f>+[16]A07!Z43+[16]A07!AD43</f>
        <v>39</v>
      </c>
      <c r="G37" s="834">
        <f t="shared" si="2"/>
        <v>736</v>
      </c>
      <c r="H37" s="229">
        <v>496</v>
      </c>
      <c r="I37" s="229">
        <v>205</v>
      </c>
      <c r="J37" s="835">
        <v>35</v>
      </c>
      <c r="K37" s="689">
        <f t="shared" si="8"/>
        <v>127</v>
      </c>
      <c r="L37" s="55">
        <f t="shared" si="9"/>
        <v>128</v>
      </c>
      <c r="M37" s="55">
        <f t="shared" si="10"/>
        <v>-5</v>
      </c>
      <c r="N37" s="690">
        <f t="shared" si="11"/>
        <v>4</v>
      </c>
      <c r="O37" s="692">
        <f t="shared" si="7"/>
        <v>17.255434782608695</v>
      </c>
    </row>
    <row r="38" spans="1:15" s="94" customFormat="1" ht="23.25" customHeight="1">
      <c r="A38" s="869" t="s">
        <v>1448</v>
      </c>
      <c r="B38" s="229">
        <f>+[16]A07!$B44</f>
        <v>14076</v>
      </c>
      <c r="C38" s="688">
        <f t="shared" si="1"/>
        <v>2841</v>
      </c>
      <c r="D38" s="229">
        <f>+[16]A07!X44+[16]A07!AB44</f>
        <v>1608</v>
      </c>
      <c r="E38" s="229">
        <f>+[16]A07!Y44+[16]A07!AC44</f>
        <v>1217</v>
      </c>
      <c r="F38" s="229">
        <f>+[16]A07!Z44+[16]A07!AD44</f>
        <v>16</v>
      </c>
      <c r="G38" s="834">
        <f t="shared" si="2"/>
        <v>3577</v>
      </c>
      <c r="H38" s="229">
        <v>2208</v>
      </c>
      <c r="I38" s="229">
        <v>1344</v>
      </c>
      <c r="J38" s="835">
        <v>25</v>
      </c>
      <c r="K38" s="689">
        <f t="shared" si="8"/>
        <v>-736</v>
      </c>
      <c r="L38" s="55">
        <f t="shared" si="9"/>
        <v>-600</v>
      </c>
      <c r="M38" s="55">
        <f t="shared" si="10"/>
        <v>-127</v>
      </c>
      <c r="N38" s="690">
        <f t="shared" si="11"/>
        <v>-9</v>
      </c>
      <c r="O38" s="692">
        <f t="shared" si="7"/>
        <v>-20.575901593514118</v>
      </c>
    </row>
    <row r="39" spans="1:15" s="94" customFormat="1" ht="23.25" customHeight="1">
      <c r="A39" s="869" t="s">
        <v>1449</v>
      </c>
      <c r="B39" s="229">
        <f>+[16]A07!$B45</f>
        <v>0</v>
      </c>
      <c r="C39" s="688">
        <f t="shared" si="1"/>
        <v>0</v>
      </c>
      <c r="D39" s="229">
        <f>+[16]A07!X45+[16]A07!AB45</f>
        <v>0</v>
      </c>
      <c r="E39" s="229">
        <f>+[16]A07!Y45+[16]A07!AC45</f>
        <v>0</v>
      </c>
      <c r="F39" s="229">
        <f>+[16]A07!Z45+[16]A07!AD45</f>
        <v>0</v>
      </c>
      <c r="G39" s="834">
        <f t="shared" si="2"/>
        <v>0</v>
      </c>
      <c r="H39" s="229">
        <v>0</v>
      </c>
      <c r="I39" s="229">
        <v>0</v>
      </c>
      <c r="J39" s="835">
        <v>0</v>
      </c>
      <c r="K39" s="689">
        <f t="shared" si="8"/>
        <v>0</v>
      </c>
      <c r="L39" s="55">
        <f t="shared" si="9"/>
        <v>0</v>
      </c>
      <c r="M39" s="55">
        <f t="shared" si="10"/>
        <v>0</v>
      </c>
      <c r="N39" s="690">
        <f t="shared" si="11"/>
        <v>0</v>
      </c>
      <c r="O39" s="692"/>
    </row>
    <row r="40" spans="1:15" s="94" customFormat="1" ht="23.25" customHeight="1">
      <c r="A40" s="869" t="s">
        <v>1380</v>
      </c>
      <c r="B40" s="229">
        <f>+[16]A07!$B46</f>
        <v>0</v>
      </c>
      <c r="C40" s="688">
        <f t="shared" si="1"/>
        <v>0</v>
      </c>
      <c r="D40" s="229">
        <f>+[16]A07!X46+[16]A07!AB46</f>
        <v>0</v>
      </c>
      <c r="E40" s="229">
        <f>+[16]A07!Y46+[16]A07!AC46</f>
        <v>0</v>
      </c>
      <c r="F40" s="229">
        <f>+[16]A07!Z46+[16]A07!AD46</f>
        <v>0</v>
      </c>
      <c r="G40" s="834">
        <f t="shared" si="2"/>
        <v>0</v>
      </c>
      <c r="H40" s="229">
        <v>0</v>
      </c>
      <c r="I40" s="229">
        <v>0</v>
      </c>
      <c r="J40" s="835">
        <v>0</v>
      </c>
      <c r="K40" s="689">
        <f t="shared" si="8"/>
        <v>0</v>
      </c>
      <c r="L40" s="55">
        <f t="shared" si="9"/>
        <v>0</v>
      </c>
      <c r="M40" s="55">
        <f t="shared" si="10"/>
        <v>0</v>
      </c>
      <c r="N40" s="690">
        <f t="shared" si="11"/>
        <v>0</v>
      </c>
      <c r="O40" s="692"/>
    </row>
    <row r="41" spans="1:15" s="94" customFormat="1" ht="23.25" customHeight="1">
      <c r="A41" s="869" t="s">
        <v>1381</v>
      </c>
      <c r="B41" s="229">
        <f>+[16]A07!$B47</f>
        <v>0</v>
      </c>
      <c r="C41" s="688">
        <f t="shared" si="1"/>
        <v>0</v>
      </c>
      <c r="D41" s="229">
        <f>+[16]A07!X47+[16]A07!AB47</f>
        <v>0</v>
      </c>
      <c r="E41" s="229">
        <f>+[16]A07!Y47+[16]A07!AC47</f>
        <v>0</v>
      </c>
      <c r="F41" s="229">
        <f>+[16]A07!Z47+[16]A07!AD47</f>
        <v>0</v>
      </c>
      <c r="G41" s="834">
        <f t="shared" si="2"/>
        <v>0</v>
      </c>
      <c r="H41" s="229">
        <v>0</v>
      </c>
      <c r="I41" s="229">
        <v>0</v>
      </c>
      <c r="J41" s="835">
        <v>0</v>
      </c>
      <c r="K41" s="689">
        <f t="shared" si="8"/>
        <v>0</v>
      </c>
      <c r="L41" s="55">
        <f t="shared" si="9"/>
        <v>0</v>
      </c>
      <c r="M41" s="55">
        <f t="shared" si="10"/>
        <v>0</v>
      </c>
      <c r="N41" s="690">
        <f t="shared" si="11"/>
        <v>0</v>
      </c>
      <c r="O41" s="692"/>
    </row>
    <row r="42" spans="1:15" s="94" customFormat="1" ht="23.25" customHeight="1">
      <c r="A42" s="869" t="s">
        <v>1450</v>
      </c>
      <c r="B42" s="229">
        <f>+[16]A07!$B48</f>
        <v>1335</v>
      </c>
      <c r="C42" s="688">
        <f t="shared" si="1"/>
        <v>125</v>
      </c>
      <c r="D42" s="229">
        <f>+[16]A07!X48+[16]A07!AB48</f>
        <v>58</v>
      </c>
      <c r="E42" s="229">
        <f>+[16]A07!Y48+[16]A07!AC48</f>
        <v>66</v>
      </c>
      <c r="F42" s="229">
        <f>+[16]A07!Z48+[16]A07!AD48</f>
        <v>1</v>
      </c>
      <c r="G42" s="834">
        <f t="shared" si="2"/>
        <v>113</v>
      </c>
      <c r="H42" s="229">
        <v>64</v>
      </c>
      <c r="I42" s="229">
        <v>49</v>
      </c>
      <c r="J42" s="835">
        <v>0</v>
      </c>
      <c r="K42" s="689">
        <f t="shared" si="8"/>
        <v>12</v>
      </c>
      <c r="L42" s="55">
        <f t="shared" si="9"/>
        <v>-6</v>
      </c>
      <c r="M42" s="55">
        <f t="shared" si="10"/>
        <v>17</v>
      </c>
      <c r="N42" s="690">
        <f t="shared" si="11"/>
        <v>1</v>
      </c>
      <c r="O42" s="692">
        <f t="shared" si="7"/>
        <v>10.619469026548673</v>
      </c>
    </row>
    <row r="43" spans="1:15" s="94" customFormat="1" ht="23.25" customHeight="1">
      <c r="A43" s="869" t="s">
        <v>1451</v>
      </c>
      <c r="B43" s="229">
        <f>+[16]A07!$B49</f>
        <v>0</v>
      </c>
      <c r="C43" s="688">
        <f t="shared" si="1"/>
        <v>0</v>
      </c>
      <c r="D43" s="229">
        <f>+[16]A07!X49+[16]A07!AB49</f>
        <v>0</v>
      </c>
      <c r="E43" s="229">
        <f>+[16]A07!Y49+[16]A07!AC49</f>
        <v>0</v>
      </c>
      <c r="F43" s="229">
        <f>+[16]A07!Z49+[16]A07!AD49</f>
        <v>0</v>
      </c>
      <c r="G43" s="834">
        <f t="shared" si="2"/>
        <v>0</v>
      </c>
      <c r="H43" s="229">
        <v>0</v>
      </c>
      <c r="I43" s="229">
        <v>0</v>
      </c>
      <c r="J43" s="835">
        <v>0</v>
      </c>
      <c r="K43" s="689">
        <f t="shared" si="8"/>
        <v>0</v>
      </c>
      <c r="L43" s="55">
        <f t="shared" si="9"/>
        <v>0</v>
      </c>
      <c r="M43" s="55">
        <f t="shared" si="10"/>
        <v>0</v>
      </c>
      <c r="N43" s="690">
        <f t="shared" si="11"/>
        <v>0</v>
      </c>
      <c r="O43" s="692"/>
    </row>
    <row r="44" spans="1:15" s="94" customFormat="1" ht="23.25" customHeight="1">
      <c r="A44" s="869" t="s">
        <v>1382</v>
      </c>
      <c r="B44" s="229">
        <f>+[16]A07!$B50</f>
        <v>0</v>
      </c>
      <c r="C44" s="688">
        <f t="shared" si="1"/>
        <v>0</v>
      </c>
      <c r="D44" s="229">
        <f>+[16]A07!X50+[16]A07!AB50</f>
        <v>0</v>
      </c>
      <c r="E44" s="229">
        <f>+[16]A07!Y50+[16]A07!AC50</f>
        <v>0</v>
      </c>
      <c r="F44" s="229">
        <f>+[16]A07!Z50+[16]A07!AD50</f>
        <v>0</v>
      </c>
      <c r="G44" s="834">
        <f t="shared" si="2"/>
        <v>0</v>
      </c>
      <c r="H44" s="229">
        <v>0</v>
      </c>
      <c r="I44" s="229">
        <v>0</v>
      </c>
      <c r="J44" s="835">
        <v>0</v>
      </c>
      <c r="K44" s="689">
        <f t="shared" si="8"/>
        <v>0</v>
      </c>
      <c r="L44" s="55">
        <f t="shared" si="9"/>
        <v>0</v>
      </c>
      <c r="M44" s="55">
        <f t="shared" si="10"/>
        <v>0</v>
      </c>
      <c r="N44" s="690">
        <f t="shared" si="11"/>
        <v>0</v>
      </c>
      <c r="O44" s="692"/>
    </row>
    <row r="45" spans="1:15" s="94" customFormat="1" ht="23.25" customHeight="1">
      <c r="A45" s="869" t="s">
        <v>1290</v>
      </c>
      <c r="B45" s="229">
        <f>+[16]A07!$B51</f>
        <v>704</v>
      </c>
      <c r="C45" s="688">
        <f t="shared" si="1"/>
        <v>146</v>
      </c>
      <c r="D45" s="229">
        <f>+[16]A07!X51+[16]A07!AB51</f>
        <v>49</v>
      </c>
      <c r="E45" s="229">
        <f>+[16]A07!Y51+[16]A07!AC51</f>
        <v>94</v>
      </c>
      <c r="F45" s="229">
        <f>+[16]A07!Z51+[16]A07!AD51</f>
        <v>3</v>
      </c>
      <c r="G45" s="834">
        <f t="shared" si="2"/>
        <v>109</v>
      </c>
      <c r="H45" s="229">
        <v>84</v>
      </c>
      <c r="I45" s="229">
        <v>25</v>
      </c>
      <c r="J45" s="835">
        <v>0</v>
      </c>
      <c r="K45" s="689">
        <f t="shared" si="8"/>
        <v>37</v>
      </c>
      <c r="L45" s="55">
        <f t="shared" si="9"/>
        <v>-35</v>
      </c>
      <c r="M45" s="55">
        <f t="shared" si="10"/>
        <v>69</v>
      </c>
      <c r="N45" s="690">
        <f t="shared" si="11"/>
        <v>3</v>
      </c>
      <c r="O45" s="692">
        <f t="shared" si="7"/>
        <v>33.944954128440372</v>
      </c>
    </row>
    <row r="46" spans="1:15" s="94" customFormat="1" ht="23.25" customHeight="1">
      <c r="A46" s="869" t="s">
        <v>1383</v>
      </c>
      <c r="B46" s="229">
        <f>+[16]A07!$B52</f>
        <v>3941</v>
      </c>
      <c r="C46" s="688">
        <f t="shared" si="1"/>
        <v>922</v>
      </c>
      <c r="D46" s="229">
        <f>+[16]A07!X52+[16]A07!AB52</f>
        <v>626</v>
      </c>
      <c r="E46" s="229">
        <f>+[16]A07!Y52+[16]A07!AC52</f>
        <v>291</v>
      </c>
      <c r="F46" s="229">
        <f>+[16]A07!Z52+[16]A07!AD52</f>
        <v>5</v>
      </c>
      <c r="G46" s="834">
        <f t="shared" si="2"/>
        <v>1120</v>
      </c>
      <c r="H46" s="229">
        <v>799</v>
      </c>
      <c r="I46" s="229">
        <v>311</v>
      </c>
      <c r="J46" s="835">
        <v>10</v>
      </c>
      <c r="K46" s="689">
        <f t="shared" si="8"/>
        <v>-198</v>
      </c>
      <c r="L46" s="55">
        <f t="shared" si="9"/>
        <v>-173</v>
      </c>
      <c r="M46" s="55">
        <f t="shared" si="10"/>
        <v>-20</v>
      </c>
      <c r="N46" s="690">
        <f t="shared" si="11"/>
        <v>-5</v>
      </c>
      <c r="O46" s="692">
        <f t="shared" si="7"/>
        <v>-17.678571428571431</v>
      </c>
    </row>
    <row r="47" spans="1:15" s="94" customFormat="1" ht="23.25" customHeight="1">
      <c r="A47" s="869" t="s">
        <v>1384</v>
      </c>
      <c r="B47" s="229">
        <f>+[16]A07!$B53</f>
        <v>0</v>
      </c>
      <c r="C47" s="688">
        <f t="shared" si="1"/>
        <v>0</v>
      </c>
      <c r="D47" s="229">
        <f>+[16]A07!X53+[16]A07!AB53</f>
        <v>0</v>
      </c>
      <c r="E47" s="229">
        <f>+[16]A07!Y53+[16]A07!AC53</f>
        <v>0</v>
      </c>
      <c r="F47" s="229">
        <f>+[16]A07!Z53+[16]A07!AD53</f>
        <v>0</v>
      </c>
      <c r="G47" s="834">
        <f t="shared" si="2"/>
        <v>0</v>
      </c>
      <c r="H47" s="229">
        <v>0</v>
      </c>
      <c r="I47" s="229">
        <v>0</v>
      </c>
      <c r="J47" s="835">
        <v>0</v>
      </c>
      <c r="K47" s="689">
        <f t="shared" si="8"/>
        <v>0</v>
      </c>
      <c r="L47" s="55">
        <f t="shared" si="9"/>
        <v>0</v>
      </c>
      <c r="M47" s="55">
        <f t="shared" si="10"/>
        <v>0</v>
      </c>
      <c r="N47" s="690">
        <f t="shared" si="11"/>
        <v>0</v>
      </c>
      <c r="O47" s="692"/>
    </row>
    <row r="48" spans="1:15" s="94" customFormat="1" ht="23.25" customHeight="1">
      <c r="A48" s="869" t="s">
        <v>1291</v>
      </c>
      <c r="B48" s="229">
        <f>+[16]A07!$B54</f>
        <v>341</v>
      </c>
      <c r="C48" s="688">
        <f t="shared" si="1"/>
        <v>0</v>
      </c>
      <c r="D48" s="229">
        <f>+[16]A07!X54+[16]A07!AB54</f>
        <v>0</v>
      </c>
      <c r="E48" s="229">
        <f>+[16]A07!Y54+[16]A07!AC54</f>
        <v>0</v>
      </c>
      <c r="F48" s="229">
        <f>+[16]A07!Z54+[16]A07!AD54</f>
        <v>0</v>
      </c>
      <c r="G48" s="834">
        <f t="shared" si="2"/>
        <v>0</v>
      </c>
      <c r="H48" s="229">
        <v>0</v>
      </c>
      <c r="I48" s="229">
        <v>0</v>
      </c>
      <c r="J48" s="835">
        <v>0</v>
      </c>
      <c r="K48" s="689">
        <f t="shared" si="8"/>
        <v>0</v>
      </c>
      <c r="L48" s="55">
        <f t="shared" si="9"/>
        <v>0</v>
      </c>
      <c r="M48" s="55">
        <f t="shared" si="10"/>
        <v>0</v>
      </c>
      <c r="N48" s="690">
        <f t="shared" si="11"/>
        <v>0</v>
      </c>
      <c r="O48" s="692"/>
    </row>
    <row r="49" spans="1:15" s="94" customFormat="1" ht="23.25" customHeight="1">
      <c r="A49" s="869" t="s">
        <v>1385</v>
      </c>
      <c r="B49" s="229">
        <f>+[16]A07!$B55</f>
        <v>7531</v>
      </c>
      <c r="C49" s="688">
        <f t="shared" si="1"/>
        <v>1081</v>
      </c>
      <c r="D49" s="229">
        <f>+[16]A07!X55+[16]A07!AB55</f>
        <v>705</v>
      </c>
      <c r="E49" s="229">
        <f>+[16]A07!Y55+[16]A07!AC55</f>
        <v>349</v>
      </c>
      <c r="F49" s="229">
        <f>+[16]A07!Z55+[16]A07!AD55</f>
        <v>27</v>
      </c>
      <c r="G49" s="834">
        <f t="shared" si="2"/>
        <v>1447</v>
      </c>
      <c r="H49" s="229">
        <v>746</v>
      </c>
      <c r="I49" s="229">
        <v>675</v>
      </c>
      <c r="J49" s="835">
        <v>26</v>
      </c>
      <c r="K49" s="689">
        <f t="shared" si="8"/>
        <v>-366</v>
      </c>
      <c r="L49" s="55">
        <f t="shared" si="9"/>
        <v>-41</v>
      </c>
      <c r="M49" s="55">
        <f t="shared" si="10"/>
        <v>-326</v>
      </c>
      <c r="N49" s="690">
        <f t="shared" si="11"/>
        <v>1</v>
      </c>
      <c r="O49" s="692">
        <f t="shared" si="7"/>
        <v>-25.293711126468555</v>
      </c>
    </row>
    <row r="50" spans="1:15" s="94" customFormat="1" ht="23.25" customHeight="1">
      <c r="A50" s="869" t="s">
        <v>1386</v>
      </c>
      <c r="B50" s="229">
        <f>+[16]A07!$B56</f>
        <v>0</v>
      </c>
      <c r="C50" s="688">
        <f t="shared" si="1"/>
        <v>0</v>
      </c>
      <c r="D50" s="229">
        <f>+[16]A07!X56+[16]A07!AB56</f>
        <v>0</v>
      </c>
      <c r="E50" s="229">
        <f>+[16]A07!Y56+[16]A07!AC56</f>
        <v>0</v>
      </c>
      <c r="F50" s="229">
        <f>+[16]A07!Z56+[16]A07!AD56</f>
        <v>0</v>
      </c>
      <c r="G50" s="834">
        <f t="shared" si="2"/>
        <v>0</v>
      </c>
      <c r="H50" s="229">
        <v>0</v>
      </c>
      <c r="I50" s="229">
        <v>0</v>
      </c>
      <c r="J50" s="835">
        <v>0</v>
      </c>
      <c r="K50" s="689">
        <f t="shared" si="8"/>
        <v>0</v>
      </c>
      <c r="L50" s="55">
        <f t="shared" si="9"/>
        <v>0</v>
      </c>
      <c r="M50" s="55">
        <f t="shared" si="10"/>
        <v>0</v>
      </c>
      <c r="N50" s="690">
        <f t="shared" si="11"/>
        <v>0</v>
      </c>
      <c r="O50" s="692"/>
    </row>
    <row r="51" spans="1:15" s="94" customFormat="1" ht="23.25" customHeight="1">
      <c r="A51" s="869" t="s">
        <v>1452</v>
      </c>
      <c r="B51" s="229">
        <f>+[16]A07!$B57</f>
        <v>9663</v>
      </c>
      <c r="C51" s="688">
        <f t="shared" si="1"/>
        <v>1641</v>
      </c>
      <c r="D51" s="229">
        <f>+[16]A07!X57+[16]A07!AB57</f>
        <v>612</v>
      </c>
      <c r="E51" s="229">
        <f>+[16]A07!Y57+[16]A07!AC57</f>
        <v>909</v>
      </c>
      <c r="F51" s="229">
        <f>+[16]A07!Z57+[16]A07!AD57</f>
        <v>120</v>
      </c>
      <c r="G51" s="834">
        <f t="shared" si="2"/>
        <v>1712</v>
      </c>
      <c r="H51" s="229">
        <v>646</v>
      </c>
      <c r="I51" s="229">
        <v>1003</v>
      </c>
      <c r="J51" s="835">
        <v>63</v>
      </c>
      <c r="K51" s="689">
        <f t="shared" si="8"/>
        <v>-71</v>
      </c>
      <c r="L51" s="55">
        <f t="shared" si="9"/>
        <v>-34</v>
      </c>
      <c r="M51" s="55">
        <f t="shared" si="10"/>
        <v>-94</v>
      </c>
      <c r="N51" s="690">
        <f t="shared" si="11"/>
        <v>57</v>
      </c>
      <c r="O51" s="692">
        <f t="shared" si="7"/>
        <v>-4.1471962616822431</v>
      </c>
    </row>
    <row r="52" spans="1:15" s="94" customFormat="1" ht="23.25" customHeight="1">
      <c r="A52" s="869" t="s">
        <v>1387</v>
      </c>
      <c r="B52" s="229">
        <f>+[16]A07!$B58</f>
        <v>3172</v>
      </c>
      <c r="C52" s="688">
        <f t="shared" si="1"/>
        <v>658</v>
      </c>
      <c r="D52" s="229">
        <f>+[16]A07!X58+[16]A07!AB58</f>
        <v>193</v>
      </c>
      <c r="E52" s="229">
        <f>+[16]A07!Y58+[16]A07!AC58</f>
        <v>456</v>
      </c>
      <c r="F52" s="229">
        <f>+[16]A07!Z58+[16]A07!AD58</f>
        <v>9</v>
      </c>
      <c r="G52" s="834">
        <f t="shared" si="2"/>
        <v>1069</v>
      </c>
      <c r="H52" s="229">
        <v>206</v>
      </c>
      <c r="I52" s="229">
        <v>844</v>
      </c>
      <c r="J52" s="835">
        <v>19</v>
      </c>
      <c r="K52" s="689">
        <f t="shared" si="8"/>
        <v>-411</v>
      </c>
      <c r="L52" s="55">
        <f t="shared" si="9"/>
        <v>-13</v>
      </c>
      <c r="M52" s="55">
        <f t="shared" si="10"/>
        <v>-388</v>
      </c>
      <c r="N52" s="690">
        <f t="shared" si="11"/>
        <v>-10</v>
      </c>
      <c r="O52" s="692">
        <f t="shared" si="7"/>
        <v>-38.447146866230121</v>
      </c>
    </row>
    <row r="53" spans="1:15" s="94" customFormat="1" ht="23.25" customHeight="1">
      <c r="A53" s="869" t="s">
        <v>1388</v>
      </c>
      <c r="B53" s="229">
        <f>+[16]A07!$B59</f>
        <v>5939</v>
      </c>
      <c r="C53" s="688">
        <f t="shared" si="1"/>
        <v>3003</v>
      </c>
      <c r="D53" s="229">
        <f>+[16]A07!X59+[16]A07!AB59</f>
        <v>1244</v>
      </c>
      <c r="E53" s="229">
        <f>+[16]A07!Y59+[16]A07!AC59</f>
        <v>1758</v>
      </c>
      <c r="F53" s="229">
        <f>+[16]A07!Z59+[16]A07!AD59</f>
        <v>1</v>
      </c>
      <c r="G53" s="834">
        <f t="shared" si="2"/>
        <v>1742</v>
      </c>
      <c r="H53" s="229">
        <v>310</v>
      </c>
      <c r="I53" s="229">
        <v>1428</v>
      </c>
      <c r="J53" s="835">
        <v>4</v>
      </c>
      <c r="K53" s="689">
        <f t="shared" si="8"/>
        <v>1261</v>
      </c>
      <c r="L53" s="55">
        <f t="shared" si="9"/>
        <v>934</v>
      </c>
      <c r="M53" s="55">
        <f t="shared" si="10"/>
        <v>330</v>
      </c>
      <c r="N53" s="690">
        <f t="shared" si="11"/>
        <v>-3</v>
      </c>
      <c r="O53" s="692">
        <f t="shared" si="7"/>
        <v>72.388059701492537</v>
      </c>
    </row>
    <row r="54" spans="1:15" s="94" customFormat="1" ht="23.25" customHeight="1">
      <c r="A54" s="869" t="s">
        <v>1389</v>
      </c>
      <c r="B54" s="229">
        <f>+[16]A07!$B60</f>
        <v>3198</v>
      </c>
      <c r="C54" s="688">
        <f t="shared" si="1"/>
        <v>270</v>
      </c>
      <c r="D54" s="229">
        <f>+[16]A07!X60+[16]A07!AB60</f>
        <v>100</v>
      </c>
      <c r="E54" s="229">
        <f>+[16]A07!Y60+[16]A07!AC60</f>
        <v>168</v>
      </c>
      <c r="F54" s="229">
        <f>+[16]A07!Z60+[16]A07!AD60</f>
        <v>2</v>
      </c>
      <c r="G54" s="834">
        <f t="shared" si="2"/>
        <v>165</v>
      </c>
      <c r="H54" s="229">
        <v>0</v>
      </c>
      <c r="I54" s="229">
        <v>0</v>
      </c>
      <c r="J54" s="835">
        <v>165</v>
      </c>
      <c r="K54" s="689">
        <f t="shared" si="8"/>
        <v>105</v>
      </c>
      <c r="L54" s="55">
        <f t="shared" si="9"/>
        <v>100</v>
      </c>
      <c r="M54" s="55">
        <f t="shared" si="10"/>
        <v>168</v>
      </c>
      <c r="N54" s="690">
        <f t="shared" si="11"/>
        <v>-163</v>
      </c>
      <c r="O54" s="692"/>
    </row>
    <row r="55" spans="1:15" s="94" customFormat="1" ht="23.25" customHeight="1">
      <c r="A55" s="869" t="s">
        <v>1453</v>
      </c>
      <c r="B55" s="229">
        <f>+[16]A07!$B61</f>
        <v>13746</v>
      </c>
      <c r="C55" s="688">
        <f t="shared" si="1"/>
        <v>4975</v>
      </c>
      <c r="D55" s="229">
        <f>+[16]A07!X61+[16]A07!AB61</f>
        <v>2497</v>
      </c>
      <c r="E55" s="229">
        <f>+[16]A07!Y61+[16]A07!AC61</f>
        <v>2366</v>
      </c>
      <c r="F55" s="229">
        <f>+[16]A07!Z61+[16]A07!AD61</f>
        <v>112</v>
      </c>
      <c r="G55" s="834">
        <f t="shared" si="2"/>
        <v>5586</v>
      </c>
      <c r="H55" s="229">
        <v>3091</v>
      </c>
      <c r="I55" s="229">
        <v>1884</v>
      </c>
      <c r="J55" s="835">
        <v>611</v>
      </c>
      <c r="K55" s="689">
        <f t="shared" si="8"/>
        <v>-611</v>
      </c>
      <c r="L55" s="55">
        <f t="shared" si="9"/>
        <v>-594</v>
      </c>
      <c r="M55" s="55">
        <f t="shared" si="10"/>
        <v>482</v>
      </c>
      <c r="N55" s="690">
        <f t="shared" si="11"/>
        <v>-499</v>
      </c>
      <c r="O55" s="692">
        <f t="shared" si="7"/>
        <v>-10.938059434300037</v>
      </c>
    </row>
    <row r="56" spans="1:15" s="94" customFormat="1" ht="23.25" customHeight="1">
      <c r="A56" s="869" t="s">
        <v>1390</v>
      </c>
      <c r="B56" s="229">
        <f>+[16]A07!$B62</f>
        <v>0</v>
      </c>
      <c r="C56" s="688">
        <f t="shared" si="1"/>
        <v>0</v>
      </c>
      <c r="D56" s="229">
        <f>+[16]A07!X62+[16]A07!AB62</f>
        <v>0</v>
      </c>
      <c r="E56" s="229">
        <f>+[16]A07!Y62+[16]A07!AC62</f>
        <v>0</v>
      </c>
      <c r="F56" s="229">
        <f>+[16]A07!Z62+[16]A07!AD62</f>
        <v>0</v>
      </c>
      <c r="G56" s="834">
        <f t="shared" si="2"/>
        <v>0</v>
      </c>
      <c r="H56" s="229">
        <v>0</v>
      </c>
      <c r="I56" s="229">
        <v>0</v>
      </c>
      <c r="J56" s="835">
        <v>0</v>
      </c>
      <c r="K56" s="689">
        <f t="shared" si="8"/>
        <v>0</v>
      </c>
      <c r="L56" s="55">
        <f t="shared" si="9"/>
        <v>0</v>
      </c>
      <c r="M56" s="55">
        <f t="shared" si="10"/>
        <v>0</v>
      </c>
      <c r="N56" s="690">
        <f t="shared" si="11"/>
        <v>0</v>
      </c>
      <c r="O56" s="692"/>
    </row>
    <row r="57" spans="1:15" s="94" customFormat="1" ht="23.25" customHeight="1">
      <c r="A57" s="869" t="s">
        <v>1454</v>
      </c>
      <c r="B57" s="229">
        <f>+[16]A07!$B63</f>
        <v>6559</v>
      </c>
      <c r="C57" s="688">
        <f t="shared" si="1"/>
        <v>1344</v>
      </c>
      <c r="D57" s="229">
        <f>+[16]A07!X63+[16]A07!AB63</f>
        <v>277</v>
      </c>
      <c r="E57" s="229">
        <f>+[16]A07!Y63+[16]A07!AC63</f>
        <v>1014</v>
      </c>
      <c r="F57" s="229">
        <f>+[16]A07!Z63+[16]A07!AD63</f>
        <v>53</v>
      </c>
      <c r="G57" s="834">
        <f t="shared" si="2"/>
        <v>1551</v>
      </c>
      <c r="H57" s="229">
        <v>551</v>
      </c>
      <c r="I57" s="229">
        <v>929</v>
      </c>
      <c r="J57" s="835">
        <v>71</v>
      </c>
      <c r="K57" s="689">
        <f t="shared" si="8"/>
        <v>-207</v>
      </c>
      <c r="L57" s="55">
        <f t="shared" si="9"/>
        <v>-274</v>
      </c>
      <c r="M57" s="55">
        <f t="shared" si="10"/>
        <v>85</v>
      </c>
      <c r="N57" s="690">
        <f t="shared" si="11"/>
        <v>-18</v>
      </c>
      <c r="O57" s="692">
        <f t="shared" si="7"/>
        <v>-13.346228239845262</v>
      </c>
    </row>
    <row r="58" spans="1:15" s="94" customFormat="1" ht="23.25" customHeight="1">
      <c r="A58" s="869" t="s">
        <v>1391</v>
      </c>
      <c r="B58" s="229">
        <f>+[16]A07!$B64</f>
        <v>0</v>
      </c>
      <c r="C58" s="688">
        <f t="shared" si="1"/>
        <v>0</v>
      </c>
      <c r="D58" s="229">
        <f>+[16]A07!X64+[16]A07!AB64</f>
        <v>0</v>
      </c>
      <c r="E58" s="229">
        <f>+[16]A07!Y64+[16]A07!AC64</f>
        <v>0</v>
      </c>
      <c r="F58" s="229">
        <f>+[16]A07!Z64+[16]A07!AD64</f>
        <v>0</v>
      </c>
      <c r="G58" s="834">
        <f t="shared" si="2"/>
        <v>0</v>
      </c>
      <c r="H58" s="229">
        <v>0</v>
      </c>
      <c r="I58" s="229">
        <v>0</v>
      </c>
      <c r="J58" s="835">
        <v>0</v>
      </c>
      <c r="K58" s="689">
        <f t="shared" si="8"/>
        <v>0</v>
      </c>
      <c r="L58" s="55">
        <f t="shared" si="9"/>
        <v>0</v>
      </c>
      <c r="M58" s="55">
        <f t="shared" si="10"/>
        <v>0</v>
      </c>
      <c r="N58" s="690">
        <f t="shared" si="11"/>
        <v>0</v>
      </c>
      <c r="O58" s="692"/>
    </row>
    <row r="59" spans="1:15" s="94" customFormat="1" ht="23.25" customHeight="1">
      <c r="A59" s="869" t="s">
        <v>1392</v>
      </c>
      <c r="B59" s="229">
        <f>+[16]A07!$B65</f>
        <v>0</v>
      </c>
      <c r="C59" s="688">
        <f t="shared" si="1"/>
        <v>0</v>
      </c>
      <c r="D59" s="229">
        <f>+[16]A07!X65+[16]A07!AB65</f>
        <v>0</v>
      </c>
      <c r="E59" s="229">
        <f>+[16]A07!Y65+[16]A07!AC65</f>
        <v>0</v>
      </c>
      <c r="F59" s="229">
        <f>+[16]A07!Z65+[16]A07!AD65</f>
        <v>0</v>
      </c>
      <c r="G59" s="834">
        <f>SUM(H59:J59)</f>
        <v>0</v>
      </c>
      <c r="H59" s="229">
        <v>0</v>
      </c>
      <c r="I59" s="229">
        <v>0</v>
      </c>
      <c r="J59" s="835">
        <v>0</v>
      </c>
      <c r="K59" s="689">
        <f>SUM(L59:N59)</f>
        <v>0</v>
      </c>
      <c r="L59" s="55">
        <f t="shared" ref="L59:N61" si="12">+D59-H59</f>
        <v>0</v>
      </c>
      <c r="M59" s="55">
        <f t="shared" si="12"/>
        <v>0</v>
      </c>
      <c r="N59" s="690">
        <f t="shared" si="12"/>
        <v>0</v>
      </c>
      <c r="O59" s="692"/>
    </row>
    <row r="60" spans="1:15" s="94" customFormat="1" ht="23.25" customHeight="1">
      <c r="A60" s="869" t="s">
        <v>1455</v>
      </c>
      <c r="B60" s="229">
        <f>+[16]A07!$B66</f>
        <v>0</v>
      </c>
      <c r="C60" s="688">
        <f t="shared" si="1"/>
        <v>0</v>
      </c>
      <c r="D60" s="229">
        <f>+[16]A07!X66+[16]A07!AB66</f>
        <v>0</v>
      </c>
      <c r="E60" s="229">
        <f>+[16]A07!Y66+[16]A07!AC66</f>
        <v>0</v>
      </c>
      <c r="F60" s="229">
        <f>+[16]A07!Z66+[16]A07!AD66</f>
        <v>0</v>
      </c>
      <c r="G60" s="834">
        <f>SUM(H60:J60)</f>
        <v>0</v>
      </c>
      <c r="H60" s="229">
        <v>0</v>
      </c>
      <c r="I60" s="229">
        <v>0</v>
      </c>
      <c r="J60" s="835">
        <v>0</v>
      </c>
      <c r="K60" s="689">
        <f>SUM(L60:N60)</f>
        <v>0</v>
      </c>
      <c r="L60" s="55">
        <f t="shared" si="12"/>
        <v>0</v>
      </c>
      <c r="M60" s="55">
        <f t="shared" si="12"/>
        <v>0</v>
      </c>
      <c r="N60" s="690">
        <f t="shared" si="12"/>
        <v>0</v>
      </c>
      <c r="O60" s="692"/>
    </row>
    <row r="61" spans="1:15" s="94" customFormat="1" ht="23.25" customHeight="1">
      <c r="A61" s="869" t="s">
        <v>1393</v>
      </c>
      <c r="B61" s="229">
        <f>+[16]A07!$B67</f>
        <v>0</v>
      </c>
      <c r="C61" s="688">
        <f t="shared" si="1"/>
        <v>0</v>
      </c>
      <c r="D61" s="229">
        <f>+[16]A07!X67+[16]A07!AB67</f>
        <v>0</v>
      </c>
      <c r="E61" s="229">
        <f>+[16]A07!Y67+[16]A07!AC67</f>
        <v>0</v>
      </c>
      <c r="F61" s="229">
        <f>+[16]A07!Z67+[16]A07!AD67</f>
        <v>0</v>
      </c>
      <c r="G61" s="834">
        <f>SUM(H61:J61)</f>
        <v>0</v>
      </c>
      <c r="H61" s="229">
        <v>0</v>
      </c>
      <c r="I61" s="229">
        <v>0</v>
      </c>
      <c r="J61" s="835">
        <v>0</v>
      </c>
      <c r="K61" s="689">
        <f>SUM(L61:N61)</f>
        <v>0</v>
      </c>
      <c r="L61" s="55">
        <f t="shared" si="12"/>
        <v>0</v>
      </c>
      <c r="M61" s="55">
        <f t="shared" si="12"/>
        <v>0</v>
      </c>
      <c r="N61" s="690">
        <f t="shared" si="12"/>
        <v>0</v>
      </c>
      <c r="O61" s="692"/>
    </row>
    <row r="62" spans="1:15" s="94" customFormat="1" ht="23.25" customHeight="1">
      <c r="A62" s="869" t="s">
        <v>1394</v>
      </c>
      <c r="B62" s="229">
        <f>+[16]A07!$B68</f>
        <v>0</v>
      </c>
      <c r="C62" s="688">
        <f t="shared" si="1"/>
        <v>0</v>
      </c>
      <c r="D62" s="229">
        <f>+[16]A07!X68+[16]A07!AB68</f>
        <v>0</v>
      </c>
      <c r="E62" s="229">
        <f>+[16]A07!Y68+[16]A07!AC68</f>
        <v>0</v>
      </c>
      <c r="F62" s="229">
        <f>+[16]A07!Z68+[16]A07!AD68</f>
        <v>0</v>
      </c>
      <c r="G62" s="834">
        <f t="shared" si="2"/>
        <v>0</v>
      </c>
      <c r="H62" s="229">
        <v>0</v>
      </c>
      <c r="I62" s="229">
        <v>0</v>
      </c>
      <c r="J62" s="835">
        <v>0</v>
      </c>
      <c r="K62" s="689">
        <f t="shared" si="8"/>
        <v>0</v>
      </c>
      <c r="L62" s="55">
        <f t="shared" si="9"/>
        <v>0</v>
      </c>
      <c r="M62" s="55">
        <f t="shared" si="10"/>
        <v>0</v>
      </c>
      <c r="N62" s="690">
        <f t="shared" si="11"/>
        <v>0</v>
      </c>
      <c r="O62" s="692"/>
    </row>
    <row r="63" spans="1:15" s="94" customFormat="1" ht="23.25" customHeight="1">
      <c r="A63" s="869" t="s">
        <v>1456</v>
      </c>
      <c r="B63" s="229">
        <f>+[16]A07!$B69</f>
        <v>0</v>
      </c>
      <c r="C63" s="688">
        <f t="shared" si="1"/>
        <v>0</v>
      </c>
      <c r="D63" s="229">
        <f>+[16]A07!X69+[16]A07!AB69</f>
        <v>0</v>
      </c>
      <c r="E63" s="229">
        <f>+[16]A07!Y69+[16]A07!AC69</f>
        <v>0</v>
      </c>
      <c r="F63" s="229">
        <f>+[16]A07!Z69+[16]A07!AD69</f>
        <v>0</v>
      </c>
      <c r="G63" s="834">
        <f t="shared" si="2"/>
        <v>0</v>
      </c>
      <c r="H63" s="229">
        <v>0</v>
      </c>
      <c r="I63" s="229">
        <v>0</v>
      </c>
      <c r="J63" s="835">
        <v>0</v>
      </c>
      <c r="K63" s="689">
        <f t="shared" si="8"/>
        <v>0</v>
      </c>
      <c r="L63" s="55">
        <f t="shared" si="9"/>
        <v>0</v>
      </c>
      <c r="M63" s="55">
        <f t="shared" si="10"/>
        <v>0</v>
      </c>
      <c r="N63" s="690">
        <f t="shared" si="11"/>
        <v>0</v>
      </c>
      <c r="O63" s="692"/>
    </row>
    <row r="64" spans="1:15" s="94" customFormat="1" ht="23.25" customHeight="1">
      <c r="A64" s="869" t="s">
        <v>1457</v>
      </c>
      <c r="B64" s="229">
        <f>+[16]A07!$B70</f>
        <v>0</v>
      </c>
      <c r="C64" s="688">
        <f t="shared" si="1"/>
        <v>0</v>
      </c>
      <c r="D64" s="229">
        <f>+[16]A07!X70+[16]A07!AB70</f>
        <v>0</v>
      </c>
      <c r="E64" s="229">
        <f>+[16]A07!Y70+[16]A07!AC70</f>
        <v>0</v>
      </c>
      <c r="F64" s="229">
        <f>+[16]A07!Z70+[16]A07!AD70</f>
        <v>0</v>
      </c>
      <c r="G64" s="834">
        <f t="shared" si="2"/>
        <v>0</v>
      </c>
      <c r="H64" s="229">
        <v>0</v>
      </c>
      <c r="I64" s="229">
        <v>0</v>
      </c>
      <c r="J64" s="835">
        <v>0</v>
      </c>
      <c r="K64" s="689">
        <f t="shared" si="8"/>
        <v>0</v>
      </c>
      <c r="L64" s="55">
        <f t="shared" si="9"/>
        <v>0</v>
      </c>
      <c r="M64" s="55">
        <f t="shared" si="10"/>
        <v>0</v>
      </c>
      <c r="N64" s="690">
        <f t="shared" si="11"/>
        <v>0</v>
      </c>
      <c r="O64" s="692"/>
    </row>
    <row r="65" spans="1:15" ht="23.25" customHeight="1" thickBot="1">
      <c r="A65" s="1319" t="s">
        <v>474</v>
      </c>
      <c r="B65" s="1329">
        <f>SUM(B5:B64)</f>
        <v>138460</v>
      </c>
      <c r="C65" s="1329">
        <f>SUM(C5:C64)</f>
        <v>28204</v>
      </c>
      <c r="D65" s="1329">
        <f>SUM(D5:D64)</f>
        <v>13764</v>
      </c>
      <c r="E65" s="1329">
        <f>SUM(E5:E64)</f>
        <v>13771</v>
      </c>
      <c r="F65" s="1330">
        <f>SUM(F5:F64)</f>
        <v>669</v>
      </c>
      <c r="G65" s="1331">
        <f t="shared" si="2"/>
        <v>27678</v>
      </c>
      <c r="H65" s="1332">
        <f t="shared" ref="H65:N65" si="13">SUM(H5:H64)</f>
        <v>14015</v>
      </c>
      <c r="I65" s="1332">
        <f t="shared" si="13"/>
        <v>12394</v>
      </c>
      <c r="J65" s="1333">
        <f t="shared" si="13"/>
        <v>1269</v>
      </c>
      <c r="K65" s="1334">
        <f t="shared" si="13"/>
        <v>526</v>
      </c>
      <c r="L65" s="1313">
        <f t="shared" si="13"/>
        <v>-251</v>
      </c>
      <c r="M65" s="1313">
        <f t="shared" si="13"/>
        <v>1377</v>
      </c>
      <c r="N65" s="1321">
        <f t="shared" si="13"/>
        <v>-600</v>
      </c>
      <c r="O65" s="1335">
        <f>(+C65-G65)/G65*100</f>
        <v>1.9004263313823253</v>
      </c>
    </row>
    <row r="66" spans="1:15">
      <c r="A66" s="373"/>
    </row>
    <row r="67" spans="1:15">
      <c r="A67" s="373"/>
      <c r="B67" s="601"/>
    </row>
    <row r="68" spans="1:15">
      <c r="A68" s="373"/>
    </row>
    <row r="69" spans="1:15">
      <c r="A69" s="373"/>
    </row>
    <row r="70" spans="1:15">
      <c r="A70" s="373"/>
    </row>
  </sheetData>
  <mergeCells count="5">
    <mergeCell ref="C3:F3"/>
    <mergeCell ref="G3:J3"/>
    <mergeCell ref="K3:N3"/>
    <mergeCell ref="O3:O4"/>
    <mergeCell ref="A1:O1"/>
  </mergeCells>
  <pageMargins left="0.85" right="0.19685039370078741" top="0.63" bottom="0.78740157480314965" header="0" footer="0"/>
  <pageSetup paperSize="5" scale="8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46"/>
  <sheetViews>
    <sheetView workbookViewId="0">
      <selection activeCell="I9" sqref="I9"/>
    </sheetView>
  </sheetViews>
  <sheetFormatPr baseColWidth="10" defaultRowHeight="12.75"/>
  <cols>
    <col min="1" max="1" width="21" style="288" customWidth="1"/>
    <col min="2" max="2" width="16.7109375" style="370" customWidth="1"/>
    <col min="3" max="3" width="15" style="370" customWidth="1"/>
    <col min="4" max="4" width="13.7109375" style="370" customWidth="1"/>
    <col min="5" max="5" width="14.42578125" style="370" customWidth="1"/>
    <col min="6" max="6" width="13" customWidth="1"/>
    <col min="7" max="7" width="13.28515625" customWidth="1"/>
  </cols>
  <sheetData>
    <row r="1" spans="1:8" ht="30" customHeight="1">
      <c r="A1" s="1599" t="s">
        <v>1551</v>
      </c>
      <c r="B1" s="1523"/>
      <c r="C1" s="1523"/>
      <c r="D1" s="1523"/>
      <c r="E1" s="1523"/>
      <c r="F1" s="1523"/>
      <c r="G1" s="1523"/>
    </row>
    <row r="2" spans="1:8">
      <c r="A2"/>
      <c r="B2"/>
      <c r="C2"/>
      <c r="D2"/>
      <c r="E2"/>
    </row>
    <row r="3" spans="1:8" ht="13.5" thickBot="1">
      <c r="A3"/>
      <c r="B3"/>
      <c r="C3"/>
      <c r="D3"/>
      <c r="E3"/>
    </row>
    <row r="4" spans="1:8" ht="20.25" customHeight="1" thickBot="1">
      <c r="A4" s="1336"/>
      <c r="B4" s="1600" t="s">
        <v>859</v>
      </c>
      <c r="C4" s="1600"/>
      <c r="D4" s="1601"/>
      <c r="E4" s="1602" t="s">
        <v>1033</v>
      </c>
      <c r="F4" s="1600"/>
      <c r="G4" s="1601"/>
    </row>
    <row r="5" spans="1:8" s="94" customFormat="1" ht="24" customHeight="1" thickBot="1">
      <c r="A5" s="1337" t="s">
        <v>770</v>
      </c>
      <c r="B5" s="1338" t="s">
        <v>1031</v>
      </c>
      <c r="C5" s="1339" t="s">
        <v>1034</v>
      </c>
      <c r="D5" s="1340" t="s">
        <v>1032</v>
      </c>
      <c r="E5" s="1341" t="s">
        <v>1031</v>
      </c>
      <c r="F5" s="1339" t="s">
        <v>1035</v>
      </c>
      <c r="G5" s="1340" t="s">
        <v>1032</v>
      </c>
      <c r="H5" s="371"/>
    </row>
    <row r="6" spans="1:8" s="94" customFormat="1" ht="23.25" customHeight="1">
      <c r="A6" s="322" t="s">
        <v>737</v>
      </c>
      <c r="B6" s="613">
        <f>+'55'!E65+'55'!F65</f>
        <v>2471</v>
      </c>
      <c r="C6" s="614">
        <f>+'61'!H9</f>
        <v>27591</v>
      </c>
      <c r="D6" s="615">
        <f>(1-B6/C6)*100</f>
        <v>91.044181073538482</v>
      </c>
      <c r="E6" s="610">
        <f>+'55'!F$85</f>
        <v>1928</v>
      </c>
      <c r="F6" s="614">
        <f>+[17]A09!$D$12+[17]A09!$D$14+[18]A09!$D$12+[18]A09!$D$14+[19]A09!$D$12+[19]A09!$D$14</f>
        <v>12462</v>
      </c>
      <c r="G6" s="615">
        <f>(1-E6/F6)*100</f>
        <v>84.528968062911247</v>
      </c>
      <c r="H6" s="612"/>
    </row>
    <row r="7" spans="1:8" s="94" customFormat="1" ht="23.25" customHeight="1">
      <c r="A7" s="322" t="s">
        <v>738</v>
      </c>
      <c r="B7" s="610">
        <f>+'55'!G65+'55'!H65</f>
        <v>2913</v>
      </c>
      <c r="C7" s="235">
        <f>+'61'!H10</f>
        <v>17207</v>
      </c>
      <c r="D7" s="611">
        <f>(1-B7/C7)*100</f>
        <v>83.070843261463352</v>
      </c>
      <c r="E7" s="610">
        <f>+'55'!H$85</f>
        <v>1646</v>
      </c>
      <c r="F7" s="235">
        <f>+[20]A09!$D$12+[20]A09!$D$14</f>
        <v>10938</v>
      </c>
      <c r="G7" s="611">
        <f>(1-E7/F7)*100</f>
        <v>84.951545072225258</v>
      </c>
    </row>
    <row r="8" spans="1:8" s="94" customFormat="1" ht="23.25" customHeight="1">
      <c r="A8" s="322" t="s">
        <v>740</v>
      </c>
      <c r="B8" s="610">
        <f>+'55'!M65+'55'!N65</f>
        <v>1704</v>
      </c>
      <c r="C8" s="235">
        <f>+'61'!H13</f>
        <v>22744</v>
      </c>
      <c r="D8" s="611">
        <f t="shared" ref="D8:D19" si="0">(1-B8/C8)*100</f>
        <v>92.507914175167087</v>
      </c>
      <c r="E8" s="610">
        <f>+'55'!N$85</f>
        <v>682</v>
      </c>
      <c r="F8" s="235">
        <f>+[21]A09!$D$12+[21]A09!$D$14+[22]A09!$D$12+[22]A09!$D$14</f>
        <v>5671</v>
      </c>
      <c r="G8" s="611">
        <f t="shared" ref="G8:G19" si="1">(1-E8/F8)*100</f>
        <v>87.973902309998238</v>
      </c>
    </row>
    <row r="9" spans="1:8" s="94" customFormat="1" ht="23.25" customHeight="1">
      <c r="A9" s="322" t="s">
        <v>742</v>
      </c>
      <c r="B9" s="610">
        <f>+'55'!I65+'55'!J65</f>
        <v>1948</v>
      </c>
      <c r="C9" s="235">
        <f>+'61'!H14</f>
        <v>18752</v>
      </c>
      <c r="D9" s="611">
        <f t="shared" si="0"/>
        <v>89.611774744027301</v>
      </c>
      <c r="E9" s="610">
        <f>+'55'!J$85</f>
        <v>270</v>
      </c>
      <c r="F9" s="235">
        <f>+[23]A09!$D$12+[23]A09!$D$14+[24]A09!$D$12+[24]A09!$D$14</f>
        <v>6657</v>
      </c>
      <c r="G9" s="611">
        <f t="shared" si="1"/>
        <v>95.94411897251014</v>
      </c>
    </row>
    <row r="10" spans="1:8" s="94" customFormat="1" ht="23.25" customHeight="1">
      <c r="A10" s="322" t="s">
        <v>743</v>
      </c>
      <c r="B10" s="610">
        <f>+'55'!K65+'55'!L65</f>
        <v>1608</v>
      </c>
      <c r="C10" s="235">
        <f>+'61'!H15</f>
        <v>15471</v>
      </c>
      <c r="D10" s="611">
        <f t="shared" si="0"/>
        <v>89.606360286988561</v>
      </c>
      <c r="E10" s="610">
        <f>+'55'!L$85</f>
        <v>870</v>
      </c>
      <c r="F10" s="235">
        <f>+[25]A09!$D$12+[25]A09!$D$14</f>
        <v>5939</v>
      </c>
      <c r="G10" s="611">
        <f t="shared" si="1"/>
        <v>85.351069203569637</v>
      </c>
    </row>
    <row r="11" spans="1:8" s="94" customFormat="1" ht="23.25" customHeight="1">
      <c r="A11" s="322" t="s">
        <v>745</v>
      </c>
      <c r="B11" s="610">
        <f>+'55'!Q65+'55'!R65</f>
        <v>3539</v>
      </c>
      <c r="C11" s="235">
        <f>+'61'!H17</f>
        <v>24327</v>
      </c>
      <c r="D11" s="611">
        <f t="shared" si="0"/>
        <v>85.452378016195993</v>
      </c>
      <c r="E11" s="610">
        <f>+'55'!R$85</f>
        <v>702</v>
      </c>
      <c r="F11" s="235">
        <f>+[26]A09!$D$12+[26]A09!$D$14</f>
        <v>6136</v>
      </c>
      <c r="G11" s="611">
        <f t="shared" si="1"/>
        <v>88.559322033898297</v>
      </c>
    </row>
    <row r="12" spans="1:8" s="94" customFormat="1" ht="23.25" customHeight="1">
      <c r="A12" s="322" t="s">
        <v>746</v>
      </c>
      <c r="B12" s="610">
        <f>+'55'!S65+'55'!T65</f>
        <v>4768</v>
      </c>
      <c r="C12" s="235">
        <f>+'61'!H18</f>
        <v>37657</v>
      </c>
      <c r="D12" s="611">
        <f t="shared" si="0"/>
        <v>87.338343468677806</v>
      </c>
      <c r="E12" s="610">
        <f>+'55'!T$85</f>
        <v>2210</v>
      </c>
      <c r="F12" s="235">
        <f>+[27]A09!$D$12+[27]A09!$D$14+[28]A09!$D$12+[28]A09!$D$14</f>
        <v>9438</v>
      </c>
      <c r="G12" s="611">
        <f t="shared" si="1"/>
        <v>76.584022038567497</v>
      </c>
    </row>
    <row r="13" spans="1:8" s="94" customFormat="1" ht="23.25" customHeight="1">
      <c r="A13" s="322" t="s">
        <v>747</v>
      </c>
      <c r="B13" s="610">
        <f>+'55'!O65+'55'!P65</f>
        <v>779</v>
      </c>
      <c r="C13" s="235">
        <f>+'61'!H20</f>
        <v>7978</v>
      </c>
      <c r="D13" s="611">
        <f t="shared" si="0"/>
        <v>90.23564803208825</v>
      </c>
      <c r="E13" s="610">
        <f>+'55'!P$85</f>
        <v>270</v>
      </c>
      <c r="F13" s="235">
        <f>+[29]A09!$D$12+[29]A09!$D$14</f>
        <v>1863</v>
      </c>
      <c r="G13" s="611">
        <f t="shared" si="1"/>
        <v>85.507246376811594</v>
      </c>
    </row>
    <row r="14" spans="1:8" s="94" customFormat="1" ht="23.25" customHeight="1">
      <c r="A14" s="322" t="s">
        <v>748</v>
      </c>
      <c r="B14" s="610">
        <f>+'55'!AA65+'55'!AB65</f>
        <v>2005</v>
      </c>
      <c r="C14" s="235">
        <f>+'61'!H22</f>
        <v>25531</v>
      </c>
      <c r="D14" s="611">
        <f t="shared" si="0"/>
        <v>92.146801927069049</v>
      </c>
      <c r="E14" s="610">
        <f>+'55'!AB$85</f>
        <v>1508</v>
      </c>
      <c r="F14" s="235">
        <f>+[30]A09!$D$12+[30]A09!$D$14+[31]A09!$D$12+[31]A09!$D$14+[32]A09!$D$12+[32]A09!$D$14</f>
        <v>3147</v>
      </c>
      <c r="G14" s="611">
        <f t="shared" si="1"/>
        <v>52.081347314903084</v>
      </c>
    </row>
    <row r="15" spans="1:8" s="94" customFormat="1" ht="23.25" customHeight="1">
      <c r="A15" s="322" t="s">
        <v>749</v>
      </c>
      <c r="B15" s="610">
        <f>+'55'!AC65+'55'!AD65</f>
        <v>1911</v>
      </c>
      <c r="C15" s="235">
        <f>+'61'!H26</f>
        <v>22341</v>
      </c>
      <c r="D15" s="611">
        <f t="shared" si="0"/>
        <v>91.446219954344031</v>
      </c>
      <c r="E15" s="610">
        <f>+'55'!AD$85</f>
        <v>1396</v>
      </c>
      <c r="F15" s="235">
        <f>+[33]A09!$D$12+[33]A09!$D$14+[34]A09!$D$12+[34]A09!$D$14+[35]A09!$D$12+[35]A09!$D$14</f>
        <v>4825</v>
      </c>
      <c r="G15" s="611">
        <f t="shared" si="1"/>
        <v>71.067357512953365</v>
      </c>
    </row>
    <row r="16" spans="1:8" s="94" customFormat="1" ht="23.25" customHeight="1">
      <c r="A16" s="322" t="s">
        <v>751</v>
      </c>
      <c r="B16" s="610">
        <f>+'55'!Y65+'55'!Z65</f>
        <v>782</v>
      </c>
      <c r="C16" s="235">
        <f>+'61'!H27</f>
        <v>23136</v>
      </c>
      <c r="D16" s="611">
        <f t="shared" si="0"/>
        <v>96.619986168741363</v>
      </c>
      <c r="E16" s="610">
        <f>+'55'!Z$85</f>
        <v>542</v>
      </c>
      <c r="F16" s="235">
        <f>+[36]A09!$D$12+[36]A09!$D$14</f>
        <v>3921</v>
      </c>
      <c r="G16" s="611">
        <f t="shared" si="1"/>
        <v>86.176995664371333</v>
      </c>
    </row>
    <row r="17" spans="1:7" s="94" customFormat="1" ht="23.25" customHeight="1">
      <c r="A17" s="322" t="s">
        <v>1030</v>
      </c>
      <c r="B17" s="610">
        <f>+'55'!W65+'55'!X65</f>
        <v>3326</v>
      </c>
      <c r="C17" s="235">
        <f>+'61'!H28</f>
        <v>19320</v>
      </c>
      <c r="D17" s="611">
        <f t="shared" si="0"/>
        <v>82.784679089026909</v>
      </c>
      <c r="E17" s="610">
        <f>+'55'!X$85</f>
        <v>1252</v>
      </c>
      <c r="F17" s="235">
        <f>+[37]A09!$D$12+[37]A09!$D$14</f>
        <v>5266</v>
      </c>
      <c r="G17" s="611">
        <f t="shared" si="1"/>
        <v>76.224838587162935</v>
      </c>
    </row>
    <row r="18" spans="1:7" s="94" customFormat="1" ht="23.25" customHeight="1">
      <c r="A18" s="322" t="s">
        <v>753</v>
      </c>
      <c r="B18" s="610">
        <f>+'55'!U65+'55'!V65</f>
        <v>1604</v>
      </c>
      <c r="C18" s="235">
        <f>+'61'!H30</f>
        <v>25663</v>
      </c>
      <c r="D18" s="611">
        <f t="shared" si="0"/>
        <v>93.749756458714884</v>
      </c>
      <c r="E18" s="610">
        <f>+'55'!V$85</f>
        <v>780</v>
      </c>
      <c r="F18" s="235">
        <f>+[38]A09!$D$12+[38]A09!$D$14+[39]A09!$D$12+[39]A09!$D$14</f>
        <v>6167</v>
      </c>
      <c r="G18" s="611">
        <f t="shared" si="1"/>
        <v>87.352035025133773</v>
      </c>
    </row>
    <row r="19" spans="1:7" s="94" customFormat="1" ht="23.25" customHeight="1" thickBot="1">
      <c r="A19" s="1342" t="s">
        <v>474</v>
      </c>
      <c r="B19" s="1343">
        <f>SUM(B6:B18)</f>
        <v>29358</v>
      </c>
      <c r="C19" s="1344">
        <f>SUM(C6:C18)</f>
        <v>287718</v>
      </c>
      <c r="D19" s="1345">
        <f t="shared" si="0"/>
        <v>89.796258836777682</v>
      </c>
      <c r="E19" s="1343">
        <f>SUM(E6:E18)</f>
        <v>14056</v>
      </c>
      <c r="F19" s="1344">
        <f>SUM(F6:F18)</f>
        <v>82430</v>
      </c>
      <c r="G19" s="1345">
        <f t="shared" si="1"/>
        <v>82.94795584131991</v>
      </c>
    </row>
    <row r="20" spans="1:7" s="94" customFormat="1" ht="23.25" customHeight="1">
      <c r="A20" s="30" t="s">
        <v>1036</v>
      </c>
      <c r="B20" s="235"/>
      <c r="C20" s="235"/>
      <c r="D20" s="616"/>
      <c r="E20" s="235"/>
      <c r="F20" s="235"/>
      <c r="G20" s="616"/>
    </row>
    <row r="21" spans="1:7" s="94" customFormat="1" ht="23.25" customHeight="1">
      <c r="A21" s="374"/>
      <c r="B21" s="235"/>
      <c r="C21" s="235"/>
      <c r="D21" s="616"/>
      <c r="E21" s="235"/>
      <c r="F21" s="235"/>
      <c r="G21" s="616"/>
    </row>
    <row r="22" spans="1:7" s="94" customFormat="1" ht="23.25" customHeight="1">
      <c r="A22"/>
      <c r="B22"/>
      <c r="C22" s="88"/>
      <c r="D22"/>
      <c r="E22"/>
      <c r="F22"/>
    </row>
    <row r="23" spans="1:7" s="94" customFormat="1" ht="23.25" customHeight="1">
      <c r="A23"/>
      <c r="B23"/>
      <c r="C23"/>
      <c r="D23"/>
      <c r="E23"/>
      <c r="F23"/>
    </row>
    <row r="24" spans="1:7" s="94" customFormat="1" ht="23.25" customHeight="1">
      <c r="A24"/>
      <c r="B24"/>
      <c r="C24"/>
      <c r="D24"/>
      <c r="E24"/>
      <c r="F24"/>
    </row>
    <row r="25" spans="1:7" s="94" customFormat="1" ht="23.25" customHeight="1">
      <c r="A25"/>
      <c r="B25"/>
      <c r="C25"/>
      <c r="D25"/>
      <c r="E25"/>
      <c r="F25"/>
    </row>
    <row r="26" spans="1:7" s="94" customFormat="1" ht="23.25" customHeight="1">
      <c r="A26"/>
      <c r="B26"/>
      <c r="C26"/>
      <c r="D26"/>
      <c r="E26"/>
      <c r="F26"/>
    </row>
    <row r="27" spans="1:7" s="94" customFormat="1" ht="23.25" customHeight="1">
      <c r="A27"/>
      <c r="B27"/>
      <c r="C27"/>
      <c r="D27"/>
      <c r="E27"/>
      <c r="F27"/>
    </row>
    <row r="28" spans="1:7" s="94" customFormat="1" ht="23.25" customHeight="1">
      <c r="A28"/>
      <c r="B28"/>
      <c r="C28"/>
      <c r="D28"/>
      <c r="E28"/>
      <c r="F28"/>
    </row>
    <row r="29" spans="1:7" s="94" customFormat="1" ht="23.25" customHeight="1">
      <c r="A29"/>
      <c r="B29"/>
      <c r="C29"/>
      <c r="D29"/>
      <c r="E29"/>
      <c r="F29"/>
    </row>
    <row r="30" spans="1:7" s="94" customFormat="1" ht="23.25" customHeight="1">
      <c r="A30"/>
      <c r="B30"/>
      <c r="C30"/>
      <c r="D30"/>
      <c r="E30"/>
      <c r="F30"/>
    </row>
    <row r="31" spans="1:7" s="94" customFormat="1" ht="23.25" customHeight="1">
      <c r="A31"/>
      <c r="B31"/>
      <c r="C31"/>
      <c r="D31"/>
      <c r="E31"/>
      <c r="F31"/>
    </row>
    <row r="32" spans="1:7" s="94" customFormat="1" ht="23.25" customHeight="1">
      <c r="A32"/>
      <c r="B32"/>
      <c r="C32"/>
      <c r="D32"/>
      <c r="E32"/>
      <c r="F32"/>
    </row>
    <row r="33" spans="1:6" s="94" customFormat="1" ht="23.25" customHeight="1">
      <c r="A33"/>
      <c r="B33"/>
      <c r="C33"/>
      <c r="D33"/>
      <c r="E33"/>
      <c r="F33"/>
    </row>
    <row r="34" spans="1:6" s="94" customFormat="1" ht="23.25" customHeight="1">
      <c r="A34"/>
      <c r="B34"/>
      <c r="C34"/>
      <c r="D34"/>
      <c r="E34"/>
      <c r="F34"/>
    </row>
    <row r="35" spans="1:6" s="94" customFormat="1" ht="23.25" customHeight="1">
      <c r="A35"/>
      <c r="B35"/>
      <c r="C35"/>
      <c r="D35"/>
      <c r="E35"/>
      <c r="F35"/>
    </row>
    <row r="36" spans="1:6" s="94" customFormat="1" ht="23.25" customHeight="1">
      <c r="A36"/>
      <c r="B36"/>
      <c r="C36"/>
      <c r="D36"/>
      <c r="E36"/>
      <c r="F36"/>
    </row>
    <row r="37" spans="1:6" s="94" customFormat="1" ht="23.25" customHeight="1">
      <c r="A37"/>
      <c r="B37"/>
      <c r="C37"/>
      <c r="D37"/>
      <c r="E37"/>
      <c r="F37"/>
    </row>
    <row r="38" spans="1:6" s="94" customFormat="1" ht="23.25" customHeight="1">
      <c r="A38"/>
      <c r="B38"/>
      <c r="C38"/>
      <c r="D38"/>
      <c r="E38"/>
      <c r="F38"/>
    </row>
    <row r="39" spans="1:6" ht="23.25" customHeight="1">
      <c r="A39"/>
      <c r="B39"/>
      <c r="C39"/>
      <c r="D39"/>
      <c r="E39"/>
    </row>
    <row r="40" spans="1:6">
      <c r="A40"/>
      <c r="B40"/>
      <c r="C40"/>
      <c r="D40"/>
      <c r="E40"/>
    </row>
    <row r="41" spans="1:6">
      <c r="A41"/>
      <c r="B41"/>
      <c r="C41"/>
      <c r="D41"/>
      <c r="E41"/>
    </row>
    <row r="42" spans="1:6">
      <c r="A42"/>
      <c r="B42"/>
      <c r="C42"/>
      <c r="D42"/>
      <c r="E42"/>
    </row>
    <row r="43" spans="1:6">
      <c r="A43"/>
      <c r="B43"/>
      <c r="C43"/>
      <c r="D43"/>
      <c r="E43"/>
    </row>
    <row r="44" spans="1:6">
      <c r="A44"/>
      <c r="B44"/>
      <c r="C44"/>
      <c r="D44"/>
      <c r="E44"/>
    </row>
    <row r="45" spans="1:6">
      <c r="A45"/>
      <c r="C45"/>
      <c r="D45"/>
      <c r="E45"/>
    </row>
    <row r="46" spans="1:6">
      <c r="C46"/>
    </row>
  </sheetData>
  <mergeCells count="3">
    <mergeCell ref="A1:G1"/>
    <mergeCell ref="B4:D4"/>
    <mergeCell ref="E4:G4"/>
  </mergeCells>
  <pageMargins left="0.78740157480314965" right="0.78740157480314965" top="1.2204724409448819" bottom="0.78740157480314965" header="0" footer="0"/>
  <pageSetup paperSize="5" scale="80" orientation="portrait" horizontalDpi="300" verticalDpi="300" r:id="rId1"/>
  <headerFooter alignWithMargins="0"/>
  <ignoredErrors>
    <ignoredError sqref="D19" formula="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R36"/>
  <sheetViews>
    <sheetView workbookViewId="0">
      <selection activeCell="F24" sqref="F24"/>
    </sheetView>
  </sheetViews>
  <sheetFormatPr baseColWidth="10" defaultRowHeight="12.75"/>
  <cols>
    <col min="1" max="1" width="20.28515625" customWidth="1"/>
    <col min="5" max="7" width="12.7109375" customWidth="1"/>
    <col min="9" max="9" width="14.28515625" customWidth="1"/>
  </cols>
  <sheetData>
    <row r="1" spans="1:18" ht="15.75">
      <c r="A1" s="1603" t="s">
        <v>1552</v>
      </c>
      <c r="B1" s="1603"/>
      <c r="C1" s="1603"/>
      <c r="D1" s="1603"/>
      <c r="E1" s="1603"/>
      <c r="F1" s="1603"/>
      <c r="G1" s="1603"/>
      <c r="H1" s="1603"/>
      <c r="I1" s="1603"/>
      <c r="J1" s="1603"/>
    </row>
    <row r="2" spans="1:18">
      <c r="A2" s="374"/>
      <c r="B2" s="374"/>
      <c r="C2" s="374"/>
      <c r="D2" s="374"/>
      <c r="E2" s="374"/>
      <c r="F2" s="374"/>
      <c r="G2" s="374"/>
      <c r="H2" s="374"/>
      <c r="I2" s="374"/>
      <c r="J2" s="374"/>
    </row>
    <row r="3" spans="1:18">
      <c r="A3" s="28"/>
      <c r="B3" s="10"/>
      <c r="C3" s="10"/>
      <c r="D3" s="10"/>
      <c r="E3" s="10"/>
      <c r="F3" s="10"/>
      <c r="G3" s="10"/>
      <c r="H3" s="10"/>
      <c r="I3" s="10"/>
      <c r="J3" s="10"/>
    </row>
    <row r="4" spans="1:18" ht="29.25" customHeight="1">
      <c r="A4" s="1346" t="s">
        <v>960</v>
      </c>
      <c r="B4" s="1347" t="s">
        <v>961</v>
      </c>
      <c r="C4" s="1347" t="s">
        <v>1034</v>
      </c>
      <c r="D4" s="1347" t="s">
        <v>962</v>
      </c>
      <c r="E4" s="1347" t="s">
        <v>963</v>
      </c>
      <c r="F4" s="1347" t="s">
        <v>1054</v>
      </c>
      <c r="G4" s="1347" t="s">
        <v>1055</v>
      </c>
      <c r="H4" s="1348" t="s">
        <v>474</v>
      </c>
      <c r="I4" s="1604" t="s">
        <v>964</v>
      </c>
      <c r="J4" s="1605"/>
    </row>
    <row r="5" spans="1:18" ht="21.75" customHeight="1">
      <c r="A5" s="375" t="s">
        <v>965</v>
      </c>
      <c r="B5" s="376">
        <f>+[40]A19b!$B$11</f>
        <v>651</v>
      </c>
      <c r="C5" s="376">
        <f>+[40]A19b!$B$25</f>
        <v>33</v>
      </c>
      <c r="D5" s="376">
        <f>+[40]A19b!$B$26</f>
        <v>25</v>
      </c>
      <c r="E5" s="376">
        <f>+[40]A19b!$B$27</f>
        <v>435</v>
      </c>
      <c r="F5" s="376">
        <f>+[40]A19b!$B$28</f>
        <v>140</v>
      </c>
      <c r="G5" s="376">
        <f>+[40]A19b!$B$29</f>
        <v>77</v>
      </c>
      <c r="H5" s="376">
        <f>SUM(B5:G5)</f>
        <v>1361</v>
      </c>
      <c r="I5" s="376">
        <f>+[40]A19b!$E$11+[40]A19b!$F$11+[40]A19b!$G$11</f>
        <v>389</v>
      </c>
      <c r="J5" s="377">
        <f>+I5/B5*100</f>
        <v>59.754224270353305</v>
      </c>
      <c r="K5" s="88"/>
      <c r="L5" s="88"/>
      <c r="M5" s="88"/>
      <c r="N5" s="88"/>
      <c r="O5" s="88"/>
      <c r="P5" s="88"/>
      <c r="Q5" s="88"/>
      <c r="R5" s="88"/>
    </row>
    <row r="6" spans="1:18" ht="21.75" customHeight="1">
      <c r="A6" s="375" t="s">
        <v>966</v>
      </c>
      <c r="B6" s="376">
        <f>+[20]A19b!$B$11</f>
        <v>117</v>
      </c>
      <c r="C6" s="376">
        <f>+[20]A19b!$B$25</f>
        <v>11903</v>
      </c>
      <c r="D6" s="376">
        <f>+[20]A19b!$B$26</f>
        <v>11</v>
      </c>
      <c r="E6" s="376">
        <f>+[20]A19b!$B$27</f>
        <v>68</v>
      </c>
      <c r="F6" s="376">
        <f>+[20]A19b!$B$28</f>
        <v>600</v>
      </c>
      <c r="G6" s="376">
        <f>+[20]A19b!$B$29</f>
        <v>0</v>
      </c>
      <c r="H6" s="376">
        <f t="shared" ref="H6:H28" si="0">SUM(B6:G6)</f>
        <v>12699</v>
      </c>
      <c r="I6" s="376">
        <f>+[20]A19b!$E$11+[20]A19b!$F$11+[20]A19b!$G$11</f>
        <v>88</v>
      </c>
      <c r="J6" s="377">
        <f t="shared" ref="J6:J26" si="1">+I6/B6*100</f>
        <v>75.213675213675216</v>
      </c>
      <c r="K6" s="913"/>
      <c r="L6" s="913"/>
      <c r="M6" s="88"/>
      <c r="N6" s="913"/>
      <c r="O6" s="913"/>
      <c r="P6" s="88"/>
      <c r="Q6" s="88"/>
      <c r="R6" s="913"/>
    </row>
    <row r="7" spans="1:18" ht="21.75" customHeight="1">
      <c r="A7" s="375" t="s">
        <v>967</v>
      </c>
      <c r="B7" s="376">
        <f>+[17]A19b!$B$11</f>
        <v>193</v>
      </c>
      <c r="C7" s="376">
        <f>+[17]A19b!$B$25</f>
        <v>14905</v>
      </c>
      <c r="D7" s="376">
        <f>+[17]A19b!$B$26</f>
        <v>15</v>
      </c>
      <c r="E7" s="376">
        <f>+[17]A19b!$B$27</f>
        <v>96</v>
      </c>
      <c r="F7" s="376">
        <f>+[17]A19b!$B$28</f>
        <v>114</v>
      </c>
      <c r="G7" s="376">
        <f>+[17]A19b!$B$29</f>
        <v>28</v>
      </c>
      <c r="H7" s="376">
        <f t="shared" ref="H7" si="2">SUM(B7:G7)</f>
        <v>15351</v>
      </c>
      <c r="I7" s="376">
        <f>+[17]A19b!$E$11+[17]A19b!$F$11+[17]A19b!$G$11</f>
        <v>181</v>
      </c>
      <c r="J7" s="377">
        <f t="shared" ref="J7" si="3">+I7/B7*100</f>
        <v>93.782383419689126</v>
      </c>
    </row>
    <row r="8" spans="1:18" ht="21.75" customHeight="1">
      <c r="A8" s="375" t="s">
        <v>1416</v>
      </c>
      <c r="B8" s="376">
        <f>+[41]A19b!$B$11</f>
        <v>52</v>
      </c>
      <c r="C8" s="376">
        <f>+[41]A19b!$B$25</f>
        <v>2456</v>
      </c>
      <c r="D8" s="376">
        <f>+[41]A19b!$B$26</f>
        <v>0</v>
      </c>
      <c r="E8" s="376">
        <f>+[41]A19b!$B$27</f>
        <v>19</v>
      </c>
      <c r="F8" s="376">
        <f>+[41]A19b!$B$28</f>
        <v>531</v>
      </c>
      <c r="G8" s="376">
        <f>+[41]A19b!$B$29</f>
        <v>0</v>
      </c>
      <c r="H8" s="376">
        <f t="shared" si="0"/>
        <v>3058</v>
      </c>
      <c r="I8" s="376">
        <f>+[41]A19b!$E$11+[41]A19b!$F$11+[41]A19b!$G$11</f>
        <v>51</v>
      </c>
      <c r="J8" s="377">
        <f>+I8/B8*100</f>
        <v>98.076923076923066</v>
      </c>
    </row>
    <row r="9" spans="1:18" ht="21.75" customHeight="1">
      <c r="A9" s="375" t="s">
        <v>1323</v>
      </c>
      <c r="B9" s="376">
        <f>+[21]A19b!$B$11</f>
        <v>32</v>
      </c>
      <c r="C9" s="376">
        <f>+[21]A19b!$B$25</f>
        <v>1345</v>
      </c>
      <c r="D9" s="376">
        <f>+[21]A19b!$B$26</f>
        <v>5</v>
      </c>
      <c r="E9" s="376">
        <f>+[21]A19b!$B$27</f>
        <v>66</v>
      </c>
      <c r="F9" s="376">
        <f>+[21]A19b!$B$28</f>
        <v>1</v>
      </c>
      <c r="G9" s="376">
        <f>+[21]A19b!$B$29</f>
        <v>0</v>
      </c>
      <c r="H9" s="376">
        <f t="shared" si="0"/>
        <v>1449</v>
      </c>
      <c r="I9" s="376">
        <f>+[21]A19b!$E$11+[21]A19b!$F$11+[21]A19b!$G$11</f>
        <v>35</v>
      </c>
      <c r="J9" s="377">
        <f t="shared" si="1"/>
        <v>109.375</v>
      </c>
    </row>
    <row r="10" spans="1:18" ht="21.75" customHeight="1">
      <c r="A10" s="375" t="s">
        <v>1418</v>
      </c>
      <c r="B10" s="376">
        <f>+[22]A19b!$B$11</f>
        <v>0</v>
      </c>
      <c r="C10" s="376">
        <f>+[22]A19b!$B$25</f>
        <v>0</v>
      </c>
      <c r="D10" s="376">
        <f>+[22]A19b!$B$26</f>
        <v>0</v>
      </c>
      <c r="E10" s="376">
        <f>+[22]A19b!$B$27</f>
        <v>0</v>
      </c>
      <c r="F10" s="376">
        <f>+[22]A19b!$B$28</f>
        <v>0</v>
      </c>
      <c r="G10" s="376">
        <f>+[22]A19b!$B$29</f>
        <v>0</v>
      </c>
      <c r="H10" s="376">
        <f t="shared" si="0"/>
        <v>0</v>
      </c>
      <c r="I10" s="376">
        <f>+[22]A19b!$E$11+[22]A19b!$F$11+[22]A19b!$G$11</f>
        <v>0</v>
      </c>
      <c r="J10" s="377"/>
    </row>
    <row r="11" spans="1:18" ht="21.75" customHeight="1">
      <c r="A11" s="375" t="s">
        <v>1324</v>
      </c>
      <c r="B11" s="376">
        <f>+[23]A19b!$B$11</f>
        <v>43</v>
      </c>
      <c r="C11" s="376">
        <f>+[23]A19b!$B$25</f>
        <v>418</v>
      </c>
      <c r="D11" s="376">
        <f>+[23]A19b!$B$26</f>
        <v>28</v>
      </c>
      <c r="E11" s="376">
        <f>+[23]A19b!$B$27</f>
        <v>57</v>
      </c>
      <c r="F11" s="376">
        <f>+[23]A19b!$B$28</f>
        <v>162</v>
      </c>
      <c r="G11" s="376">
        <f>+[23]A19b!$B$29</f>
        <v>0</v>
      </c>
      <c r="H11" s="376">
        <f t="shared" si="0"/>
        <v>708</v>
      </c>
      <c r="I11" s="376">
        <f>+[23]A19b!$E$11+[23]A19b!$F$11+[23]A19b!$G$11</f>
        <v>43</v>
      </c>
      <c r="J11" s="377">
        <f t="shared" si="1"/>
        <v>100</v>
      </c>
    </row>
    <row r="12" spans="1:18" ht="21.75" customHeight="1">
      <c r="A12" s="375" t="s">
        <v>1325</v>
      </c>
      <c r="B12" s="376">
        <f>+[25]A19b!$B$11</f>
        <v>65</v>
      </c>
      <c r="C12" s="376">
        <f>+[25]A19b!$B$25</f>
        <v>48</v>
      </c>
      <c r="D12" s="376">
        <f>+[25]A19b!$B$26</f>
        <v>7</v>
      </c>
      <c r="E12" s="376">
        <f>+[25]A19b!$B$27</f>
        <v>47</v>
      </c>
      <c r="F12" s="376">
        <f>+[25]A19b!$B$28</f>
        <v>37</v>
      </c>
      <c r="G12" s="376">
        <f>+[25]A19b!$B$29</f>
        <v>0</v>
      </c>
      <c r="H12" s="376">
        <f t="shared" si="0"/>
        <v>204</v>
      </c>
      <c r="I12" s="376">
        <f>+[25]A19b!$E$11+[25]A19b!$F$11+[25]A19b!$G$11</f>
        <v>63</v>
      </c>
      <c r="J12" s="377">
        <f t="shared" si="1"/>
        <v>96.92307692307692</v>
      </c>
    </row>
    <row r="13" spans="1:18" ht="21.75" customHeight="1">
      <c r="A13" s="375" t="s">
        <v>968</v>
      </c>
      <c r="B13" s="376">
        <f>+[42]A19b!$B$11</f>
        <v>957</v>
      </c>
      <c r="C13" s="376">
        <f>+[42]A19b!$B$25</f>
        <v>32734</v>
      </c>
      <c r="D13" s="376">
        <f>+[42]A19b!$B$26</f>
        <v>22</v>
      </c>
      <c r="E13" s="376">
        <f>+[42]A19b!$B$27</f>
        <v>528</v>
      </c>
      <c r="F13" s="376">
        <f>+[42]A19b!$B$28</f>
        <v>767</v>
      </c>
      <c r="G13" s="376">
        <f>+[42]A19b!$B$29</f>
        <v>0</v>
      </c>
      <c r="H13" s="376">
        <f t="shared" si="0"/>
        <v>35008</v>
      </c>
      <c r="I13" s="376">
        <f>+[42]A19b!$E$11+[42]A19b!$F$11+[42]A19b!$G$11</f>
        <v>357</v>
      </c>
      <c r="J13" s="377">
        <f t="shared" si="1"/>
        <v>37.304075235109721</v>
      </c>
    </row>
    <row r="14" spans="1:18" ht="21.75" customHeight="1">
      <c r="A14" s="375" t="s">
        <v>1326</v>
      </c>
      <c r="B14" s="376">
        <f>+[43]A19b!$B$11</f>
        <v>116</v>
      </c>
      <c r="C14" s="376">
        <f>+[43]A19b!$B$25</f>
        <v>6167</v>
      </c>
      <c r="D14" s="376">
        <f>+[43]A19b!$B$26</f>
        <v>12</v>
      </c>
      <c r="E14" s="376">
        <f>+[43]A19b!$B$27</f>
        <v>99</v>
      </c>
      <c r="F14" s="376">
        <f>+[43]A19b!$B$28</f>
        <v>615</v>
      </c>
      <c r="G14" s="376">
        <f>+[43]A19b!$B$29</f>
        <v>0</v>
      </c>
      <c r="H14" s="376">
        <f t="shared" si="0"/>
        <v>7009</v>
      </c>
      <c r="I14" s="376">
        <f>+[43]A19b!$E$11+[43]A19b!$F$11+[43]A19b!$G$11</f>
        <v>52</v>
      </c>
      <c r="J14" s="377">
        <f t="shared" si="1"/>
        <v>44.827586206896555</v>
      </c>
      <c r="L14" s="88"/>
      <c r="N14" s="88"/>
    </row>
    <row r="15" spans="1:18" ht="21.75" customHeight="1">
      <c r="A15" s="375" t="s">
        <v>1327</v>
      </c>
      <c r="B15" s="376">
        <f>+[44]A19b!$B$11</f>
        <v>150</v>
      </c>
      <c r="C15" s="376">
        <f>+[44]A19b!$B$25</f>
        <v>1504</v>
      </c>
      <c r="D15" s="376">
        <f>+[44]A19b!$B$26</f>
        <v>31</v>
      </c>
      <c r="E15" s="376">
        <f>+[44]A19b!$B$27</f>
        <v>111</v>
      </c>
      <c r="F15" s="376">
        <f>+[44]A19b!$B$28</f>
        <v>127</v>
      </c>
      <c r="G15" s="376">
        <f>+[44]A19b!$B$29</f>
        <v>0</v>
      </c>
      <c r="H15" s="376">
        <f t="shared" si="0"/>
        <v>1923</v>
      </c>
      <c r="I15" s="376">
        <f>+[44]A19b!$E$11+[44]A19b!$F$11+[44]A19b!$G$11</f>
        <v>88</v>
      </c>
      <c r="J15" s="377">
        <f t="shared" si="1"/>
        <v>58.666666666666664</v>
      </c>
      <c r="L15" s="88"/>
      <c r="N15" s="88"/>
    </row>
    <row r="16" spans="1:18" ht="21.75" customHeight="1">
      <c r="A16" s="375" t="s">
        <v>320</v>
      </c>
      <c r="B16" s="376">
        <f>+[45]A19b!$B$11</f>
        <v>7</v>
      </c>
      <c r="C16" s="376">
        <f>+[45]A19b!$B$25</f>
        <v>890</v>
      </c>
      <c r="D16" s="376">
        <f>+[45]A19b!$B$26</f>
        <v>1</v>
      </c>
      <c r="E16" s="376">
        <f>+[45]A19b!$B$27</f>
        <v>28</v>
      </c>
      <c r="F16" s="376">
        <f>+[45]A19b!$B$28</f>
        <v>6</v>
      </c>
      <c r="G16" s="376">
        <f>+[45]A19b!$B$29</f>
        <v>0</v>
      </c>
      <c r="H16" s="376">
        <f t="shared" si="0"/>
        <v>932</v>
      </c>
      <c r="I16" s="376">
        <f>+[45]A19b!$E$11+[45]A19b!$F$11+[45]A19b!$G$11</f>
        <v>5</v>
      </c>
      <c r="J16" s="377">
        <f t="shared" si="1"/>
        <v>71.428571428571431</v>
      </c>
    </row>
    <row r="17" spans="1:10" ht="21.75" customHeight="1">
      <c r="A17" s="375" t="s">
        <v>1417</v>
      </c>
      <c r="B17" s="376">
        <f>+[46]A19b!$B$11</f>
        <v>34</v>
      </c>
      <c r="C17" s="376">
        <f>+[46]A19b!$B$25</f>
        <v>528</v>
      </c>
      <c r="D17" s="376">
        <f>+[46]A19b!$B$26</f>
        <v>0</v>
      </c>
      <c r="E17" s="376">
        <f>+[46]A19b!$B$27</f>
        <v>22</v>
      </c>
      <c r="F17" s="376">
        <f>+[46]A19b!$B$28</f>
        <v>554</v>
      </c>
      <c r="G17" s="376">
        <f>+[46]A19b!$B$29</f>
        <v>1</v>
      </c>
      <c r="H17" s="376">
        <f t="shared" si="0"/>
        <v>1139</v>
      </c>
      <c r="I17" s="376">
        <f>+[46]A19b!$E$11+[46]A19b!$F$11+[46]A19b!$G$11</f>
        <v>26</v>
      </c>
      <c r="J17" s="377">
        <f t="shared" si="1"/>
        <v>76.470588235294116</v>
      </c>
    </row>
    <row r="18" spans="1:10" ht="21.75" customHeight="1">
      <c r="A18" s="375" t="s">
        <v>1328</v>
      </c>
      <c r="B18" s="376">
        <f>+[47]A19b!$B$11</f>
        <v>23</v>
      </c>
      <c r="C18" s="376">
        <f>+[47]A19b!$B$25</f>
        <v>269</v>
      </c>
      <c r="D18" s="376">
        <f>+[47]A19b!$B$26</f>
        <v>0</v>
      </c>
      <c r="E18" s="376">
        <f>+[47]A19b!$B$27</f>
        <v>16</v>
      </c>
      <c r="F18" s="376">
        <f>+[47]A19b!$B$28</f>
        <v>57</v>
      </c>
      <c r="G18" s="376">
        <f>+[47]A19b!$B$29</f>
        <v>0</v>
      </c>
      <c r="H18" s="376">
        <f t="shared" si="0"/>
        <v>365</v>
      </c>
      <c r="I18" s="376">
        <f>+[47]A19b!$E$11+[47]A19b!$F$11+[47]A19b!$G$11</f>
        <v>20</v>
      </c>
      <c r="J18" s="377">
        <f t="shared" si="1"/>
        <v>86.956521739130437</v>
      </c>
    </row>
    <row r="19" spans="1:10" ht="21.75" customHeight="1">
      <c r="A19" s="375" t="s">
        <v>1398</v>
      </c>
      <c r="B19" s="376">
        <f>+[48]A19b!$B$11</f>
        <v>0</v>
      </c>
      <c r="C19" s="376">
        <f>+[48]A19b!$B$25</f>
        <v>0</v>
      </c>
      <c r="D19" s="376">
        <f>+[48]A19b!$B$26</f>
        <v>0</v>
      </c>
      <c r="E19" s="376">
        <f>+[48]A19b!$B$27</f>
        <v>0</v>
      </c>
      <c r="F19" s="376">
        <f>+[48]A19b!$B$28</f>
        <v>0</v>
      </c>
      <c r="G19" s="376">
        <f>+[48]A19b!$B$29</f>
        <v>0</v>
      </c>
      <c r="H19" s="376">
        <f t="shared" si="0"/>
        <v>0</v>
      </c>
      <c r="I19" s="376">
        <f>+[48]A19b!$E$11+[48]A19b!$F$11+[48]A19b!$G$11</f>
        <v>0</v>
      </c>
      <c r="J19" s="377"/>
    </row>
    <row r="20" spans="1:10" ht="21.75" customHeight="1">
      <c r="A20" s="375" t="s">
        <v>969</v>
      </c>
      <c r="B20" s="376">
        <f>+[49]A19b!$B$11</f>
        <v>54</v>
      </c>
      <c r="C20" s="376">
        <f>+[49]A19b!$B$25</f>
        <v>4421</v>
      </c>
      <c r="D20" s="376">
        <f>+[49]A19b!$B$26</f>
        <v>1</v>
      </c>
      <c r="E20" s="376">
        <f>+[49]A19b!$B$27</f>
        <v>64</v>
      </c>
      <c r="F20" s="376">
        <f>+[49]A19b!$B$28</f>
        <v>4</v>
      </c>
      <c r="G20" s="376">
        <f>+[49]A19b!$B$29</f>
        <v>21</v>
      </c>
      <c r="H20" s="376">
        <f t="shared" si="0"/>
        <v>4565</v>
      </c>
      <c r="I20" s="376">
        <f>+[49]A19b!$E$11+[49]A19b!$F$11+[49]A19b!$G$11</f>
        <v>34</v>
      </c>
      <c r="J20" s="377">
        <f t="shared" si="1"/>
        <v>62.962962962962962</v>
      </c>
    </row>
    <row r="21" spans="1:10" ht="21.75" customHeight="1">
      <c r="A21" s="375" t="s">
        <v>1319</v>
      </c>
      <c r="B21" s="376">
        <f>+[50]A19b!$B$11</f>
        <v>23</v>
      </c>
      <c r="C21" s="376">
        <f>+[50]A19b!$B$25</f>
        <v>0</v>
      </c>
      <c r="D21" s="376">
        <f>+[50]A19b!$B$26</f>
        <v>0</v>
      </c>
      <c r="E21" s="376">
        <f>+[50]A19b!$B$27</f>
        <v>16</v>
      </c>
      <c r="F21" s="376">
        <f>+[50]A19b!$B$28</f>
        <v>0</v>
      </c>
      <c r="G21" s="376">
        <f>+[50]A19b!$B$29</f>
        <v>0</v>
      </c>
      <c r="H21" s="376">
        <f t="shared" si="0"/>
        <v>39</v>
      </c>
      <c r="I21" s="376">
        <f>+[50]A19b!$E$11+[50]A19b!$F$11+[50]A19b!$G$11</f>
        <v>20</v>
      </c>
      <c r="J21" s="377">
        <f t="shared" si="1"/>
        <v>86.956521739130437</v>
      </c>
    </row>
    <row r="22" spans="1:10" ht="21.75" customHeight="1">
      <c r="A22" s="375" t="s">
        <v>970</v>
      </c>
      <c r="B22" s="376">
        <f>+[51]A19b!$B$11</f>
        <v>39</v>
      </c>
      <c r="C22" s="376">
        <f>+[51]A19b!$B$25</f>
        <v>36</v>
      </c>
      <c r="D22" s="376">
        <f>+[51]A19b!$B$26</f>
        <v>9</v>
      </c>
      <c r="E22" s="376">
        <f>+[51]A19b!$B$27</f>
        <v>48</v>
      </c>
      <c r="F22" s="376">
        <f>+[51]A19b!$B$28</f>
        <v>64</v>
      </c>
      <c r="G22" s="376">
        <f>+[51]A19b!$B$29</f>
        <v>20</v>
      </c>
      <c r="H22" s="376">
        <f t="shared" si="0"/>
        <v>216</v>
      </c>
      <c r="I22" s="376">
        <f>+[51]A19b!$E$11+[51]A19b!$F$11+[51]A19b!$G$11</f>
        <v>31</v>
      </c>
      <c r="J22" s="377">
        <f t="shared" si="1"/>
        <v>79.487179487179489</v>
      </c>
    </row>
    <row r="23" spans="1:10" ht="21.75" customHeight="1">
      <c r="A23" s="375" t="s">
        <v>1318</v>
      </c>
      <c r="B23" s="376">
        <f>+[52]A19b!$B$11</f>
        <v>88</v>
      </c>
      <c r="C23" s="376">
        <f>+[52]A19b!$B$25</f>
        <v>0</v>
      </c>
      <c r="D23" s="376">
        <f>+[52]A19b!$B$26</f>
        <v>10</v>
      </c>
      <c r="E23" s="376">
        <f>+[52]A19b!$B$27</f>
        <v>99</v>
      </c>
      <c r="F23" s="376">
        <f>+[52]A19b!$B$28</f>
        <v>22</v>
      </c>
      <c r="G23" s="376">
        <f>+[52]A19b!$B$29</f>
        <v>0</v>
      </c>
      <c r="H23" s="376">
        <f t="shared" si="0"/>
        <v>219</v>
      </c>
      <c r="I23" s="376">
        <f>+[52]A19b!$E$11+[52]A19b!$F$11+[52]A19b!$G$11</f>
        <v>88</v>
      </c>
      <c r="J23" s="377">
        <f t="shared" si="1"/>
        <v>100</v>
      </c>
    </row>
    <row r="24" spans="1:10" ht="21.75" customHeight="1">
      <c r="A24" s="375" t="s">
        <v>1320</v>
      </c>
      <c r="B24" s="376">
        <f>+[40]A19b!$B$11</f>
        <v>651</v>
      </c>
      <c r="C24" s="376">
        <f>+[40]A19b!$B$25</f>
        <v>33</v>
      </c>
      <c r="D24" s="376">
        <f>+[40]A19b!$B$26</f>
        <v>25</v>
      </c>
      <c r="E24" s="376">
        <f>+[40]A19b!$B$27</f>
        <v>435</v>
      </c>
      <c r="F24" s="376">
        <f>+[40]A19b!$B$28</f>
        <v>140</v>
      </c>
      <c r="G24" s="376">
        <f>+[40]A19b!$B$29</f>
        <v>77</v>
      </c>
      <c r="H24" s="376">
        <f t="shared" si="0"/>
        <v>1361</v>
      </c>
      <c r="I24" s="376">
        <f>+[40]A19b!$E$11+[40]A19b!$F$11+[40]A19b!$G$11</f>
        <v>389</v>
      </c>
      <c r="J24" s="377">
        <f t="shared" si="1"/>
        <v>59.754224270353305</v>
      </c>
    </row>
    <row r="25" spans="1:10" ht="21.75" customHeight="1">
      <c r="A25" s="375" t="s">
        <v>321</v>
      </c>
      <c r="B25" s="376">
        <f>+[53]A19b!$B$11</f>
        <v>55</v>
      </c>
      <c r="C25" s="376">
        <f>+[53]A19b!$B$25</f>
        <v>1106</v>
      </c>
      <c r="D25" s="376">
        <f>+[53]A19b!$B$26</f>
        <v>1</v>
      </c>
      <c r="E25" s="376">
        <f>+[53]A19b!$B$27</f>
        <v>57</v>
      </c>
      <c r="F25" s="376">
        <f>+[53]A19b!$B$28</f>
        <v>120</v>
      </c>
      <c r="G25" s="376">
        <f>+[53]A19b!$B$29</f>
        <v>1</v>
      </c>
      <c r="H25" s="376">
        <f t="shared" si="0"/>
        <v>1340</v>
      </c>
      <c r="I25" s="376">
        <f>+[53]A19b!$E$11+[53]A19b!$F$11+[53]A19b!$G$11</f>
        <v>49</v>
      </c>
      <c r="J25" s="377">
        <f t="shared" si="1"/>
        <v>89.090909090909093</v>
      </c>
    </row>
    <row r="26" spans="1:10" ht="21.75" customHeight="1">
      <c r="A26" s="375" t="s">
        <v>1321</v>
      </c>
      <c r="B26" s="376">
        <f>+[54]A19b!$B$11</f>
        <v>77</v>
      </c>
      <c r="C26" s="376">
        <f>+[54]A19b!$B$25</f>
        <v>4099</v>
      </c>
      <c r="D26" s="376">
        <f>+[54]A19b!$B$26</f>
        <v>5</v>
      </c>
      <c r="E26" s="376">
        <f>+[54]A19b!$B$27</f>
        <v>35</v>
      </c>
      <c r="F26" s="376">
        <f>+[54]A19b!$B$28</f>
        <v>271</v>
      </c>
      <c r="G26" s="376">
        <f>+[54]A19b!$B$29</f>
        <v>0</v>
      </c>
      <c r="H26" s="376">
        <f t="shared" si="0"/>
        <v>4487</v>
      </c>
      <c r="I26" s="376">
        <f>+[54]A19b!$E$11+[54]A19b!$F$11+[54]A19b!$G$11</f>
        <v>32</v>
      </c>
      <c r="J26" s="377">
        <f t="shared" si="1"/>
        <v>41.558441558441558</v>
      </c>
    </row>
    <row r="27" spans="1:10" ht="21.75" customHeight="1">
      <c r="A27" s="375" t="s">
        <v>1322</v>
      </c>
      <c r="B27" s="376">
        <f>+[55]A19b!$B$11</f>
        <v>56</v>
      </c>
      <c r="C27" s="376">
        <f>+[55]A19b!$B$25</f>
        <v>7853</v>
      </c>
      <c r="D27" s="376">
        <f>+[55]A19b!$B$26</f>
        <v>2</v>
      </c>
      <c r="E27" s="376">
        <f>+[55]A19b!$B$27</f>
        <v>52</v>
      </c>
      <c r="F27" s="376">
        <f>+[55]A19b!$B$28</f>
        <v>154</v>
      </c>
      <c r="G27" s="376">
        <f>+[55]A19b!$B$29</f>
        <v>1</v>
      </c>
      <c r="H27" s="376">
        <f t="shared" si="0"/>
        <v>8118</v>
      </c>
      <c r="I27" s="376">
        <f>+[55]A19b!$E$11+[55]A19b!$F$11+[55]A19b!$G$11</f>
        <v>56</v>
      </c>
      <c r="J27" s="377">
        <f>+I27/B27*100</f>
        <v>100</v>
      </c>
    </row>
    <row r="28" spans="1:10" ht="21.75" customHeight="1">
      <c r="A28" s="375" t="s">
        <v>1397</v>
      </c>
      <c r="B28" s="376">
        <f>+[56]A19b!$B$11</f>
        <v>0</v>
      </c>
      <c r="C28" s="376">
        <f>+[56]A19b!$B$25</f>
        <v>18</v>
      </c>
      <c r="D28" s="376">
        <f>+[56]A19b!$B$26</f>
        <v>0</v>
      </c>
      <c r="E28" s="376">
        <f>+[56]A19b!$B$27</f>
        <v>1</v>
      </c>
      <c r="F28" s="376">
        <f>+[56]A19b!$B$28</f>
        <v>0</v>
      </c>
      <c r="G28" s="376">
        <f>+[56]A19b!$B$29</f>
        <v>0</v>
      </c>
      <c r="H28" s="376">
        <f t="shared" si="0"/>
        <v>19</v>
      </c>
      <c r="I28" s="376">
        <f>+[56]A19b!$E$11+[56]A19b!$F$11+[56]A19b!$G$11</f>
        <v>0</v>
      </c>
      <c r="J28" s="377"/>
    </row>
    <row r="29" spans="1:10" ht="21.75" customHeight="1">
      <c r="A29" s="1348" t="s">
        <v>474</v>
      </c>
      <c r="B29" s="1313">
        <f t="shared" ref="B29:I29" si="4">SUM(B5:B28)</f>
        <v>3483</v>
      </c>
      <c r="C29" s="1313">
        <f t="shared" si="4"/>
        <v>90766</v>
      </c>
      <c r="D29" s="1313">
        <f t="shared" si="4"/>
        <v>210</v>
      </c>
      <c r="E29" s="1313">
        <f t="shared" si="4"/>
        <v>2399</v>
      </c>
      <c r="F29" s="1313">
        <f t="shared" si="4"/>
        <v>4486</v>
      </c>
      <c r="G29" s="1313">
        <f t="shared" si="4"/>
        <v>226</v>
      </c>
      <c r="H29" s="1313">
        <f t="shared" si="4"/>
        <v>101570</v>
      </c>
      <c r="I29" s="1313">
        <f t="shared" si="4"/>
        <v>2097</v>
      </c>
      <c r="J29" s="1349">
        <f>+I29/B29*100</f>
        <v>60.206718346253233</v>
      </c>
    </row>
    <row r="30" spans="1:10">
      <c r="A30" s="833"/>
      <c r="E30" s="153"/>
      <c r="F30" s="153"/>
      <c r="G30" s="153"/>
    </row>
    <row r="31" spans="1:10">
      <c r="B31" s="88"/>
      <c r="C31" s="882"/>
      <c r="D31" s="88"/>
      <c r="E31" s="88"/>
      <c r="F31" s="88"/>
      <c r="G31" s="88"/>
      <c r="H31" s="88"/>
      <c r="I31" s="88"/>
      <c r="J31" s="88"/>
    </row>
    <row r="32" spans="1:10">
      <c r="B32" s="913"/>
      <c r="C32" s="913"/>
      <c r="D32" s="913"/>
      <c r="E32" s="913"/>
      <c r="F32" s="913"/>
      <c r="G32" s="913"/>
      <c r="H32" s="913"/>
      <c r="I32" s="913"/>
    </row>
    <row r="33" spans="1:9">
      <c r="A33" s="588"/>
      <c r="B33" s="88"/>
      <c r="C33" s="88"/>
      <c r="D33" s="88"/>
      <c r="E33" s="88"/>
      <c r="F33" s="88"/>
      <c r="G33" s="88"/>
      <c r="H33" s="88"/>
      <c r="I33" s="88"/>
    </row>
    <row r="34" spans="1:9">
      <c r="B34" s="88"/>
      <c r="C34" s="88"/>
      <c r="D34" s="88"/>
      <c r="E34" s="88"/>
      <c r="F34" s="88"/>
      <c r="G34" s="88"/>
      <c r="H34" s="88"/>
      <c r="I34" s="88"/>
    </row>
    <row r="35" spans="1:9">
      <c r="B35" s="88"/>
      <c r="F35" s="88"/>
      <c r="I35" s="88"/>
    </row>
    <row r="36" spans="1:9">
      <c r="E36" s="88"/>
    </row>
  </sheetData>
  <mergeCells count="2">
    <mergeCell ref="A1:J1"/>
    <mergeCell ref="I4:J4"/>
  </mergeCells>
  <phoneticPr fontId="18" type="noConversion"/>
  <pageMargins left="1.9685039370078741" right="0.78740157480314965" top="0.43" bottom="0.48" header="0" footer="0"/>
  <pageSetup paperSize="5" orientation="landscape"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44"/>
  <sheetViews>
    <sheetView zoomScaleNormal="100" workbookViewId="0">
      <selection activeCell="X28" sqref="X28"/>
    </sheetView>
  </sheetViews>
  <sheetFormatPr baseColWidth="10" defaultRowHeight="12.75"/>
  <cols>
    <col min="1" max="1" width="14.7109375" customWidth="1"/>
    <col min="2" max="2" width="3.7109375" customWidth="1"/>
    <col min="3" max="3" width="5.28515625" customWidth="1"/>
    <col min="4" max="4" width="13" customWidth="1"/>
    <col min="5" max="5" width="8.7109375" customWidth="1"/>
    <col min="6" max="6" width="14" customWidth="1"/>
    <col min="7" max="7" width="5.42578125" customWidth="1"/>
    <col min="8" max="8" width="2.42578125" customWidth="1"/>
    <col min="9" max="9" width="3.5703125" style="176" customWidth="1"/>
    <col min="10" max="10" width="13.7109375" customWidth="1"/>
    <col min="11" max="11" width="5.42578125" customWidth="1"/>
    <col min="12" max="12" width="19.7109375" customWidth="1"/>
    <col min="13" max="13" width="6.28515625" customWidth="1"/>
    <col min="14" max="14" width="2.7109375" customWidth="1"/>
    <col min="15" max="15" width="10.7109375" customWidth="1"/>
    <col min="16" max="16" width="3.42578125" customWidth="1"/>
    <col min="17" max="17" width="2.7109375" customWidth="1"/>
    <col min="18" max="18" width="6.7109375" customWidth="1"/>
    <col min="19" max="19" width="10.7109375" customWidth="1"/>
    <col min="20" max="20" width="3.5703125" customWidth="1"/>
    <col min="21" max="21" width="3.28515625" customWidth="1"/>
    <col min="22" max="22" width="3.7109375" customWidth="1"/>
    <col min="23" max="23" width="3.28515625" customWidth="1"/>
    <col min="24" max="24" width="17.28515625" customWidth="1"/>
  </cols>
  <sheetData>
    <row r="1" spans="1:24" ht="18" customHeight="1">
      <c r="A1" s="1516" t="s">
        <v>358</v>
      </c>
      <c r="B1" s="1516"/>
      <c r="C1" s="1516"/>
      <c r="D1" s="1516"/>
      <c r="E1" s="1516"/>
      <c r="F1" s="1516"/>
      <c r="G1" s="1516"/>
      <c r="H1" s="1516"/>
      <c r="I1" s="1516"/>
      <c r="J1" s="1516"/>
      <c r="K1" s="1516"/>
      <c r="L1" s="1516"/>
      <c r="M1" s="1516"/>
      <c r="N1" s="1516"/>
      <c r="O1" s="1516"/>
      <c r="P1" s="1516"/>
      <c r="Q1" s="1516"/>
      <c r="R1" s="1516"/>
      <c r="S1" s="1516"/>
      <c r="T1" s="1516"/>
      <c r="U1" s="1516"/>
      <c r="V1" s="1516"/>
      <c r="W1" s="1516"/>
      <c r="X1" s="5"/>
    </row>
    <row r="2" spans="1:24" ht="19.5" customHeight="1">
      <c r="A2" s="1516" t="s">
        <v>359</v>
      </c>
      <c r="B2" s="1516"/>
      <c r="C2" s="1516"/>
      <c r="D2" s="1516"/>
      <c r="E2" s="1516"/>
      <c r="F2" s="1516"/>
      <c r="G2" s="1516"/>
      <c r="H2" s="1516"/>
      <c r="I2" s="1516"/>
      <c r="J2" s="1516"/>
      <c r="K2" s="1516"/>
      <c r="L2" s="1516"/>
      <c r="M2" s="1516"/>
      <c r="N2" s="1516"/>
      <c r="O2" s="1516"/>
      <c r="P2" s="1516"/>
      <c r="Q2" s="1516"/>
      <c r="R2" s="1516"/>
      <c r="S2" s="1516"/>
      <c r="T2" s="1516"/>
      <c r="U2" s="1516"/>
      <c r="V2" s="1516"/>
      <c r="W2" s="1516"/>
      <c r="X2" s="5"/>
    </row>
    <row r="3" spans="1:24">
      <c r="A3" s="6"/>
      <c r="B3" s="6"/>
      <c r="C3" s="6"/>
      <c r="D3" s="6"/>
      <c r="E3" s="6"/>
      <c r="F3" s="6"/>
      <c r="G3" s="6"/>
      <c r="H3" s="6"/>
      <c r="I3" s="34"/>
      <c r="J3" s="6"/>
      <c r="K3" s="6"/>
      <c r="L3" s="6"/>
      <c r="M3" s="6"/>
      <c r="N3" s="6"/>
      <c r="O3" s="6"/>
      <c r="P3" s="6"/>
      <c r="Q3" s="6"/>
      <c r="R3" s="6"/>
      <c r="S3" s="6"/>
      <c r="T3" s="6"/>
      <c r="U3" s="6"/>
      <c r="V3" s="6"/>
      <c r="W3" s="6"/>
      <c r="X3" s="6"/>
    </row>
    <row r="4" spans="1:24">
      <c r="A4" s="6"/>
      <c r="B4" s="6"/>
      <c r="C4" s="6"/>
      <c r="D4" s="6"/>
      <c r="E4" s="6"/>
      <c r="F4" s="6"/>
      <c r="G4" s="6"/>
      <c r="H4" s="6"/>
      <c r="I4" s="34"/>
      <c r="J4" s="6"/>
      <c r="K4" s="6"/>
      <c r="L4" s="6"/>
      <c r="M4" s="6"/>
      <c r="N4" s="6"/>
      <c r="O4" s="6"/>
      <c r="P4" s="6"/>
      <c r="Q4" s="6"/>
      <c r="R4" s="6"/>
      <c r="S4" s="6"/>
      <c r="T4" s="6"/>
      <c r="U4" s="6"/>
      <c r="V4" s="6"/>
      <c r="W4" s="6"/>
      <c r="X4" s="6"/>
    </row>
    <row r="5" spans="1:24">
      <c r="A5" s="6"/>
      <c r="B5" s="6"/>
      <c r="C5" s="6"/>
      <c r="D5" s="6"/>
      <c r="E5" s="6"/>
      <c r="F5" s="6"/>
      <c r="G5" s="6"/>
      <c r="H5" s="6"/>
      <c r="I5" s="34"/>
      <c r="J5" s="6"/>
      <c r="K5" s="6"/>
      <c r="L5" s="6"/>
      <c r="M5" s="6"/>
      <c r="N5" s="6"/>
      <c r="O5" s="6"/>
      <c r="P5" s="6"/>
      <c r="Q5" s="6"/>
      <c r="R5" s="6"/>
      <c r="S5" s="6"/>
      <c r="T5" s="6"/>
      <c r="U5" s="6"/>
      <c r="V5" s="6"/>
      <c r="W5" s="6"/>
      <c r="X5" s="6"/>
    </row>
    <row r="6" spans="1:24">
      <c r="A6" s="6"/>
      <c r="B6" s="6"/>
      <c r="C6" s="6"/>
      <c r="D6" s="6"/>
      <c r="E6" s="6"/>
      <c r="F6" s="6"/>
      <c r="G6" s="6"/>
      <c r="H6" s="6"/>
      <c r="I6" s="34"/>
      <c r="J6" s="6"/>
      <c r="K6" s="6"/>
      <c r="L6" s="6"/>
      <c r="M6" s="6"/>
      <c r="N6" s="6"/>
      <c r="O6" s="6"/>
      <c r="P6" s="6"/>
      <c r="Q6" s="6"/>
      <c r="R6" s="6"/>
      <c r="S6" s="6"/>
      <c r="T6" s="6"/>
      <c r="U6" s="6"/>
      <c r="V6" s="6"/>
      <c r="W6" s="6"/>
      <c r="X6" s="6"/>
    </row>
    <row r="7" spans="1:24">
      <c r="A7" s="17" t="s">
        <v>360</v>
      </c>
      <c r="B7" s="18"/>
      <c r="C7" s="18"/>
      <c r="D7" s="17" t="s">
        <v>611</v>
      </c>
      <c r="E7" s="18"/>
      <c r="F7" s="17" t="s">
        <v>162</v>
      </c>
      <c r="G7" s="18"/>
      <c r="H7" s="18"/>
      <c r="I7" s="777"/>
      <c r="J7" s="17" t="s">
        <v>1293</v>
      </c>
      <c r="K7" s="18"/>
      <c r="L7" s="17" t="s">
        <v>163</v>
      </c>
      <c r="M7" s="18"/>
      <c r="N7" s="18"/>
      <c r="O7" s="17" t="s">
        <v>361</v>
      </c>
      <c r="P7" s="18"/>
      <c r="Q7" s="18"/>
      <c r="R7" s="18"/>
      <c r="S7" s="17" t="s">
        <v>362</v>
      </c>
      <c r="T7" s="18"/>
      <c r="U7" s="18"/>
      <c r="V7" s="18"/>
      <c r="W7" s="18"/>
      <c r="X7" s="17" t="s">
        <v>363</v>
      </c>
    </row>
    <row r="8" spans="1:24">
      <c r="A8" s="6"/>
      <c r="B8" s="6"/>
      <c r="C8" s="6"/>
      <c r="D8" s="6"/>
      <c r="E8" s="6"/>
      <c r="F8" s="8"/>
      <c r="G8" s="6"/>
      <c r="H8" s="6"/>
      <c r="I8" s="34"/>
      <c r="J8" s="6"/>
      <c r="K8" s="6"/>
      <c r="L8" s="6"/>
      <c r="M8" s="6"/>
      <c r="N8" s="6"/>
      <c r="O8" s="6"/>
      <c r="P8" s="6"/>
      <c r="Q8" s="6"/>
      <c r="R8" s="6"/>
      <c r="S8" s="6"/>
      <c r="T8" s="6"/>
      <c r="U8" s="6"/>
      <c r="V8" s="6"/>
      <c r="W8" s="6"/>
      <c r="X8" s="6"/>
    </row>
    <row r="9" spans="1:24">
      <c r="A9" s="20" t="s">
        <v>364</v>
      </c>
      <c r="B9" s="374">
        <v>10</v>
      </c>
      <c r="C9" s="6"/>
      <c r="D9" s="30"/>
      <c r="E9" s="5"/>
      <c r="F9" s="20"/>
      <c r="G9" s="6"/>
      <c r="H9" s="10"/>
      <c r="I9" s="189"/>
      <c r="J9" s="10"/>
      <c r="K9" s="6"/>
      <c r="L9" s="20"/>
      <c r="M9" s="6"/>
      <c r="N9" s="6"/>
      <c r="O9" s="15"/>
      <c r="P9" s="6"/>
      <c r="Q9" s="6"/>
      <c r="R9" s="6"/>
      <c r="S9" s="15"/>
      <c r="T9" s="6"/>
      <c r="U9" s="6"/>
      <c r="V9" s="6"/>
      <c r="W9" s="6"/>
      <c r="X9" s="6"/>
    </row>
    <row r="10" spans="1:24">
      <c r="A10" s="20" t="s">
        <v>365</v>
      </c>
      <c r="B10" s="374">
        <v>8</v>
      </c>
      <c r="C10" s="6"/>
      <c r="D10" s="25"/>
      <c r="E10" s="6"/>
      <c r="F10" s="20" t="s">
        <v>351</v>
      </c>
      <c r="G10" s="9"/>
      <c r="H10" s="25">
        <v>0</v>
      </c>
      <c r="I10" s="374"/>
      <c r="J10" s="25"/>
      <c r="K10" s="6"/>
      <c r="L10" s="20"/>
      <c r="M10" s="6"/>
      <c r="N10" s="6"/>
      <c r="O10" s="21" t="s">
        <v>351</v>
      </c>
      <c r="P10" s="9"/>
      <c r="Q10" s="25">
        <v>15</v>
      </c>
      <c r="R10" s="6"/>
      <c r="S10" s="15"/>
      <c r="T10" s="6"/>
      <c r="U10" s="6"/>
      <c r="V10" s="6"/>
      <c r="W10" s="6"/>
      <c r="X10" s="6"/>
    </row>
    <row r="11" spans="1:24">
      <c r="A11" s="20" t="s">
        <v>366</v>
      </c>
      <c r="B11" s="374">
        <v>10</v>
      </c>
      <c r="C11" s="6"/>
      <c r="D11" s="30"/>
      <c r="E11" s="5"/>
      <c r="F11" s="20"/>
      <c r="G11" s="6"/>
      <c r="H11" s="28"/>
      <c r="I11" s="374"/>
      <c r="J11" s="28"/>
      <c r="K11" s="6"/>
      <c r="L11" s="20"/>
      <c r="M11" s="6"/>
      <c r="N11" s="6"/>
      <c r="O11" s="15"/>
      <c r="P11" s="6"/>
      <c r="Q11" s="26"/>
      <c r="R11" s="6"/>
      <c r="S11" s="15"/>
      <c r="T11" s="6"/>
      <c r="U11" s="6"/>
      <c r="V11" s="6"/>
      <c r="W11" s="6"/>
      <c r="X11" s="6"/>
    </row>
    <row r="12" spans="1:24">
      <c r="A12" s="20" t="s">
        <v>367</v>
      </c>
      <c r="B12" s="374">
        <v>12</v>
      </c>
      <c r="C12" s="6"/>
      <c r="D12" s="30"/>
      <c r="E12" s="5"/>
      <c r="F12" s="20"/>
      <c r="G12" s="6"/>
      <c r="H12" s="28"/>
      <c r="I12" s="374"/>
      <c r="J12" s="28"/>
      <c r="K12" s="6"/>
      <c r="L12" s="20"/>
      <c r="M12" s="6"/>
      <c r="N12" s="6"/>
      <c r="O12" s="15"/>
      <c r="P12" s="6"/>
      <c r="Q12" s="26"/>
      <c r="R12" s="6"/>
      <c r="S12" s="22" t="s">
        <v>352</v>
      </c>
      <c r="T12" s="6"/>
      <c r="U12" s="25">
        <v>143</v>
      </c>
      <c r="V12" s="6"/>
      <c r="W12" s="6"/>
      <c r="X12" s="6"/>
    </row>
    <row r="13" spans="1:24">
      <c r="A13" s="20"/>
      <c r="B13" s="28"/>
      <c r="C13" s="6"/>
      <c r="D13" s="20" t="s">
        <v>1280</v>
      </c>
      <c r="E13" s="30">
        <v>7</v>
      </c>
      <c r="F13" s="20"/>
      <c r="G13" s="6"/>
      <c r="H13" s="28"/>
      <c r="I13" s="374"/>
      <c r="J13" s="28"/>
      <c r="K13" s="6"/>
      <c r="L13" s="20"/>
      <c r="M13" s="6"/>
      <c r="N13" s="6"/>
      <c r="O13" s="15"/>
      <c r="P13" s="6"/>
      <c r="Q13" s="26"/>
      <c r="R13" s="6"/>
      <c r="S13" s="15"/>
      <c r="T13" s="6"/>
      <c r="U13" s="26"/>
      <c r="V13" s="6"/>
      <c r="W13" s="6"/>
      <c r="X13" s="6"/>
    </row>
    <row r="14" spans="1:24">
      <c r="A14" s="20"/>
      <c r="B14" s="28"/>
      <c r="C14" s="6"/>
      <c r="D14" s="28"/>
      <c r="E14" s="6"/>
      <c r="F14" s="20"/>
      <c r="G14" s="6"/>
      <c r="H14" s="28"/>
      <c r="I14" s="374"/>
      <c r="J14" s="28"/>
      <c r="K14" s="6"/>
      <c r="L14" s="20"/>
      <c r="M14" s="6"/>
      <c r="N14" s="6"/>
      <c r="O14" s="15"/>
      <c r="P14" s="6"/>
      <c r="Q14" s="26"/>
      <c r="R14" s="6"/>
      <c r="S14" s="15"/>
      <c r="T14" s="6"/>
      <c r="U14" s="26"/>
      <c r="V14" s="6"/>
      <c r="W14" s="6"/>
      <c r="X14" s="6"/>
    </row>
    <row r="15" spans="1:24">
      <c r="A15" s="20" t="s">
        <v>368</v>
      </c>
      <c r="B15" s="374">
        <v>10</v>
      </c>
      <c r="C15" s="9"/>
      <c r="D15" s="30"/>
      <c r="E15" s="6"/>
      <c r="F15" s="20" t="s">
        <v>369</v>
      </c>
      <c r="G15" s="9"/>
      <c r="H15" s="25">
        <v>8</v>
      </c>
      <c r="I15" s="374"/>
      <c r="J15" s="25"/>
      <c r="K15" s="6"/>
      <c r="L15" s="20"/>
      <c r="M15" s="6"/>
      <c r="N15" s="6"/>
      <c r="O15" s="15"/>
      <c r="P15" s="6"/>
      <c r="Q15" s="26"/>
      <c r="R15" s="6"/>
      <c r="S15" s="23">
        <v>16</v>
      </c>
      <c r="T15" s="6"/>
      <c r="U15" s="26"/>
      <c r="V15" s="6"/>
      <c r="W15" s="6"/>
      <c r="X15" s="6"/>
    </row>
    <row r="16" spans="1:24">
      <c r="A16" s="20"/>
      <c r="B16" s="30"/>
      <c r="C16" s="9"/>
      <c r="D16" s="20" t="s">
        <v>370</v>
      </c>
      <c r="E16" s="30">
        <v>12</v>
      </c>
      <c r="F16" s="20"/>
      <c r="G16" s="9"/>
      <c r="H16" s="25"/>
      <c r="I16" s="374"/>
      <c r="J16" s="25"/>
      <c r="K16" s="6"/>
      <c r="L16" s="20"/>
      <c r="M16" s="6"/>
      <c r="N16" s="6"/>
      <c r="O16" s="15"/>
      <c r="P16" s="6"/>
      <c r="Q16" s="26"/>
      <c r="R16" s="6"/>
      <c r="S16" s="24"/>
      <c r="T16" s="6"/>
      <c r="U16" s="26"/>
      <c r="V16" s="6"/>
      <c r="W16" s="6"/>
      <c r="X16" s="6"/>
    </row>
    <row r="17" spans="1:24">
      <c r="A17" s="20"/>
      <c r="B17" s="28"/>
      <c r="C17" s="6"/>
      <c r="D17" s="28"/>
      <c r="E17" s="6"/>
      <c r="F17" s="20" t="s">
        <v>371</v>
      </c>
      <c r="G17" s="9"/>
      <c r="H17" s="25">
        <v>6</v>
      </c>
      <c r="I17" s="374"/>
      <c r="J17" s="25"/>
      <c r="K17" s="6"/>
      <c r="L17" s="20"/>
      <c r="M17" s="6"/>
      <c r="N17" s="6"/>
      <c r="O17" s="15"/>
      <c r="P17" s="6"/>
      <c r="Q17" s="26"/>
      <c r="R17" s="6"/>
      <c r="S17" s="15"/>
      <c r="T17" s="6"/>
      <c r="U17" s="26"/>
      <c r="V17" s="6"/>
      <c r="W17" s="6"/>
      <c r="X17" s="6"/>
    </row>
    <row r="18" spans="1:24">
      <c r="A18" s="20"/>
      <c r="B18" s="28"/>
      <c r="C18" s="6"/>
      <c r="D18" s="28"/>
      <c r="E18" s="6"/>
      <c r="F18" s="16"/>
      <c r="H18" s="29"/>
      <c r="I18" s="778"/>
      <c r="J18" s="20" t="s">
        <v>609</v>
      </c>
      <c r="K18" s="6"/>
      <c r="L18" s="20" t="s">
        <v>1127</v>
      </c>
      <c r="M18" s="7"/>
      <c r="N18" s="25">
        <v>1</v>
      </c>
      <c r="O18" s="15"/>
      <c r="P18" s="6"/>
      <c r="Q18" s="26"/>
      <c r="R18" s="6"/>
      <c r="S18" s="20" t="s">
        <v>372</v>
      </c>
      <c r="T18" s="6"/>
      <c r="U18" s="25">
        <v>127</v>
      </c>
      <c r="V18" s="6"/>
      <c r="W18" s="6"/>
      <c r="X18" s="19" t="s">
        <v>373</v>
      </c>
    </row>
    <row r="19" spans="1:24">
      <c r="A19" s="20"/>
      <c r="B19" s="28"/>
      <c r="C19" s="6"/>
      <c r="D19" s="22" t="s">
        <v>367</v>
      </c>
      <c r="E19" s="30">
        <v>10</v>
      </c>
      <c r="F19" s="175"/>
      <c r="H19" s="29"/>
      <c r="I19" s="778"/>
      <c r="J19" s="29"/>
      <c r="K19" s="6"/>
      <c r="L19" s="20"/>
      <c r="M19" s="7"/>
      <c r="N19" s="25"/>
      <c r="O19" s="15"/>
      <c r="P19" s="6"/>
      <c r="Q19" s="26"/>
      <c r="R19" s="6"/>
      <c r="S19" s="20"/>
      <c r="T19" s="6"/>
      <c r="U19" s="25"/>
      <c r="V19" s="6"/>
      <c r="W19" s="6"/>
      <c r="X19" s="19"/>
    </row>
    <row r="20" spans="1:24">
      <c r="A20" s="20"/>
      <c r="B20" s="28"/>
      <c r="C20" s="6"/>
      <c r="D20" s="28"/>
      <c r="E20" s="6"/>
      <c r="F20" s="20"/>
      <c r="G20" s="6"/>
      <c r="H20" s="28"/>
      <c r="I20" s="374"/>
      <c r="J20" s="28"/>
      <c r="K20" s="6"/>
      <c r="L20" s="20" t="s">
        <v>1128</v>
      </c>
      <c r="M20" s="6"/>
      <c r="N20" s="25">
        <v>2</v>
      </c>
      <c r="O20" s="15"/>
      <c r="P20" s="6"/>
      <c r="Q20" s="26"/>
      <c r="R20" s="6"/>
      <c r="S20" s="15"/>
      <c r="T20" s="6"/>
      <c r="U20" s="28"/>
      <c r="V20" s="6"/>
      <c r="W20" s="6"/>
      <c r="X20" s="6"/>
    </row>
    <row r="21" spans="1:24">
      <c r="A21" s="20"/>
      <c r="B21" s="28"/>
      <c r="C21" s="6"/>
      <c r="D21" s="28"/>
      <c r="E21" s="6"/>
      <c r="F21" s="20" t="s">
        <v>374</v>
      </c>
      <c r="G21" s="9"/>
      <c r="H21" s="30">
        <v>12</v>
      </c>
      <c r="I21" s="374"/>
      <c r="J21" s="30"/>
      <c r="K21" s="6"/>
      <c r="L21" s="20"/>
      <c r="M21" s="6"/>
      <c r="N21" s="27"/>
      <c r="O21" s="15"/>
      <c r="P21" s="6"/>
      <c r="Q21" s="26"/>
      <c r="R21" s="6"/>
      <c r="S21" s="15"/>
      <c r="T21" s="6"/>
      <c r="U21" s="28"/>
      <c r="V21" s="6"/>
      <c r="W21" s="6"/>
      <c r="X21" s="6"/>
    </row>
    <row r="22" spans="1:24">
      <c r="A22" s="20"/>
      <c r="B22" s="28"/>
      <c r="C22" s="6"/>
      <c r="D22" s="28"/>
      <c r="E22" s="6"/>
      <c r="F22" s="20"/>
      <c r="G22" s="6"/>
      <c r="H22" s="27"/>
      <c r="I22" s="779"/>
      <c r="J22" s="27"/>
      <c r="K22" s="6"/>
      <c r="L22" s="20"/>
      <c r="M22" s="6"/>
      <c r="N22" s="27"/>
      <c r="O22" s="15"/>
      <c r="P22" s="6"/>
      <c r="Q22" s="26"/>
      <c r="R22" s="6"/>
      <c r="S22" s="15"/>
      <c r="T22" s="6"/>
      <c r="U22" s="28"/>
      <c r="V22" s="6"/>
      <c r="W22" s="6"/>
      <c r="X22" s="6"/>
    </row>
    <row r="23" spans="1:24">
      <c r="A23" s="20"/>
      <c r="B23" s="28"/>
      <c r="C23" s="6"/>
      <c r="D23" s="28"/>
      <c r="E23" s="6"/>
      <c r="F23" s="20"/>
      <c r="G23" s="6"/>
      <c r="H23" s="28"/>
      <c r="I23" s="374"/>
      <c r="J23" s="28"/>
      <c r="K23" s="6"/>
      <c r="L23" s="20"/>
      <c r="M23" s="6"/>
      <c r="N23" s="27"/>
      <c r="O23" s="15"/>
      <c r="P23" s="6"/>
      <c r="Q23" s="26"/>
      <c r="R23" s="6"/>
      <c r="S23" s="15"/>
      <c r="T23" s="6"/>
      <c r="U23" s="28"/>
      <c r="V23" s="6"/>
      <c r="W23" s="6"/>
      <c r="X23" s="6"/>
    </row>
    <row r="24" spans="1:24">
      <c r="A24" s="20"/>
      <c r="B24" s="30"/>
      <c r="C24" s="6"/>
      <c r="D24" s="20" t="s">
        <v>375</v>
      </c>
      <c r="E24" s="30">
        <v>13</v>
      </c>
      <c r="F24" s="20" t="s">
        <v>376</v>
      </c>
      <c r="G24" s="9"/>
      <c r="H24" s="25">
        <v>8</v>
      </c>
      <c r="I24" s="374"/>
      <c r="J24" s="20" t="s">
        <v>377</v>
      </c>
      <c r="K24" s="9"/>
      <c r="L24" s="20" t="s">
        <v>377</v>
      </c>
      <c r="M24" s="9"/>
      <c r="N24" s="25">
        <v>0</v>
      </c>
      <c r="O24" s="20" t="s">
        <v>377</v>
      </c>
      <c r="P24" s="9"/>
      <c r="Q24" s="25">
        <v>30</v>
      </c>
      <c r="R24" s="6"/>
      <c r="S24" s="15"/>
      <c r="T24" s="6"/>
      <c r="U24" s="25">
        <v>100</v>
      </c>
      <c r="V24" s="6"/>
      <c r="W24" s="6"/>
      <c r="X24" s="6"/>
    </row>
    <row r="25" spans="1:24">
      <c r="A25" s="20"/>
      <c r="B25" s="28"/>
      <c r="C25" s="6"/>
      <c r="D25" s="28"/>
      <c r="E25" s="6"/>
      <c r="F25" s="20"/>
      <c r="G25" s="6"/>
      <c r="H25" s="28"/>
      <c r="I25" s="374"/>
      <c r="J25" s="28"/>
      <c r="K25" s="6"/>
      <c r="L25" s="20"/>
      <c r="M25" s="6"/>
      <c r="N25" s="28"/>
      <c r="O25" s="6"/>
      <c r="P25" s="6"/>
      <c r="Q25" s="6"/>
      <c r="R25" s="6"/>
      <c r="S25" s="15"/>
      <c r="T25" s="6"/>
      <c r="U25" s="10"/>
      <c r="V25" s="6"/>
      <c r="W25" s="6"/>
      <c r="X25" s="6"/>
    </row>
    <row r="26" spans="1:24">
      <c r="A26" s="20"/>
      <c r="B26" s="28"/>
      <c r="C26" s="6"/>
      <c r="D26" s="28"/>
      <c r="E26" s="6"/>
      <c r="F26" s="20"/>
      <c r="G26" s="6"/>
      <c r="H26" s="28"/>
      <c r="I26" s="374"/>
      <c r="J26" s="28"/>
      <c r="K26" s="6"/>
      <c r="L26" s="20"/>
      <c r="M26" s="6"/>
      <c r="N26" s="28"/>
      <c r="O26" s="6"/>
      <c r="P26" s="6"/>
      <c r="Q26" s="6"/>
      <c r="R26" s="6"/>
      <c r="S26" s="15"/>
      <c r="T26" s="6"/>
      <c r="U26" s="6"/>
      <c r="V26" s="6"/>
      <c r="W26" s="6"/>
      <c r="X26" s="6"/>
    </row>
    <row r="27" spans="1:24">
      <c r="A27" s="20" t="s">
        <v>378</v>
      </c>
      <c r="B27" s="374">
        <v>30</v>
      </c>
      <c r="C27" s="6"/>
      <c r="D27" s="30"/>
      <c r="E27" s="6"/>
      <c r="F27" s="20"/>
      <c r="G27" s="6"/>
      <c r="H27" s="28"/>
      <c r="I27" s="374"/>
      <c r="J27" s="28"/>
      <c r="K27" s="6"/>
      <c r="L27" s="20" t="s">
        <v>1130</v>
      </c>
      <c r="M27" s="7"/>
      <c r="N27" s="25">
        <v>1</v>
      </c>
      <c r="O27" s="6"/>
      <c r="P27" s="6"/>
      <c r="Q27" s="6"/>
      <c r="R27" s="6"/>
      <c r="S27" s="15"/>
      <c r="T27" s="6"/>
      <c r="U27" s="6"/>
      <c r="V27" s="6"/>
      <c r="W27" s="6"/>
      <c r="X27" s="6"/>
    </row>
    <row r="28" spans="1:24">
      <c r="A28" s="20"/>
      <c r="B28" s="28"/>
      <c r="C28" s="6"/>
      <c r="D28" s="20" t="s">
        <v>382</v>
      </c>
      <c r="E28" s="25">
        <v>1</v>
      </c>
      <c r="F28" s="15"/>
      <c r="G28" s="6"/>
      <c r="H28" s="28"/>
      <c r="I28" s="374"/>
      <c r="J28" s="28"/>
      <c r="K28" s="6"/>
      <c r="L28" s="20"/>
      <c r="M28" s="6"/>
      <c r="N28" s="28"/>
      <c r="O28" s="6"/>
      <c r="P28" s="6"/>
      <c r="Q28" s="6"/>
      <c r="R28" s="6"/>
      <c r="S28" s="15"/>
      <c r="T28" s="6"/>
      <c r="U28" s="6"/>
      <c r="V28" s="6"/>
      <c r="W28" s="6"/>
      <c r="X28" s="6"/>
    </row>
    <row r="29" spans="1:24">
      <c r="A29" s="20"/>
      <c r="B29" s="28"/>
      <c r="C29" s="6"/>
      <c r="D29" s="28"/>
      <c r="E29" s="6"/>
      <c r="F29" s="15"/>
      <c r="G29" s="6"/>
      <c r="H29" s="28"/>
      <c r="I29" s="374"/>
      <c r="J29" s="20" t="s">
        <v>382</v>
      </c>
      <c r="K29" s="6"/>
      <c r="L29" s="20"/>
      <c r="M29" s="6"/>
      <c r="N29" s="28"/>
      <c r="O29" s="6"/>
      <c r="P29" s="6"/>
      <c r="Q29" s="6"/>
      <c r="R29" s="6"/>
      <c r="S29" s="15"/>
      <c r="T29" s="6"/>
      <c r="U29" s="6"/>
      <c r="V29" s="6"/>
      <c r="W29" s="6"/>
      <c r="X29" s="6"/>
    </row>
    <row r="30" spans="1:24">
      <c r="A30" s="20"/>
      <c r="B30" s="28"/>
      <c r="C30" s="6"/>
      <c r="D30" s="28"/>
      <c r="E30" s="6"/>
      <c r="F30" s="15"/>
      <c r="G30" s="6"/>
      <c r="H30" s="28"/>
      <c r="I30" s="374"/>
      <c r="J30" s="28"/>
      <c r="K30" s="6"/>
      <c r="L30" s="20" t="s">
        <v>1129</v>
      </c>
      <c r="M30" s="7"/>
      <c r="N30" s="25">
        <v>0</v>
      </c>
      <c r="O30" s="6"/>
      <c r="P30" s="6"/>
      <c r="Q30" s="6"/>
      <c r="R30" s="6"/>
      <c r="S30" s="15"/>
      <c r="T30" s="6"/>
      <c r="U30" s="6"/>
      <c r="V30" s="6"/>
      <c r="W30" s="6"/>
      <c r="X30" s="6"/>
    </row>
    <row r="31" spans="1:24">
      <c r="A31" s="20"/>
      <c r="B31" s="28"/>
      <c r="C31" s="6"/>
      <c r="D31" s="28"/>
      <c r="E31" s="6"/>
      <c r="F31" s="15"/>
      <c r="G31" s="6"/>
      <c r="H31" s="28"/>
      <c r="I31" s="374"/>
      <c r="J31" s="28"/>
      <c r="K31" s="6"/>
      <c r="M31" s="6"/>
      <c r="N31" s="28"/>
      <c r="O31" s="6"/>
      <c r="P31" s="6"/>
      <c r="Q31" s="6"/>
      <c r="R31" s="6"/>
      <c r="S31" s="15"/>
      <c r="T31" s="6"/>
      <c r="U31" s="6"/>
      <c r="V31" s="6"/>
      <c r="W31" s="6"/>
      <c r="X31" s="6"/>
    </row>
    <row r="32" spans="1:24">
      <c r="A32" s="20" t="s">
        <v>379</v>
      </c>
      <c r="B32" s="25">
        <v>3</v>
      </c>
      <c r="C32" s="6"/>
      <c r="D32" s="25"/>
      <c r="E32" s="6"/>
      <c r="F32" s="20" t="s">
        <v>380</v>
      </c>
      <c r="G32" s="9"/>
      <c r="H32" s="25">
        <v>4</v>
      </c>
      <c r="I32" s="374"/>
      <c r="J32" s="25"/>
      <c r="K32" s="8"/>
      <c r="M32" s="6"/>
      <c r="N32" s="28"/>
      <c r="O32" s="6"/>
      <c r="P32" s="6"/>
      <c r="Q32" s="6"/>
      <c r="S32" s="16"/>
      <c r="W32" s="6"/>
      <c r="X32" s="6"/>
    </row>
    <row r="33" spans="1:24">
      <c r="A33" s="15"/>
      <c r="B33" s="28"/>
      <c r="C33" s="6"/>
      <c r="D33" s="28"/>
      <c r="E33" s="6"/>
      <c r="F33" s="15"/>
      <c r="G33" s="6"/>
      <c r="H33" s="28"/>
      <c r="I33" s="374"/>
      <c r="J33" s="28"/>
      <c r="K33" s="6"/>
      <c r="M33" s="6"/>
      <c r="N33" s="28"/>
      <c r="O33" s="6"/>
      <c r="P33" s="6"/>
      <c r="Q33" s="6"/>
      <c r="R33" s="6"/>
      <c r="S33" s="15"/>
      <c r="T33" s="6"/>
      <c r="U33" s="6"/>
      <c r="V33" s="6"/>
      <c r="W33" s="6"/>
      <c r="X33" s="6"/>
    </row>
    <row r="34" spans="1:24">
      <c r="A34" s="15"/>
      <c r="B34" s="28"/>
      <c r="C34" s="6"/>
      <c r="D34" s="28"/>
      <c r="E34" s="6"/>
      <c r="F34" s="15"/>
      <c r="G34" s="6"/>
      <c r="H34" s="28"/>
      <c r="I34" s="374"/>
      <c r="J34" s="28"/>
      <c r="K34" s="6"/>
      <c r="M34" s="6"/>
      <c r="N34" s="28"/>
      <c r="O34" s="6"/>
      <c r="P34" s="6"/>
      <c r="Q34" s="6"/>
      <c r="R34" s="6"/>
      <c r="S34" s="15"/>
      <c r="T34" s="6"/>
      <c r="U34" s="6"/>
      <c r="V34" s="6"/>
      <c r="W34" s="6"/>
      <c r="X34" s="6"/>
    </row>
    <row r="35" spans="1:24">
      <c r="A35" s="20"/>
      <c r="C35" s="6"/>
      <c r="D35" s="20" t="s">
        <v>381</v>
      </c>
      <c r="E35" s="25">
        <v>8</v>
      </c>
      <c r="F35" s="20"/>
      <c r="G35" s="8"/>
      <c r="H35" s="28"/>
      <c r="I35" s="374"/>
      <c r="J35" s="28"/>
      <c r="K35" s="6"/>
      <c r="R35" s="6"/>
      <c r="S35" s="20" t="s">
        <v>382</v>
      </c>
      <c r="T35" s="6"/>
      <c r="U35" s="25">
        <v>145</v>
      </c>
      <c r="V35" s="6"/>
      <c r="W35" s="6"/>
      <c r="X35" s="6"/>
    </row>
    <row r="36" spans="1:24">
      <c r="A36" s="20" t="s">
        <v>383</v>
      </c>
      <c r="B36" s="25">
        <v>4</v>
      </c>
      <c r="C36" s="6"/>
      <c r="D36" s="25"/>
      <c r="E36" s="8"/>
      <c r="F36" s="20" t="s">
        <v>384</v>
      </c>
      <c r="G36" s="9"/>
      <c r="H36" s="25">
        <v>5</v>
      </c>
      <c r="I36" s="374"/>
      <c r="J36" s="25"/>
      <c r="K36" s="6"/>
      <c r="M36" s="6"/>
      <c r="O36" s="6"/>
      <c r="P36" s="6"/>
      <c r="Q36" s="6"/>
      <c r="R36" s="6"/>
      <c r="S36" s="6"/>
      <c r="T36" s="6"/>
      <c r="U36" s="6"/>
      <c r="V36" s="6"/>
      <c r="W36" s="6"/>
      <c r="X36" s="6"/>
    </row>
    <row r="37" spans="1:24">
      <c r="A37" s="20" t="s">
        <v>385</v>
      </c>
      <c r="B37" s="25">
        <v>15</v>
      </c>
      <c r="C37" s="6"/>
      <c r="D37" s="25"/>
      <c r="E37" s="8"/>
      <c r="F37" s="20"/>
      <c r="G37" s="8"/>
      <c r="H37" s="28"/>
      <c r="I37" s="374"/>
      <c r="J37" s="28"/>
      <c r="K37" s="6"/>
      <c r="L37" s="6"/>
      <c r="M37" s="6"/>
      <c r="N37" s="6"/>
      <c r="O37" s="6"/>
      <c r="P37" s="6"/>
      <c r="Q37" s="6"/>
      <c r="R37" s="6"/>
      <c r="S37" s="6"/>
      <c r="T37" s="6"/>
      <c r="U37" s="6"/>
      <c r="V37" s="6"/>
      <c r="W37" s="6"/>
      <c r="X37" s="6"/>
    </row>
    <row r="38" spans="1:24">
      <c r="A38" s="20" t="s">
        <v>386</v>
      </c>
      <c r="B38" s="25">
        <v>29</v>
      </c>
      <c r="C38" s="6"/>
      <c r="D38" s="25"/>
      <c r="E38" s="8"/>
      <c r="F38" s="20"/>
      <c r="G38" s="8"/>
      <c r="H38" s="28"/>
      <c r="I38" s="374"/>
      <c r="J38" s="28"/>
      <c r="K38" s="6"/>
      <c r="L38" s="6"/>
      <c r="M38" s="6"/>
      <c r="N38" s="6"/>
      <c r="O38" s="6"/>
      <c r="P38" s="6"/>
      <c r="Q38" s="6"/>
      <c r="R38" s="6"/>
      <c r="S38" s="6"/>
      <c r="T38" s="6"/>
      <c r="U38" s="6"/>
      <c r="V38" s="6"/>
      <c r="W38" s="6"/>
      <c r="X38" s="6"/>
    </row>
    <row r="39" spans="1:24">
      <c r="A39" s="8"/>
      <c r="B39" s="8"/>
      <c r="C39" s="8"/>
      <c r="D39" s="8"/>
      <c r="E39" s="8"/>
      <c r="F39" s="20" t="s">
        <v>387</v>
      </c>
      <c r="G39" s="9"/>
      <c r="H39" s="25">
        <v>9</v>
      </c>
      <c r="I39" s="374"/>
      <c r="J39" s="25"/>
      <c r="K39" s="8"/>
      <c r="L39" s="6"/>
      <c r="M39" s="6"/>
      <c r="N39" s="6"/>
      <c r="O39" s="6"/>
      <c r="P39" s="6"/>
      <c r="Q39" s="6"/>
      <c r="R39" s="6"/>
      <c r="S39" s="6"/>
      <c r="T39" s="6"/>
      <c r="U39" s="6"/>
      <c r="V39" s="6"/>
      <c r="W39" s="6"/>
      <c r="X39" s="6"/>
    </row>
    <row r="43" spans="1:24">
      <c r="F43" s="661"/>
    </row>
    <row r="44" spans="1:24">
      <c r="F44" s="661"/>
    </row>
  </sheetData>
  <mergeCells count="2">
    <mergeCell ref="A1:W1"/>
    <mergeCell ref="A2:W2"/>
  </mergeCells>
  <phoneticPr fontId="0" type="noConversion"/>
  <pageMargins left="1.1811023622047245" right="0.78740157480314965" top="0.78740157480314965" bottom="0.98425196850393704" header="0.51181102362204722" footer="0.51181102362204722"/>
  <pageSetup paperSize="14" scale="78" fitToHeight="29" orientation="landscape"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S209"/>
  <sheetViews>
    <sheetView workbookViewId="0">
      <selection activeCell="G9" sqref="G9"/>
    </sheetView>
  </sheetViews>
  <sheetFormatPr baseColWidth="10" defaultColWidth="11.42578125" defaultRowHeight="12"/>
  <cols>
    <col min="1" max="1" width="13" style="277" customWidth="1"/>
    <col min="2" max="2" width="17.5703125" style="277" customWidth="1"/>
    <col min="3" max="11" width="9.5703125" style="277" customWidth="1"/>
    <col min="12" max="12" width="11.42578125" style="277"/>
    <col min="13" max="13" width="9.42578125" style="1505" customWidth="1"/>
    <col min="14" max="19" width="7.5703125" style="1505" customWidth="1"/>
    <col min="20" max="16384" width="11.42578125" style="277"/>
  </cols>
  <sheetData>
    <row r="1" spans="1:19">
      <c r="A1" s="1606" t="s">
        <v>971</v>
      </c>
      <c r="B1" s="1606"/>
      <c r="C1" s="1606"/>
      <c r="D1" s="1606"/>
      <c r="E1" s="1606"/>
      <c r="F1" s="1606"/>
      <c r="G1" s="1606"/>
      <c r="H1" s="1606"/>
      <c r="I1" s="294"/>
      <c r="J1" s="294"/>
      <c r="K1" s="294"/>
      <c r="M1" s="1505" t="s">
        <v>972</v>
      </c>
    </row>
    <row r="2" spans="1:19">
      <c r="A2" s="378"/>
      <c r="B2" s="378"/>
      <c r="C2" s="378"/>
      <c r="D2" s="378"/>
      <c r="E2" s="378"/>
      <c r="F2" s="378"/>
      <c r="G2" s="378"/>
      <c r="H2" s="378"/>
      <c r="I2" s="378"/>
      <c r="J2" s="378"/>
      <c r="K2" s="378"/>
      <c r="N2" s="1505">
        <v>2017</v>
      </c>
      <c r="O2" s="1505">
        <v>2018</v>
      </c>
      <c r="P2" s="1505">
        <v>2019</v>
      </c>
      <c r="Q2" s="1505">
        <v>2020</v>
      </c>
      <c r="R2" s="1505">
        <v>2021</v>
      </c>
      <c r="S2" s="1505">
        <v>2022</v>
      </c>
    </row>
    <row r="3" spans="1:19">
      <c r="A3" s="1606" t="s">
        <v>814</v>
      </c>
      <c r="B3" s="1606"/>
      <c r="C3" s="1606"/>
      <c r="D3" s="1606"/>
      <c r="E3" s="1606"/>
      <c r="F3" s="1606"/>
      <c r="G3" s="1606"/>
      <c r="H3" s="1606"/>
      <c r="I3" s="294"/>
      <c r="J3" s="294"/>
      <c r="K3" s="294"/>
      <c r="M3" s="1505" t="s">
        <v>973</v>
      </c>
      <c r="N3" s="1505">
        <v>282248</v>
      </c>
      <c r="O3" s="1505">
        <v>284925</v>
      </c>
      <c r="P3" s="1505">
        <v>279717</v>
      </c>
      <c r="Q3" s="1505">
        <v>283366</v>
      </c>
      <c r="R3" s="1505">
        <v>286194</v>
      </c>
      <c r="S3" s="1505">
        <f>+S8+S15</f>
        <v>288579</v>
      </c>
    </row>
    <row r="4" spans="1:19">
      <c r="M4" s="1505" t="s">
        <v>974</v>
      </c>
      <c r="N4" s="1505">
        <v>81806</v>
      </c>
      <c r="O4" s="1505">
        <v>82886</v>
      </c>
      <c r="P4" s="1505">
        <v>67583</v>
      </c>
      <c r="Q4" s="1506">
        <v>68093</v>
      </c>
      <c r="R4" s="1506">
        <v>68401</v>
      </c>
      <c r="S4" s="1506">
        <f>+'7'!$F$19</f>
        <v>68602</v>
      </c>
    </row>
    <row r="5" spans="1:19">
      <c r="M5" s="1505" t="s">
        <v>975</v>
      </c>
      <c r="N5" s="1505">
        <v>18765</v>
      </c>
      <c r="O5" s="1505">
        <v>18970</v>
      </c>
      <c r="P5" s="1505">
        <v>20276</v>
      </c>
      <c r="Q5" s="1506">
        <v>20643</v>
      </c>
      <c r="R5" s="1506">
        <v>20952</v>
      </c>
      <c r="S5" s="1506">
        <f>+'7'!$G$19</f>
        <v>21226</v>
      </c>
    </row>
    <row r="6" spans="1:19">
      <c r="M6" s="1505" t="s">
        <v>976</v>
      </c>
      <c r="N6" s="1505">
        <v>11100</v>
      </c>
      <c r="O6" s="1505">
        <v>11090</v>
      </c>
      <c r="P6" s="1505">
        <v>16107</v>
      </c>
      <c r="Q6" s="1506">
        <v>16482</v>
      </c>
      <c r="R6" s="1506">
        <v>16804</v>
      </c>
      <c r="S6" s="1506">
        <f>+'7'!$H$19</f>
        <v>17097</v>
      </c>
    </row>
    <row r="7" spans="1:19">
      <c r="M7" s="1505" t="s">
        <v>518</v>
      </c>
      <c r="N7" s="1505">
        <v>8514</v>
      </c>
      <c r="O7" s="1505">
        <v>8600</v>
      </c>
      <c r="P7" s="1505">
        <v>11010</v>
      </c>
      <c r="Q7" s="1506">
        <v>11263</v>
      </c>
      <c r="R7" s="1506">
        <v>11471</v>
      </c>
      <c r="S7" s="1506">
        <f>+'7'!$I$19</f>
        <v>11663</v>
      </c>
    </row>
    <row r="8" spans="1:19" s="332" customFormat="1" ht="21.75" customHeight="1">
      <c r="A8" s="1297" t="s">
        <v>493</v>
      </c>
      <c r="B8" s="1346" t="s">
        <v>770</v>
      </c>
      <c r="C8" s="1256">
        <v>2017</v>
      </c>
      <c r="D8" s="1256">
        <v>2018</v>
      </c>
      <c r="E8" s="1256">
        <v>2019</v>
      </c>
      <c r="F8" s="1256">
        <v>2020</v>
      </c>
      <c r="G8" s="1256">
        <v>2021</v>
      </c>
      <c r="H8" s="1256">
        <v>2022</v>
      </c>
      <c r="I8" s="1256">
        <v>2023</v>
      </c>
      <c r="J8" s="248"/>
      <c r="K8" s="248"/>
      <c r="M8" s="1507" t="s">
        <v>977</v>
      </c>
      <c r="N8" s="1507">
        <v>120185</v>
      </c>
      <c r="O8" s="1507">
        <v>121546</v>
      </c>
      <c r="P8" s="1507">
        <v>114976</v>
      </c>
      <c r="Q8" s="1507">
        <v>116481</v>
      </c>
      <c r="R8" s="1507">
        <v>117628</v>
      </c>
      <c r="S8" s="1507">
        <f>SUM(S4:S7)</f>
        <v>118588</v>
      </c>
    </row>
    <row r="9" spans="1:19" s="332" customFormat="1" ht="21.75" customHeight="1">
      <c r="A9" s="322" t="s">
        <v>864</v>
      </c>
      <c r="B9" s="243" t="s">
        <v>978</v>
      </c>
      <c r="C9" s="323">
        <v>29526</v>
      </c>
      <c r="D9" s="323">
        <v>31300</v>
      </c>
      <c r="E9" s="323">
        <v>28968</v>
      </c>
      <c r="F9" s="323">
        <v>22654</v>
      </c>
      <c r="G9" s="340">
        <v>27772</v>
      </c>
      <c r="H9" s="323">
        <f>+'48'!AK8</f>
        <v>27591</v>
      </c>
      <c r="I9" s="323">
        <f>+'48'!AL8</f>
        <v>31296</v>
      </c>
      <c r="J9" s="255"/>
      <c r="K9" s="255"/>
      <c r="M9" s="1507" t="s">
        <v>979</v>
      </c>
      <c r="N9" s="1507">
        <v>83385</v>
      </c>
      <c r="O9" s="1507">
        <v>84326</v>
      </c>
      <c r="P9" s="1507">
        <v>82312</v>
      </c>
      <c r="Q9" s="1508">
        <v>83494</v>
      </c>
      <c r="R9" s="1508">
        <v>84445</v>
      </c>
      <c r="S9" s="1508">
        <f>+'7'!$K$19</f>
        <v>85270</v>
      </c>
    </row>
    <row r="10" spans="1:19" s="332" customFormat="1" ht="21.75" customHeight="1">
      <c r="A10" s="322"/>
      <c r="B10" s="243" t="s">
        <v>980</v>
      </c>
      <c r="C10" s="323">
        <v>27353</v>
      </c>
      <c r="D10" s="323">
        <v>25999</v>
      </c>
      <c r="E10" s="323">
        <v>24593</v>
      </c>
      <c r="F10" s="323">
        <v>13731</v>
      </c>
      <c r="G10" s="340">
        <v>9350</v>
      </c>
      <c r="H10" s="323">
        <f>+'48'!AK9</f>
        <v>17207</v>
      </c>
      <c r="I10" s="323">
        <f>+'48'!AL9</f>
        <v>18136</v>
      </c>
      <c r="J10" s="255"/>
      <c r="K10" s="255"/>
      <c r="M10" s="1507" t="s">
        <v>525</v>
      </c>
      <c r="N10" s="1507">
        <v>18244</v>
      </c>
      <c r="O10" s="1507">
        <v>18413</v>
      </c>
      <c r="P10" s="1507">
        <v>17471</v>
      </c>
      <c r="Q10" s="1508">
        <v>17645</v>
      </c>
      <c r="R10" s="1508">
        <v>17768</v>
      </c>
      <c r="S10" s="1508">
        <f>+'7'!$L$19</f>
        <v>17862</v>
      </c>
    </row>
    <row r="11" spans="1:19" s="332" customFormat="1" ht="21.75" customHeight="1">
      <c r="A11" s="322"/>
      <c r="B11" s="211" t="s">
        <v>1396</v>
      </c>
      <c r="C11" s="323"/>
      <c r="D11" s="323">
        <v>373</v>
      </c>
      <c r="E11" s="323">
        <v>1263</v>
      </c>
      <c r="F11" s="323">
        <v>0</v>
      </c>
      <c r="G11" s="340">
        <v>0</v>
      </c>
      <c r="H11" s="323">
        <f>+'48'!AK10</f>
        <v>0</v>
      </c>
      <c r="I11" s="323">
        <f>+'48'!AL10</f>
        <v>0</v>
      </c>
      <c r="J11" s="255"/>
      <c r="K11" s="255"/>
      <c r="M11" s="1507" t="s">
        <v>981</v>
      </c>
      <c r="N11" s="1507">
        <v>15133</v>
      </c>
      <c r="O11" s="1507">
        <v>15219</v>
      </c>
      <c r="P11" s="1507">
        <v>16150</v>
      </c>
      <c r="Q11" s="1508">
        <v>16367</v>
      </c>
      <c r="R11" s="1508">
        <v>16539</v>
      </c>
      <c r="S11" s="1508">
        <f>+'7'!$M$19</f>
        <v>16686</v>
      </c>
    </row>
    <row r="12" spans="1:19" s="332" customFormat="1" ht="21.75" customHeight="1">
      <c r="A12" s="322"/>
      <c r="B12" s="243" t="s">
        <v>582</v>
      </c>
      <c r="C12" s="323">
        <v>56879</v>
      </c>
      <c r="D12" s="323">
        <v>57672</v>
      </c>
      <c r="E12" s="323">
        <v>54824</v>
      </c>
      <c r="F12" s="323">
        <v>36385</v>
      </c>
      <c r="G12" s="340">
        <v>37122</v>
      </c>
      <c r="H12" s="323">
        <f>SUM(H9:H11)</f>
        <v>44798</v>
      </c>
      <c r="I12" s="323">
        <f>SUM(I9:I11)</f>
        <v>49432</v>
      </c>
      <c r="J12" s="255"/>
      <c r="K12" s="255"/>
      <c r="M12" s="1507" t="s">
        <v>540</v>
      </c>
      <c r="N12" s="1507">
        <v>7836</v>
      </c>
      <c r="O12" s="1507">
        <v>7890</v>
      </c>
      <c r="P12" s="1507">
        <v>7553</v>
      </c>
      <c r="Q12" s="1508">
        <v>7633</v>
      </c>
      <c r="R12" s="1508">
        <v>7694</v>
      </c>
      <c r="S12" s="1508">
        <f>+'7'!$N$19</f>
        <v>7745</v>
      </c>
    </row>
    <row r="13" spans="1:19" s="332" customFormat="1" ht="21.75" customHeight="1">
      <c r="A13" s="322" t="s">
        <v>479</v>
      </c>
      <c r="B13" s="243" t="s">
        <v>889</v>
      </c>
      <c r="C13" s="323">
        <v>19008</v>
      </c>
      <c r="D13" s="323">
        <v>19050</v>
      </c>
      <c r="E13" s="323">
        <v>22806</v>
      </c>
      <c r="F13" s="323">
        <v>19949</v>
      </c>
      <c r="G13" s="340">
        <v>23065</v>
      </c>
      <c r="H13" s="323">
        <f>+'48'!AK12</f>
        <v>22744</v>
      </c>
      <c r="I13" s="323">
        <f>+'48'!AL12</f>
        <v>22219</v>
      </c>
      <c r="J13" s="255"/>
      <c r="K13" s="255"/>
      <c r="M13" s="1507" t="s">
        <v>983</v>
      </c>
      <c r="N13" s="1507">
        <v>23956</v>
      </c>
      <c r="O13" s="1507">
        <v>24004</v>
      </c>
      <c r="P13" s="1507">
        <v>26232</v>
      </c>
      <c r="Q13" s="1508">
        <v>26533</v>
      </c>
      <c r="R13" s="1508">
        <v>26760</v>
      </c>
      <c r="S13" s="1508">
        <f>+'7'!$O$19</f>
        <v>26946</v>
      </c>
    </row>
    <row r="14" spans="1:19" s="332" customFormat="1" ht="21.75" customHeight="1">
      <c r="A14" s="322" t="s">
        <v>865</v>
      </c>
      <c r="B14" s="243" t="s">
        <v>982</v>
      </c>
      <c r="C14" s="323">
        <v>16399</v>
      </c>
      <c r="D14" s="323">
        <v>18795</v>
      </c>
      <c r="E14" s="323">
        <v>16105</v>
      </c>
      <c r="F14" s="323">
        <v>12156</v>
      </c>
      <c r="G14" s="340">
        <v>13686</v>
      </c>
      <c r="H14" s="323">
        <f>+'48'!AK13</f>
        <v>18752</v>
      </c>
      <c r="I14" s="323">
        <f>+'48'!AL13</f>
        <v>19677</v>
      </c>
      <c r="J14" s="255"/>
      <c r="K14" s="255"/>
      <c r="M14" s="1507" t="s">
        <v>984</v>
      </c>
      <c r="N14" s="1507">
        <v>13509</v>
      </c>
      <c r="O14" s="1507">
        <v>13527</v>
      </c>
      <c r="P14" s="1507">
        <v>15023</v>
      </c>
      <c r="Q14" s="1508">
        <v>15213</v>
      </c>
      <c r="R14" s="1508">
        <v>15360</v>
      </c>
      <c r="S14" s="1508">
        <f>+'7'!$P$19</f>
        <v>15482</v>
      </c>
    </row>
    <row r="15" spans="1:19" s="332" customFormat="1" ht="21.75" customHeight="1">
      <c r="A15" s="322" t="s">
        <v>481</v>
      </c>
      <c r="B15" s="243" t="s">
        <v>891</v>
      </c>
      <c r="C15" s="323">
        <v>11813</v>
      </c>
      <c r="D15" s="323">
        <v>10664</v>
      </c>
      <c r="E15" s="323">
        <v>14681</v>
      </c>
      <c r="F15" s="323">
        <v>13223</v>
      </c>
      <c r="G15" s="340">
        <v>11612</v>
      </c>
      <c r="H15" s="323">
        <f>+'48'!AK14</f>
        <v>15471</v>
      </c>
      <c r="I15" s="323">
        <f>+'48'!AL14</f>
        <v>19298</v>
      </c>
      <c r="J15" s="255"/>
      <c r="K15" s="255"/>
      <c r="M15" s="1507" t="s">
        <v>985</v>
      </c>
      <c r="N15" s="1507">
        <v>162063</v>
      </c>
      <c r="O15" s="1507">
        <v>163379</v>
      </c>
      <c r="P15" s="1507">
        <v>164741</v>
      </c>
      <c r="Q15" s="1507">
        <v>166885</v>
      </c>
      <c r="R15" s="1507">
        <v>168566</v>
      </c>
      <c r="S15" s="1507">
        <f>SUM(S9:S14)</f>
        <v>169991</v>
      </c>
    </row>
    <row r="16" spans="1:19" s="332" customFormat="1" ht="21.75" customHeight="1">
      <c r="A16" s="329" t="s">
        <v>866</v>
      </c>
      <c r="B16" s="333"/>
      <c r="C16" s="328">
        <v>104099</v>
      </c>
      <c r="D16" s="328">
        <v>106181</v>
      </c>
      <c r="E16" s="328">
        <v>108416</v>
      </c>
      <c r="F16" s="328">
        <v>81713</v>
      </c>
      <c r="G16" s="909">
        <v>85485</v>
      </c>
      <c r="H16" s="328">
        <f>SUM(H12:H15)</f>
        <v>101765</v>
      </c>
      <c r="I16" s="328">
        <f>SUM(I12:I15)</f>
        <v>110626</v>
      </c>
      <c r="J16" s="327"/>
      <c r="K16" s="327"/>
      <c r="M16" s="1507"/>
      <c r="N16" s="1507"/>
      <c r="O16" s="1507"/>
      <c r="P16" s="1507"/>
      <c r="Q16" s="1507"/>
      <c r="R16" s="1507"/>
      <c r="S16" s="1507"/>
    </row>
    <row r="17" spans="1:19" s="332" customFormat="1" ht="21.75" customHeight="1">
      <c r="A17" s="322" t="s">
        <v>867</v>
      </c>
      <c r="B17" s="243" t="s">
        <v>745</v>
      </c>
      <c r="C17" s="323">
        <v>26828</v>
      </c>
      <c r="D17" s="323">
        <v>26053</v>
      </c>
      <c r="E17" s="323">
        <v>27220</v>
      </c>
      <c r="F17" s="323">
        <v>11842</v>
      </c>
      <c r="G17" s="340">
        <v>18239</v>
      </c>
      <c r="H17" s="323">
        <f>+'48'!AK16</f>
        <v>24327</v>
      </c>
      <c r="I17" s="323">
        <f>+'48'!AL16</f>
        <v>21610</v>
      </c>
      <c r="J17" s="255"/>
      <c r="K17" s="255"/>
      <c r="M17" s="1507"/>
      <c r="N17" s="1507"/>
      <c r="O17" s="1507"/>
      <c r="P17" s="1507"/>
      <c r="Q17" s="1507"/>
      <c r="R17" s="1507"/>
      <c r="S17" s="1507"/>
    </row>
    <row r="18" spans="1:19" s="332" customFormat="1" ht="21.75" customHeight="1">
      <c r="A18" s="322"/>
      <c r="B18" s="243" t="s">
        <v>746</v>
      </c>
      <c r="C18" s="323">
        <v>39965</v>
      </c>
      <c r="D18" s="323">
        <v>36941</v>
      </c>
      <c r="E18" s="323">
        <v>41292</v>
      </c>
      <c r="F18" s="323">
        <v>24948</v>
      </c>
      <c r="G18" s="340">
        <v>30563</v>
      </c>
      <c r="H18" s="323">
        <f>+'48'!AK18</f>
        <v>37657</v>
      </c>
      <c r="I18" s="323">
        <f>+'48'!AL18</f>
        <v>39085</v>
      </c>
      <c r="J18" s="255"/>
      <c r="K18" s="255"/>
      <c r="M18" s="1507"/>
      <c r="N18" s="1507"/>
      <c r="O18" s="1507"/>
      <c r="P18" s="1507"/>
      <c r="Q18" s="1507"/>
      <c r="R18" s="1507"/>
      <c r="S18" s="1507"/>
    </row>
    <row r="19" spans="1:19" s="332" customFormat="1" ht="21.75" customHeight="1">
      <c r="A19" s="322"/>
      <c r="B19" s="211" t="s">
        <v>1317</v>
      </c>
      <c r="C19" s="323">
        <v>1170</v>
      </c>
      <c r="D19" s="323">
        <v>1506</v>
      </c>
      <c r="E19" s="323">
        <v>1978</v>
      </c>
      <c r="F19" s="323">
        <v>230</v>
      </c>
      <c r="G19" s="340">
        <v>1072</v>
      </c>
      <c r="H19" s="323">
        <f>+'48'!AK17</f>
        <v>1469</v>
      </c>
      <c r="I19" s="323">
        <f>+'48'!AL17</f>
        <v>1799</v>
      </c>
      <c r="J19" s="255"/>
      <c r="K19" s="255"/>
      <c r="M19" s="1507"/>
      <c r="N19" s="1507"/>
      <c r="O19" s="1507"/>
      <c r="P19" s="1507"/>
      <c r="Q19" s="1507"/>
      <c r="R19" s="1507"/>
      <c r="S19" s="1507"/>
    </row>
    <row r="20" spans="1:19" s="332" customFormat="1" ht="21.75" customHeight="1">
      <c r="A20" s="322"/>
      <c r="B20" s="243" t="s">
        <v>747</v>
      </c>
      <c r="C20" s="323">
        <v>7671</v>
      </c>
      <c r="D20" s="323">
        <v>8375</v>
      </c>
      <c r="E20" s="323">
        <v>7680</v>
      </c>
      <c r="F20" s="323">
        <v>4397</v>
      </c>
      <c r="G20" s="340">
        <v>6616</v>
      </c>
      <c r="H20" s="323">
        <f>+'48'!AK20</f>
        <v>7978</v>
      </c>
      <c r="I20" s="323">
        <f>+'48'!AL20</f>
        <v>5831</v>
      </c>
      <c r="J20" s="255"/>
      <c r="K20" s="255"/>
      <c r="M20" s="1507" t="s">
        <v>615</v>
      </c>
      <c r="N20" s="1507"/>
      <c r="O20" s="1507"/>
      <c r="P20" s="1507"/>
      <c r="Q20" s="1507"/>
      <c r="R20" s="1507"/>
      <c r="S20" s="1507"/>
    </row>
    <row r="21" spans="1:19" s="332" customFormat="1" ht="21.75" customHeight="1">
      <c r="A21" s="322"/>
      <c r="B21" s="243" t="s">
        <v>582</v>
      </c>
      <c r="C21" s="323">
        <v>75634</v>
      </c>
      <c r="D21" s="323">
        <v>72875</v>
      </c>
      <c r="E21" s="323">
        <v>78170</v>
      </c>
      <c r="F21" s="323">
        <v>41417</v>
      </c>
      <c r="G21" s="340">
        <v>56490</v>
      </c>
      <c r="H21" s="323">
        <f>SUM(H17:H20)</f>
        <v>71431</v>
      </c>
      <c r="I21" s="323">
        <f>SUM(I17:I20)</f>
        <v>68325</v>
      </c>
      <c r="J21" s="255"/>
      <c r="K21" s="255"/>
      <c r="M21" s="1507" t="s">
        <v>973</v>
      </c>
      <c r="N21" s="1509">
        <f t="shared" ref="N21:S21" si="0">+C32/N3</f>
        <v>1.0065686913636234</v>
      </c>
      <c r="O21" s="1509">
        <f t="shared" si="0"/>
        <v>1.0111748705799772</v>
      </c>
      <c r="P21" s="1509">
        <f t="shared" si="0"/>
        <v>1.0617445489548365</v>
      </c>
      <c r="Q21" s="1509">
        <f t="shared" si="0"/>
        <v>0.71776783382621767</v>
      </c>
      <c r="R21" s="1509">
        <f t="shared" si="0"/>
        <v>0.84699539473224461</v>
      </c>
      <c r="S21" s="1509">
        <f t="shared" si="0"/>
        <v>1.0093388638812941</v>
      </c>
    </row>
    <row r="22" spans="1:19" s="332" customFormat="1" ht="21.75" customHeight="1">
      <c r="A22" s="322" t="s">
        <v>484</v>
      </c>
      <c r="B22" s="243" t="s">
        <v>894</v>
      </c>
      <c r="C22" s="323">
        <v>25342</v>
      </c>
      <c r="D22" s="323">
        <v>27185</v>
      </c>
      <c r="E22" s="323">
        <v>27988</v>
      </c>
      <c r="F22" s="323">
        <v>18060</v>
      </c>
      <c r="G22" s="340">
        <v>19935</v>
      </c>
      <c r="H22" s="323">
        <f>+'48'!AK22</f>
        <v>25531</v>
      </c>
      <c r="I22" s="323">
        <f>+'48'!AL22</f>
        <v>30586</v>
      </c>
      <c r="J22" s="255"/>
      <c r="K22" s="255"/>
      <c r="M22" s="1507" t="s">
        <v>974</v>
      </c>
      <c r="N22" s="1509">
        <f t="shared" ref="N22:S22" si="1">+C12/N4</f>
        <v>0.69529129892672914</v>
      </c>
      <c r="O22" s="1509">
        <f t="shared" si="1"/>
        <v>0.69579904929662428</v>
      </c>
      <c r="P22" s="1509">
        <f t="shared" si="1"/>
        <v>0.81120991965435096</v>
      </c>
      <c r="Q22" s="1509">
        <f t="shared" si="1"/>
        <v>0.534342737138913</v>
      </c>
      <c r="R22" s="1509">
        <f t="shared" si="1"/>
        <v>0.54271136386894925</v>
      </c>
      <c r="S22" s="1509">
        <f t="shared" si="1"/>
        <v>0.65301303169003821</v>
      </c>
    </row>
    <row r="23" spans="1:19" s="332" customFormat="1" ht="21.75" customHeight="1">
      <c r="A23" s="322"/>
      <c r="B23" s="211" t="s">
        <v>1094</v>
      </c>
      <c r="C23" s="323">
        <v>0</v>
      </c>
      <c r="D23" s="323">
        <v>0</v>
      </c>
      <c r="E23" s="323">
        <v>125</v>
      </c>
      <c r="F23" s="323">
        <v>45</v>
      </c>
      <c r="G23" s="340">
        <v>164</v>
      </c>
      <c r="H23" s="323">
        <f>+'48'!AK23</f>
        <v>472</v>
      </c>
      <c r="I23" s="323">
        <f>+'48'!AL23</f>
        <v>408</v>
      </c>
      <c r="J23" s="255"/>
      <c r="K23" s="255"/>
      <c r="M23" s="1507"/>
      <c r="N23" s="1509"/>
      <c r="O23" s="1509"/>
      <c r="P23" s="1509"/>
      <c r="Q23" s="1509"/>
      <c r="R23" s="1509"/>
      <c r="S23" s="1509"/>
    </row>
    <row r="24" spans="1:19" s="332" customFormat="1" ht="21.75" customHeight="1">
      <c r="A24" s="322"/>
      <c r="B24" s="243" t="s">
        <v>868</v>
      </c>
      <c r="C24" s="323">
        <v>1076</v>
      </c>
      <c r="D24" s="323">
        <v>27</v>
      </c>
      <c r="E24" s="323">
        <v>0</v>
      </c>
      <c r="F24" s="323">
        <v>0</v>
      </c>
      <c r="G24" s="340">
        <v>103</v>
      </c>
      <c r="H24" s="323">
        <f>+'48'!AK24</f>
        <v>261</v>
      </c>
      <c r="I24" s="323">
        <f>+'48'!AL24</f>
        <v>59</v>
      </c>
      <c r="J24" s="255"/>
      <c r="K24" s="255"/>
      <c r="M24" s="1507" t="s">
        <v>975</v>
      </c>
      <c r="N24" s="1509">
        <f t="shared" ref="N24:S27" si="2">+C13/N5</f>
        <v>1.0129496402877698</v>
      </c>
      <c r="O24" s="1509">
        <f t="shared" si="2"/>
        <v>1.0042171850289932</v>
      </c>
      <c r="P24" s="1509">
        <f t="shared" si="2"/>
        <v>1.1247780627342672</v>
      </c>
      <c r="Q24" s="1509">
        <f t="shared" si="2"/>
        <v>0.96638085549580977</v>
      </c>
      <c r="R24" s="1509">
        <f t="shared" si="2"/>
        <v>1.1008495609011073</v>
      </c>
      <c r="S24" s="1509">
        <f t="shared" si="2"/>
        <v>1.0715160652030529</v>
      </c>
    </row>
    <row r="25" spans="1:19" s="332" customFormat="1" ht="21.75" customHeight="1">
      <c r="A25" s="322"/>
      <c r="B25" s="243" t="s">
        <v>582</v>
      </c>
      <c r="C25" s="323">
        <v>26418</v>
      </c>
      <c r="D25" s="323">
        <v>27212</v>
      </c>
      <c r="E25" s="323">
        <v>28113</v>
      </c>
      <c r="F25" s="323">
        <v>18105</v>
      </c>
      <c r="G25" s="340">
        <v>20202</v>
      </c>
      <c r="H25" s="323">
        <f>SUM(H22:H24)</f>
        <v>26264</v>
      </c>
      <c r="I25" s="323">
        <f>SUM(I22:I24)</f>
        <v>31053</v>
      </c>
      <c r="J25" s="255"/>
      <c r="K25" s="255"/>
      <c r="M25" s="1507" t="s">
        <v>976</v>
      </c>
      <c r="N25" s="1509">
        <f t="shared" si="2"/>
        <v>1.4773873873873873</v>
      </c>
      <c r="O25" s="1509">
        <f t="shared" si="2"/>
        <v>1.6947700631199278</v>
      </c>
      <c r="P25" s="1509">
        <f t="shared" si="2"/>
        <v>0.99987583038430494</v>
      </c>
      <c r="Q25" s="1509">
        <f t="shared" si="2"/>
        <v>0.73753185293046963</v>
      </c>
      <c r="R25" s="1509">
        <f t="shared" si="2"/>
        <v>0.81444894072839802</v>
      </c>
      <c r="S25" s="1509">
        <f t="shared" si="2"/>
        <v>1.0968006082938526</v>
      </c>
    </row>
    <row r="26" spans="1:19" s="332" customFormat="1" ht="21.75" customHeight="1">
      <c r="A26" s="322" t="s">
        <v>485</v>
      </c>
      <c r="B26" s="243" t="s">
        <v>895</v>
      </c>
      <c r="C26" s="323">
        <v>17782</v>
      </c>
      <c r="D26" s="323">
        <v>17476</v>
      </c>
      <c r="E26" s="323">
        <v>17790</v>
      </c>
      <c r="F26" s="323">
        <v>12828</v>
      </c>
      <c r="G26" s="340">
        <v>21937</v>
      </c>
      <c r="H26" s="323">
        <f>+'48'!AK26</f>
        <v>22341</v>
      </c>
      <c r="I26" s="323">
        <f>+'48'!AL26</f>
        <v>19610</v>
      </c>
      <c r="J26" s="255"/>
      <c r="K26" s="255"/>
      <c r="M26" s="1507" t="s">
        <v>518</v>
      </c>
      <c r="N26" s="1509">
        <f t="shared" si="2"/>
        <v>1.3874794456189805</v>
      </c>
      <c r="O26" s="1509">
        <f t="shared" si="2"/>
        <v>1.24</v>
      </c>
      <c r="P26" s="1509">
        <f t="shared" si="2"/>
        <v>1.3334241598546777</v>
      </c>
      <c r="Q26" s="1509">
        <f t="shared" si="2"/>
        <v>1.1740211311373523</v>
      </c>
      <c r="R26" s="1509">
        <f t="shared" si="2"/>
        <v>1.0122918664458198</v>
      </c>
      <c r="S26" s="1509">
        <f t="shared" si="2"/>
        <v>1.3265026151076051</v>
      </c>
    </row>
    <row r="27" spans="1:19" s="332" customFormat="1" ht="21.75" customHeight="1">
      <c r="A27" s="322" t="s">
        <v>486</v>
      </c>
      <c r="B27" s="243" t="s">
        <v>896</v>
      </c>
      <c r="C27" s="323">
        <v>14189</v>
      </c>
      <c r="D27" s="323">
        <v>13839</v>
      </c>
      <c r="E27" s="323">
        <v>15380</v>
      </c>
      <c r="F27" s="323">
        <v>11913</v>
      </c>
      <c r="G27" s="340">
        <v>15212</v>
      </c>
      <c r="H27" s="323">
        <f>+'48'!AK27</f>
        <v>23136</v>
      </c>
      <c r="I27" s="323">
        <f>+'48'!AL27</f>
        <v>18186</v>
      </c>
      <c r="J27" s="255"/>
      <c r="K27" s="255"/>
      <c r="M27" s="1507" t="s">
        <v>977</v>
      </c>
      <c r="N27" s="1509">
        <f t="shared" si="2"/>
        <v>0.86615634230561223</v>
      </c>
      <c r="O27" s="1509">
        <f t="shared" si="2"/>
        <v>0.87358695473318748</v>
      </c>
      <c r="P27" s="1509">
        <f t="shared" si="2"/>
        <v>0.9429446145282494</v>
      </c>
      <c r="Q27" s="1509">
        <f t="shared" si="2"/>
        <v>0.70151355156634987</v>
      </c>
      <c r="R27" s="1509">
        <f t="shared" si="2"/>
        <v>0.72674023191757064</v>
      </c>
      <c r="S27" s="1509">
        <f t="shared" si="2"/>
        <v>0.85813910345060207</v>
      </c>
    </row>
    <row r="28" spans="1:19" s="332" customFormat="1" ht="21.75" customHeight="1">
      <c r="A28" s="322" t="s">
        <v>869</v>
      </c>
      <c r="B28" s="243" t="s">
        <v>752</v>
      </c>
      <c r="C28" s="323">
        <v>24065</v>
      </c>
      <c r="D28" s="323">
        <v>24217</v>
      </c>
      <c r="E28" s="323">
        <v>22928</v>
      </c>
      <c r="F28" s="323">
        <v>15531</v>
      </c>
      <c r="G28" s="340">
        <v>19415</v>
      </c>
      <c r="H28" s="323">
        <f>+'48'!AK28</f>
        <v>19320</v>
      </c>
      <c r="I28" s="323">
        <f>+'48'!AL28</f>
        <v>15380</v>
      </c>
      <c r="J28" s="255"/>
      <c r="K28" s="255"/>
      <c r="M28" s="1507" t="s">
        <v>979</v>
      </c>
      <c r="N28" s="1509">
        <f t="shared" ref="N28:S28" si="3">+C21/N9</f>
        <v>0.90704563170834085</v>
      </c>
      <c r="O28" s="1509">
        <f t="shared" si="3"/>
        <v>0.86420558309418205</v>
      </c>
      <c r="P28" s="1509">
        <f t="shared" si="3"/>
        <v>0.94967926912236367</v>
      </c>
      <c r="Q28" s="1509">
        <f t="shared" si="3"/>
        <v>0.49604762018827703</v>
      </c>
      <c r="R28" s="1509">
        <f t="shared" si="3"/>
        <v>0.66895612528864945</v>
      </c>
      <c r="S28" s="1509">
        <f t="shared" si="3"/>
        <v>0.83770376451272432</v>
      </c>
    </row>
    <row r="29" spans="1:19" s="332" customFormat="1" ht="21.75" customHeight="1">
      <c r="A29" s="322"/>
      <c r="B29" s="211" t="s">
        <v>902</v>
      </c>
      <c r="C29" s="323">
        <v>682</v>
      </c>
      <c r="D29" s="323">
        <v>882</v>
      </c>
      <c r="E29" s="323">
        <v>1008</v>
      </c>
      <c r="F29" s="323">
        <v>475</v>
      </c>
      <c r="G29" s="340">
        <v>1216</v>
      </c>
      <c r="H29" s="323">
        <f>+'48'!AK29</f>
        <v>1354</v>
      </c>
      <c r="I29" s="323">
        <f>+'48'!AL29</f>
        <v>1310</v>
      </c>
      <c r="J29" s="255"/>
      <c r="K29" s="255"/>
      <c r="M29" s="1507"/>
      <c r="N29" s="1509"/>
      <c r="O29" s="1509"/>
      <c r="P29" s="1509"/>
      <c r="Q29" s="1509"/>
      <c r="R29" s="1509"/>
      <c r="S29" s="1509"/>
    </row>
    <row r="30" spans="1:19" s="332" customFormat="1" ht="21.75" customHeight="1">
      <c r="A30" s="322" t="s">
        <v>488</v>
      </c>
      <c r="B30" s="243" t="s">
        <v>897</v>
      </c>
      <c r="C30" s="323">
        <v>21233</v>
      </c>
      <c r="D30" s="323">
        <v>25427</v>
      </c>
      <c r="E30" s="323">
        <v>25183</v>
      </c>
      <c r="F30" s="323">
        <v>21409</v>
      </c>
      <c r="G30" s="340">
        <v>22448</v>
      </c>
      <c r="H30" s="323">
        <f>+'48'!AK30</f>
        <v>25663</v>
      </c>
      <c r="I30" s="323">
        <f>+'48'!AL30</f>
        <v>25095</v>
      </c>
      <c r="J30" s="255"/>
      <c r="K30" s="255"/>
      <c r="M30" s="1507" t="s">
        <v>525</v>
      </c>
      <c r="N30" s="1509">
        <f t="shared" ref="N30:S30" si="4">+C25/N10</f>
        <v>1.4480377110282834</v>
      </c>
      <c r="O30" s="1509">
        <f t="shared" si="4"/>
        <v>1.4778688969749634</v>
      </c>
      <c r="P30" s="1509">
        <f t="shared" si="4"/>
        <v>1.6091236906874249</v>
      </c>
      <c r="Q30" s="1509">
        <f t="shared" si="4"/>
        <v>1.0260697081326156</v>
      </c>
      <c r="R30" s="1509">
        <f t="shared" si="4"/>
        <v>1.1369878433138225</v>
      </c>
      <c r="S30" s="1509">
        <f t="shared" si="4"/>
        <v>1.4703840555368939</v>
      </c>
    </row>
    <row r="31" spans="1:19" s="332" customFormat="1" ht="21.75" customHeight="1">
      <c r="A31" s="1026" t="s">
        <v>986</v>
      </c>
      <c r="B31" s="1350"/>
      <c r="C31" s="1351">
        <v>180003</v>
      </c>
      <c r="D31" s="1351">
        <v>181928</v>
      </c>
      <c r="E31" s="1351">
        <v>188572</v>
      </c>
      <c r="F31" s="1351">
        <v>121678</v>
      </c>
      <c r="G31" s="1351">
        <v>156920</v>
      </c>
      <c r="H31" s="1351">
        <f>SUM(H25:H30)+H21</f>
        <v>189509</v>
      </c>
      <c r="I31" s="1351">
        <f>SUM(I25:I30)+I21</f>
        <v>178959</v>
      </c>
      <c r="J31" s="327"/>
      <c r="K31" s="327"/>
      <c r="M31" s="1507" t="s">
        <v>981</v>
      </c>
      <c r="N31" s="1509">
        <f t="shared" ref="N31:O33" si="5">+C26/N11</f>
        <v>1.1750479085442411</v>
      </c>
      <c r="O31" s="1509">
        <f t="shared" si="5"/>
        <v>1.1483014652736712</v>
      </c>
      <c r="P31" s="1509">
        <f>+E26/P12</f>
        <v>2.3553554878856082</v>
      </c>
      <c r="Q31" s="1509">
        <f t="shared" ref="Q31:S33" si="6">+F26/Q11</f>
        <v>0.783772224598277</v>
      </c>
      <c r="R31" s="1509">
        <f t="shared" si="6"/>
        <v>1.3263800713465144</v>
      </c>
      <c r="S31" s="1509">
        <f t="shared" si="6"/>
        <v>1.3389068680330816</v>
      </c>
    </row>
    <row r="32" spans="1:19" s="332" customFormat="1" ht="21.75" customHeight="1">
      <c r="A32" s="1607" t="s">
        <v>594</v>
      </c>
      <c r="B32" s="1608"/>
      <c r="C32" s="1352">
        <v>284102</v>
      </c>
      <c r="D32" s="1352">
        <v>288109</v>
      </c>
      <c r="E32" s="1352">
        <v>296988</v>
      </c>
      <c r="F32" s="1352">
        <v>203391</v>
      </c>
      <c r="G32" s="1352">
        <v>242405</v>
      </c>
      <c r="H32" s="1352">
        <f>+H16+H31</f>
        <v>291274</v>
      </c>
      <c r="I32" s="1352">
        <f>+I16+I31</f>
        <v>289585</v>
      </c>
      <c r="J32" s="327"/>
      <c r="K32" s="327"/>
      <c r="M32" s="1507" t="s">
        <v>540</v>
      </c>
      <c r="N32" s="1509">
        <f t="shared" si="5"/>
        <v>1.8107452782031648</v>
      </c>
      <c r="O32" s="1509">
        <f t="shared" si="5"/>
        <v>1.7539923954372623</v>
      </c>
      <c r="P32" s="1509">
        <f>+E27/P13</f>
        <v>0.58630680085391884</v>
      </c>
      <c r="Q32" s="1509">
        <f t="shared" si="6"/>
        <v>1.5607231756845277</v>
      </c>
      <c r="R32" s="1509">
        <f t="shared" si="6"/>
        <v>1.9771250324928515</v>
      </c>
      <c r="S32" s="1509">
        <f t="shared" si="6"/>
        <v>2.9872175597159458</v>
      </c>
    </row>
    <row r="33" spans="8:19">
      <c r="M33" s="1505" t="s">
        <v>983</v>
      </c>
      <c r="N33" s="1510">
        <f t="shared" si="5"/>
        <v>1.0045500083486392</v>
      </c>
      <c r="O33" s="1510">
        <f t="shared" si="5"/>
        <v>1.0088735210798201</v>
      </c>
      <c r="P33" s="1510">
        <f>+E28/P14</f>
        <v>1.5261931704719429</v>
      </c>
      <c r="Q33" s="1510">
        <f t="shared" si="6"/>
        <v>0.58534654957976862</v>
      </c>
      <c r="R33" s="1510">
        <f t="shared" si="6"/>
        <v>0.72552316890881918</v>
      </c>
      <c r="S33" s="1510">
        <f t="shared" si="6"/>
        <v>0.71698953462480519</v>
      </c>
    </row>
    <row r="34" spans="8:19">
      <c r="H34" s="286"/>
      <c r="I34" s="286"/>
      <c r="J34" s="286"/>
      <c r="K34" s="286"/>
      <c r="M34" s="1505" t="s">
        <v>984</v>
      </c>
      <c r="N34" s="1510">
        <f>+C30/N14</f>
        <v>1.5717669701680361</v>
      </c>
      <c r="O34" s="1510">
        <f>+D30/O14</f>
        <v>1.8797220374066681</v>
      </c>
      <c r="P34" s="1510">
        <f>+E30/P15</f>
        <v>0.15286419288458852</v>
      </c>
      <c r="Q34" s="1510">
        <f t="shared" ref="Q34:S35" si="7">+F30/Q14</f>
        <v>1.4072832445934398</v>
      </c>
      <c r="R34" s="1510">
        <f t="shared" si="7"/>
        <v>1.4614583333333333</v>
      </c>
      <c r="S34" s="1510">
        <f t="shared" si="7"/>
        <v>1.6576023769538819</v>
      </c>
    </row>
    <row r="35" spans="8:19">
      <c r="M35" s="1505" t="s">
        <v>985</v>
      </c>
      <c r="N35" s="1510">
        <f>+C31/N15</f>
        <v>1.110697691638437</v>
      </c>
      <c r="O35" s="1510">
        <f>+D31/O15</f>
        <v>1.1135335630650205</v>
      </c>
      <c r="P35" s="1510">
        <f>+E31/P14</f>
        <v>12.552219929441524</v>
      </c>
      <c r="Q35" s="1510">
        <f t="shared" si="7"/>
        <v>0.72911286215058269</v>
      </c>
      <c r="R35" s="1510">
        <f t="shared" si="7"/>
        <v>0.93091133443280372</v>
      </c>
      <c r="S35" s="1510">
        <f t="shared" si="7"/>
        <v>1.1148178432975864</v>
      </c>
    </row>
    <row r="61" spans="1:11">
      <c r="A61" s="1606" t="s">
        <v>987</v>
      </c>
      <c r="B61" s="1606"/>
      <c r="C61" s="1606"/>
      <c r="D61" s="1606"/>
      <c r="E61" s="1606"/>
      <c r="F61" s="1606"/>
      <c r="G61" s="1606"/>
      <c r="H61" s="1606"/>
      <c r="I61" s="294"/>
      <c r="J61" s="294"/>
      <c r="K61" s="294"/>
    </row>
    <row r="62" spans="1:11">
      <c r="A62" s="1606" t="s">
        <v>814</v>
      </c>
      <c r="B62" s="1606"/>
      <c r="C62" s="1606"/>
      <c r="D62" s="1606"/>
      <c r="E62" s="1606"/>
      <c r="F62" s="1606"/>
      <c r="G62" s="1606"/>
      <c r="H62" s="1606"/>
      <c r="I62" s="294"/>
      <c r="J62" s="294"/>
      <c r="K62" s="294"/>
    </row>
    <row r="63" spans="1:11">
      <c r="A63" s="1606" t="s">
        <v>1480</v>
      </c>
      <c r="B63" s="1606"/>
      <c r="C63" s="1606"/>
      <c r="D63" s="1606"/>
      <c r="E63" s="1606"/>
      <c r="F63" s="1606"/>
      <c r="G63" s="1606"/>
      <c r="H63" s="1606"/>
      <c r="I63" s="294"/>
      <c r="J63" s="294"/>
      <c r="K63" s="294"/>
    </row>
    <row r="134" spans="1:11">
      <c r="A134" s="1606" t="s">
        <v>987</v>
      </c>
      <c r="B134" s="1606"/>
      <c r="C134" s="1606"/>
      <c r="D134" s="1606"/>
      <c r="E134" s="1606"/>
      <c r="F134" s="1606"/>
      <c r="G134" s="1606"/>
      <c r="H134" s="1606"/>
      <c r="I134" s="294"/>
      <c r="J134" s="294"/>
      <c r="K134" s="294"/>
    </row>
    <row r="135" spans="1:11">
      <c r="A135" s="1606" t="s">
        <v>988</v>
      </c>
      <c r="B135" s="1606"/>
      <c r="C135" s="1606"/>
      <c r="D135" s="1606"/>
      <c r="E135" s="1606"/>
      <c r="F135" s="1606"/>
      <c r="G135" s="1606"/>
      <c r="H135" s="1606"/>
      <c r="I135" s="294"/>
      <c r="J135" s="294"/>
      <c r="K135" s="294"/>
    </row>
    <row r="136" spans="1:11">
      <c r="A136" s="1606" t="str">
        <f>+A63</f>
        <v>2017 - 2022</v>
      </c>
      <c r="B136" s="1606"/>
      <c r="C136" s="1606"/>
      <c r="D136" s="1606"/>
      <c r="E136" s="1606"/>
      <c r="F136" s="1606"/>
      <c r="G136" s="1606"/>
      <c r="H136" s="1606"/>
      <c r="I136" s="294"/>
      <c r="J136" s="294"/>
      <c r="K136" s="294"/>
    </row>
    <row r="207" spans="1:11">
      <c r="A207" s="1606" t="s">
        <v>987</v>
      </c>
      <c r="B207" s="1606"/>
      <c r="C207" s="1606"/>
      <c r="D207" s="1606"/>
      <c r="E207" s="1606"/>
      <c r="F207" s="1606"/>
      <c r="G207" s="1606"/>
      <c r="H207" s="1606"/>
      <c r="I207" s="294"/>
      <c r="J207" s="294"/>
      <c r="K207" s="294"/>
    </row>
    <row r="208" spans="1:11">
      <c r="A208" s="1606" t="s">
        <v>988</v>
      </c>
      <c r="B208" s="1606"/>
      <c r="C208" s="1606"/>
      <c r="D208" s="1606"/>
      <c r="E208" s="1606"/>
      <c r="F208" s="1606"/>
      <c r="G208" s="1606"/>
      <c r="H208" s="1606"/>
      <c r="I208" s="294"/>
      <c r="J208" s="294"/>
      <c r="K208" s="294"/>
    </row>
    <row r="209" spans="1:11">
      <c r="A209" s="1606" t="str">
        <f>+A136</f>
        <v>2017 - 2022</v>
      </c>
      <c r="B209" s="1606"/>
      <c r="C209" s="1606"/>
      <c r="D209" s="1606"/>
      <c r="E209" s="1606"/>
      <c r="F209" s="1606"/>
      <c r="G209" s="1606"/>
      <c r="H209" s="1606"/>
      <c r="I209" s="294"/>
      <c r="J209" s="294"/>
      <c r="K209" s="294"/>
    </row>
  </sheetData>
  <mergeCells count="12">
    <mergeCell ref="A208:H208"/>
    <mergeCell ref="A209:H209"/>
    <mergeCell ref="A134:H134"/>
    <mergeCell ref="A135:H135"/>
    <mergeCell ref="A136:H136"/>
    <mergeCell ref="A207:H207"/>
    <mergeCell ref="A62:H62"/>
    <mergeCell ref="A63:H63"/>
    <mergeCell ref="A1:H1"/>
    <mergeCell ref="A3:H3"/>
    <mergeCell ref="A32:B32"/>
    <mergeCell ref="A61:H61"/>
  </mergeCells>
  <phoneticPr fontId="18" type="noConversion"/>
  <pageMargins left="0.78740157480314965" right="0.78740157480314965" top="1.1811023622047245" bottom="0.98425196850393704" header="0" footer="0"/>
  <pageSetup paperSize="5" orientation="portrait" horizontalDpi="300" verticalDpi="300" r:id="rId1"/>
  <headerFooter alignWithMargins="0"/>
  <ignoredErrors>
    <ignoredError sqref="P31:P35" formula="1"/>
  </ignoredError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K121"/>
  <sheetViews>
    <sheetView showGridLines="0" workbookViewId="0">
      <selection activeCell="M67" sqref="M67"/>
    </sheetView>
  </sheetViews>
  <sheetFormatPr baseColWidth="10" defaultRowHeight="12.75"/>
  <cols>
    <col min="1" max="1" width="19.7109375" customWidth="1"/>
    <col min="2" max="2" width="34" customWidth="1"/>
    <col min="3" max="3" width="14" customWidth="1"/>
    <col min="4" max="5" width="12.28515625" customWidth="1"/>
    <col min="6" max="6" width="13.5703125" customWidth="1"/>
    <col min="9" max="11" width="0" hidden="1" customWidth="1"/>
  </cols>
  <sheetData>
    <row r="1" spans="1:11">
      <c r="A1" s="87" t="s">
        <v>989</v>
      </c>
      <c r="B1" s="87"/>
      <c r="C1" s="140"/>
      <c r="D1" s="140"/>
      <c r="E1" s="140"/>
      <c r="F1" s="140"/>
    </row>
    <row r="2" spans="1:11">
      <c r="A2" s="87" t="s">
        <v>990</v>
      </c>
      <c r="B2" s="87"/>
      <c r="C2" s="140"/>
      <c r="D2" s="140"/>
      <c r="E2" s="140"/>
      <c r="F2" s="140"/>
    </row>
    <row r="3" spans="1:11">
      <c r="A3" s="87" t="s">
        <v>814</v>
      </c>
      <c r="B3" s="87"/>
      <c r="C3" s="140"/>
      <c r="D3" s="140"/>
      <c r="E3" s="140"/>
      <c r="F3" s="140"/>
    </row>
    <row r="4" spans="1:11">
      <c r="A4" s="87"/>
      <c r="B4" s="87"/>
      <c r="C4" s="140"/>
      <c r="D4" s="140"/>
      <c r="E4" s="140"/>
      <c r="F4" s="140"/>
    </row>
    <row r="5" spans="1:11">
      <c r="A5" s="1"/>
      <c r="B5" s="1"/>
      <c r="C5" s="1"/>
      <c r="D5" s="1"/>
      <c r="E5" s="1"/>
      <c r="F5" s="1"/>
    </row>
    <row r="6" spans="1:11" ht="28.5" customHeight="1">
      <c r="A6" s="1480" t="s">
        <v>991</v>
      </c>
      <c r="B6" s="1257" t="s">
        <v>992</v>
      </c>
      <c r="C6" s="1480">
        <v>2019</v>
      </c>
      <c r="D6" s="1480">
        <v>2020</v>
      </c>
      <c r="E6" s="1480">
        <v>2021</v>
      </c>
      <c r="F6" s="1480">
        <v>2022</v>
      </c>
      <c r="G6" s="1480">
        <v>2023</v>
      </c>
    </row>
    <row r="7" spans="1:11" ht="19.5" customHeight="1">
      <c r="A7" s="48"/>
      <c r="B7" s="382" t="s">
        <v>993</v>
      </c>
      <c r="C7" s="379">
        <v>48226</v>
      </c>
      <c r="D7" s="379">
        <v>41845</v>
      </c>
      <c r="E7" s="379">
        <v>26085</v>
      </c>
      <c r="F7" s="379">
        <f>+[57]D15!$C13+[58]D15!$C50</f>
        <v>15067</v>
      </c>
      <c r="G7" s="379">
        <v>30937</v>
      </c>
      <c r="H7" s="88"/>
      <c r="I7" t="s">
        <v>1566</v>
      </c>
      <c r="J7" t="s">
        <v>1476</v>
      </c>
      <c r="K7">
        <v>5720</v>
      </c>
    </row>
    <row r="8" spans="1:11" ht="19.5" customHeight="1">
      <c r="A8" s="380" t="s">
        <v>994</v>
      </c>
      <c r="B8" s="384" t="s">
        <v>995</v>
      </c>
      <c r="C8" s="379">
        <v>108970</v>
      </c>
      <c r="D8" s="379">
        <v>99382</v>
      </c>
      <c r="E8" s="379">
        <v>69184</v>
      </c>
      <c r="F8" s="379">
        <f>+[57]D15!$C14+[57]D15!$C51</f>
        <v>65507</v>
      </c>
      <c r="G8" s="379">
        <v>56770</v>
      </c>
      <c r="J8" t="s">
        <v>1567</v>
      </c>
      <c r="K8">
        <v>25217</v>
      </c>
    </row>
    <row r="9" spans="1:11" ht="19.5" customHeight="1">
      <c r="A9" s="380"/>
      <c r="B9" s="384" t="s">
        <v>996</v>
      </c>
      <c r="C9" s="379">
        <v>21479</v>
      </c>
      <c r="D9" s="379">
        <v>18220</v>
      </c>
      <c r="E9" s="379">
        <v>11782</v>
      </c>
      <c r="F9" s="379">
        <f>+[57]D15!$C15+[57]D15!$C52</f>
        <v>15561</v>
      </c>
      <c r="G9" s="379">
        <v>16343</v>
      </c>
      <c r="H9" s="88"/>
      <c r="J9" t="s">
        <v>1568</v>
      </c>
      <c r="K9">
        <v>29952</v>
      </c>
    </row>
    <row r="10" spans="1:11" ht="19.5" customHeight="1">
      <c r="A10" s="380"/>
      <c r="B10" s="384" t="s">
        <v>1419</v>
      </c>
      <c r="C10" s="379">
        <v>20.350000000000001</v>
      </c>
      <c r="D10" s="379">
        <v>0</v>
      </c>
      <c r="E10" s="379">
        <v>392</v>
      </c>
      <c r="F10" s="379">
        <f>+[57]D15!$C16+[57]D15!$C53</f>
        <v>20030.899999999998</v>
      </c>
      <c r="G10" s="379">
        <v>31583.399999999998</v>
      </c>
      <c r="H10" s="88"/>
      <c r="J10" t="s">
        <v>1569</v>
      </c>
      <c r="K10">
        <v>26818</v>
      </c>
    </row>
    <row r="11" spans="1:11" ht="19.5" customHeight="1">
      <c r="A11" s="216"/>
      <c r="B11" s="385" t="s">
        <v>997</v>
      </c>
      <c r="C11" s="381">
        <v>178695.35</v>
      </c>
      <c r="D11" s="381">
        <v>159447</v>
      </c>
      <c r="E11" s="381">
        <v>107443</v>
      </c>
      <c r="F11" s="381">
        <f>SUM(F7:F10)</f>
        <v>116165.9</v>
      </c>
      <c r="G11" s="381">
        <v>135633.40000000002</v>
      </c>
      <c r="J11" t="s">
        <v>1570</v>
      </c>
      <c r="K11">
        <v>16343</v>
      </c>
    </row>
    <row r="12" spans="1:11" ht="19.5" customHeight="1">
      <c r="A12" s="241"/>
      <c r="B12" s="382" t="s">
        <v>993</v>
      </c>
      <c r="C12" s="383">
        <v>3757</v>
      </c>
      <c r="D12" s="383">
        <v>2662</v>
      </c>
      <c r="E12" s="383">
        <v>1311</v>
      </c>
      <c r="F12" s="383">
        <f>+[57]D15!$C18+[57]D15!$C55</f>
        <v>624</v>
      </c>
      <c r="G12" s="383">
        <v>2139</v>
      </c>
      <c r="J12" t="s">
        <v>1419</v>
      </c>
      <c r="K12">
        <v>31583.399999999998</v>
      </c>
    </row>
    <row r="13" spans="1:11" ht="19.5" customHeight="1">
      <c r="A13" s="145"/>
      <c r="B13" s="384" t="s">
        <v>995</v>
      </c>
      <c r="C13" s="379">
        <v>3382</v>
      </c>
      <c r="D13" s="379">
        <v>3678</v>
      </c>
      <c r="E13" s="379">
        <v>2098</v>
      </c>
      <c r="F13" s="379">
        <f>+[57]D15!$C19+[57]D15!$C56</f>
        <v>2391</v>
      </c>
      <c r="G13" s="379">
        <v>898</v>
      </c>
      <c r="J13" t="s">
        <v>1571</v>
      </c>
      <c r="K13">
        <v>135633.40000000002</v>
      </c>
    </row>
    <row r="14" spans="1:11" ht="19.5" customHeight="1">
      <c r="A14" s="380" t="s">
        <v>998</v>
      </c>
      <c r="B14" s="384" t="s">
        <v>996</v>
      </c>
      <c r="C14" s="379">
        <v>1175</v>
      </c>
      <c r="D14" s="379">
        <v>592</v>
      </c>
      <c r="E14" s="379">
        <v>318</v>
      </c>
      <c r="F14" s="379">
        <f>+[57]D15!$C21+[57]D15!$C58</f>
        <v>289</v>
      </c>
      <c r="G14" s="379">
        <v>227</v>
      </c>
      <c r="I14" t="s">
        <v>1572</v>
      </c>
      <c r="J14" t="s">
        <v>1476</v>
      </c>
      <c r="K14">
        <v>174</v>
      </c>
    </row>
    <row r="15" spans="1:11" ht="19.5" customHeight="1">
      <c r="A15" s="67"/>
      <c r="B15" s="384" t="s">
        <v>999</v>
      </c>
      <c r="C15" s="379">
        <v>6089</v>
      </c>
      <c r="D15" s="379">
        <v>5758</v>
      </c>
      <c r="E15" s="379">
        <v>3119</v>
      </c>
      <c r="F15" s="379">
        <f>+[57]D15!$C20+[57]D15!$C57</f>
        <v>3596</v>
      </c>
      <c r="G15" s="379">
        <v>3964</v>
      </c>
      <c r="J15" t="s">
        <v>1567</v>
      </c>
      <c r="K15">
        <v>1965</v>
      </c>
    </row>
    <row r="16" spans="1:11" ht="19.5" customHeight="1">
      <c r="A16" s="67"/>
      <c r="B16" s="384" t="s">
        <v>1419</v>
      </c>
      <c r="C16" s="379">
        <v>5711.53</v>
      </c>
      <c r="D16" s="379">
        <v>0</v>
      </c>
      <c r="E16" s="379">
        <v>37.200000000000003</v>
      </c>
      <c r="F16" s="379">
        <f>+[57]D15!$C22+[57]D15!$C59</f>
        <v>1085.6000000000001</v>
      </c>
      <c r="G16" s="379">
        <v>1189</v>
      </c>
      <c r="J16" t="s">
        <v>1568</v>
      </c>
      <c r="K16">
        <v>898</v>
      </c>
    </row>
    <row r="17" spans="1:11" ht="19.5" customHeight="1">
      <c r="A17" s="67"/>
      <c r="B17" s="384" t="s">
        <v>1000</v>
      </c>
      <c r="C17" s="379">
        <v>20114.53</v>
      </c>
      <c r="D17" s="379">
        <v>12690</v>
      </c>
      <c r="E17" s="379">
        <v>6883.2</v>
      </c>
      <c r="F17" s="381">
        <f>SUM(F12:F16)</f>
        <v>7985.6</v>
      </c>
      <c r="G17" s="381">
        <f>SUM(G12:G16)</f>
        <v>8417</v>
      </c>
      <c r="J17" t="s">
        <v>1569</v>
      </c>
      <c r="K17">
        <v>0</v>
      </c>
    </row>
    <row r="18" spans="1:11" ht="19.5" customHeight="1">
      <c r="A18" s="65"/>
      <c r="B18" s="838" t="s">
        <v>1329</v>
      </c>
      <c r="C18" s="359">
        <v>43075.013000000006</v>
      </c>
      <c r="D18" s="383">
        <v>41493.498999999996</v>
      </c>
      <c r="E18" s="360">
        <v>7973.4419999999991</v>
      </c>
      <c r="F18" s="379">
        <f>+[57]D15!$C24+[57]D15!$C61</f>
        <v>745.99999999999989</v>
      </c>
      <c r="G18" s="379">
        <v>576.80399999999997</v>
      </c>
      <c r="J18" t="s">
        <v>1573</v>
      </c>
      <c r="K18">
        <v>3964</v>
      </c>
    </row>
    <row r="19" spans="1:11" ht="19.5" customHeight="1">
      <c r="A19" s="351"/>
      <c r="B19" s="839" t="s">
        <v>1330</v>
      </c>
      <c r="C19" s="352">
        <v>7722.4500000000016</v>
      </c>
      <c r="D19" s="379">
        <v>14959</v>
      </c>
      <c r="E19" s="340">
        <v>305.10000000000002</v>
      </c>
      <c r="F19" s="379">
        <f>+[57]D15!$C25+[57]D15!$C62</f>
        <v>918.80000000000018</v>
      </c>
      <c r="G19" s="379">
        <v>309.70000000000005</v>
      </c>
      <c r="J19" t="s">
        <v>1570</v>
      </c>
      <c r="K19">
        <v>227</v>
      </c>
    </row>
    <row r="20" spans="1:11" ht="19.5" customHeight="1">
      <c r="A20" s="840" t="s">
        <v>1332</v>
      </c>
      <c r="B20" s="839" t="s">
        <v>1476</v>
      </c>
      <c r="C20" s="352">
        <v>538</v>
      </c>
      <c r="D20" s="379">
        <v>598</v>
      </c>
      <c r="E20" s="340">
        <v>421</v>
      </c>
      <c r="F20" s="379">
        <f>+[57]D15!$C26+[57]D15!$C63</f>
        <v>0</v>
      </c>
      <c r="G20" s="379"/>
      <c r="J20" t="s">
        <v>1419</v>
      </c>
      <c r="K20">
        <v>1189</v>
      </c>
    </row>
    <row r="21" spans="1:11" ht="19.5" customHeight="1">
      <c r="A21" s="841" t="s">
        <v>1331</v>
      </c>
      <c r="B21" s="380" t="s">
        <v>999</v>
      </c>
      <c r="C21" s="352">
        <v>178</v>
      </c>
      <c r="D21" s="379">
        <v>97</v>
      </c>
      <c r="E21" s="340">
        <v>135</v>
      </c>
      <c r="F21" s="379">
        <f>+[57]D15!$C27+[57]D15!$C64</f>
        <v>430.6</v>
      </c>
      <c r="G21" s="379">
        <v>42</v>
      </c>
      <c r="J21" t="s">
        <v>1571</v>
      </c>
      <c r="K21">
        <v>8417</v>
      </c>
    </row>
    <row r="22" spans="1:11" ht="19.5" customHeight="1">
      <c r="A22" s="145"/>
      <c r="B22" s="839" t="s">
        <v>1000</v>
      </c>
      <c r="C22" s="352">
        <v>51513.463000000011</v>
      </c>
      <c r="D22" s="379">
        <v>57147.498999999996</v>
      </c>
      <c r="E22" s="340">
        <v>8834.5419999999995</v>
      </c>
      <c r="F22" s="340">
        <f>SUM(F18:F21)</f>
        <v>2095.4</v>
      </c>
      <c r="G22" s="340">
        <f>SUM(G18:G21)</f>
        <v>928.50400000000002</v>
      </c>
      <c r="I22" t="s">
        <v>1574</v>
      </c>
      <c r="J22" t="s">
        <v>1329</v>
      </c>
      <c r="K22">
        <v>576.80399999999997</v>
      </c>
    </row>
    <row r="23" spans="1:11" ht="19.5" customHeight="1">
      <c r="A23" s="41" t="s">
        <v>1334</v>
      </c>
      <c r="B23" s="836" t="s">
        <v>1335</v>
      </c>
      <c r="C23" s="359">
        <v>38508.58</v>
      </c>
      <c r="D23" s="383">
        <v>78022.62000000001</v>
      </c>
      <c r="E23" s="359">
        <v>2203.0919999999996</v>
      </c>
      <c r="F23" s="383">
        <f>+[57]D15!$C29+[57]D15!$C66</f>
        <v>2482.4</v>
      </c>
      <c r="G23" s="383">
        <v>2238</v>
      </c>
      <c r="J23" t="s">
        <v>1575</v>
      </c>
      <c r="K23">
        <v>309.70000000000005</v>
      </c>
    </row>
    <row r="24" spans="1:11" ht="19.5" customHeight="1">
      <c r="A24" s="32" t="s">
        <v>1333</v>
      </c>
      <c r="B24" s="380" t="s">
        <v>1336</v>
      </c>
      <c r="C24" s="352">
        <v>19991.699999999997</v>
      </c>
      <c r="D24" s="379">
        <v>52021.797999999995</v>
      </c>
      <c r="E24" s="352">
        <v>1156.7</v>
      </c>
      <c r="F24" s="379">
        <f>+[57]D15!$C30+[57]D15!$C67</f>
        <v>1535.9</v>
      </c>
      <c r="G24" s="379">
        <v>1034</v>
      </c>
      <c r="J24" t="s">
        <v>1573</v>
      </c>
      <c r="K24">
        <v>42</v>
      </c>
    </row>
    <row r="25" spans="1:11" ht="19.5" customHeight="1">
      <c r="A25" s="38"/>
      <c r="B25" s="837" t="s">
        <v>1000</v>
      </c>
      <c r="C25" s="355">
        <v>58500.28</v>
      </c>
      <c r="D25" s="381">
        <v>130044.41800000001</v>
      </c>
      <c r="E25" s="355">
        <v>3359.7919999999995</v>
      </c>
      <c r="F25" s="381">
        <f>SUM(F23:F24)</f>
        <v>4018.3</v>
      </c>
      <c r="G25" s="381">
        <f>SUM(G23:G24)</f>
        <v>3272</v>
      </c>
      <c r="J25" t="s">
        <v>1571</v>
      </c>
      <c r="K25">
        <v>928.50400000000002</v>
      </c>
    </row>
    <row r="26" spans="1:11" ht="19.5" customHeight="1">
      <c r="A26" s="65"/>
      <c r="B26" s="380" t="s">
        <v>993</v>
      </c>
      <c r="C26" s="340">
        <v>52521</v>
      </c>
      <c r="D26" s="340">
        <v>45105</v>
      </c>
      <c r="E26" s="340">
        <v>27817</v>
      </c>
      <c r="F26" s="340">
        <f>+F7+F12+F20</f>
        <v>15691</v>
      </c>
      <c r="G26" s="340">
        <f>+G7+G12+G20</f>
        <v>33076</v>
      </c>
      <c r="H26" s="88"/>
      <c r="I26" t="s">
        <v>1576</v>
      </c>
      <c r="J26" t="s">
        <v>1335</v>
      </c>
      <c r="K26">
        <v>2238</v>
      </c>
    </row>
    <row r="27" spans="1:11" ht="19.5" customHeight="1">
      <c r="A27" s="145"/>
      <c r="B27" s="380" t="s">
        <v>995</v>
      </c>
      <c r="C27" s="340">
        <v>112352</v>
      </c>
      <c r="D27" s="340">
        <v>103060</v>
      </c>
      <c r="E27" s="340">
        <v>71282</v>
      </c>
      <c r="F27" s="340">
        <f>+F8+F13</f>
        <v>67898</v>
      </c>
      <c r="G27" s="340">
        <f>+G8+G13</f>
        <v>57668</v>
      </c>
      <c r="H27" s="88"/>
      <c r="J27" t="s">
        <v>1336</v>
      </c>
      <c r="K27">
        <v>1034.3999999999999</v>
      </c>
    </row>
    <row r="28" spans="1:11" ht="19.5" customHeight="1">
      <c r="A28" s="145" t="s">
        <v>1001</v>
      </c>
      <c r="B28" s="380" t="s">
        <v>1329</v>
      </c>
      <c r="C28" s="340">
        <v>43075.013000000006</v>
      </c>
      <c r="D28" s="340">
        <v>41493.498999999996</v>
      </c>
      <c r="E28" s="340">
        <v>7973.4419999999991</v>
      </c>
      <c r="F28" s="340">
        <f>+F18</f>
        <v>745.99999999999989</v>
      </c>
      <c r="G28" s="340">
        <f>+G18</f>
        <v>576.80399999999997</v>
      </c>
      <c r="H28" s="88"/>
      <c r="J28" t="s">
        <v>1571</v>
      </c>
      <c r="K28">
        <v>3272.4</v>
      </c>
    </row>
    <row r="29" spans="1:11" ht="19.5" customHeight="1">
      <c r="A29" s="231"/>
      <c r="B29" s="380" t="s">
        <v>1330</v>
      </c>
      <c r="C29" s="340">
        <v>7722.4500000000016</v>
      </c>
      <c r="D29" s="340">
        <v>14959</v>
      </c>
      <c r="E29" s="340">
        <v>305.10000000000002</v>
      </c>
      <c r="F29" s="340">
        <f>+F19</f>
        <v>918.80000000000018</v>
      </c>
      <c r="G29" s="340">
        <f>+G19</f>
        <v>309.70000000000005</v>
      </c>
      <c r="H29" s="88"/>
      <c r="I29" t="s">
        <v>448</v>
      </c>
      <c r="K29">
        <v>148251.304</v>
      </c>
    </row>
    <row r="30" spans="1:11" ht="19.5" customHeight="1">
      <c r="A30" s="145"/>
      <c r="B30" s="380" t="s">
        <v>1335</v>
      </c>
      <c r="C30" s="340">
        <v>38508.58</v>
      </c>
      <c r="D30" s="340">
        <v>78022.62000000001</v>
      </c>
      <c r="E30" s="340">
        <v>2203.0919999999996</v>
      </c>
      <c r="F30" s="340">
        <f>+F23</f>
        <v>2482.4</v>
      </c>
      <c r="G30" s="340">
        <f>+G23</f>
        <v>2238</v>
      </c>
      <c r="H30" s="88"/>
    </row>
    <row r="31" spans="1:11" ht="19.5" customHeight="1">
      <c r="A31" s="145"/>
      <c r="B31" s="380" t="s">
        <v>1336</v>
      </c>
      <c r="C31" s="340">
        <v>19991.699999999997</v>
      </c>
      <c r="D31" s="340">
        <v>52021.797999999995</v>
      </c>
      <c r="E31" s="340">
        <v>1156.7</v>
      </c>
      <c r="F31" s="340">
        <f>+F24</f>
        <v>1535.9</v>
      </c>
      <c r="G31" s="340">
        <f>+G24</f>
        <v>1034</v>
      </c>
      <c r="H31" s="88"/>
    </row>
    <row r="32" spans="1:11" ht="19.5" customHeight="1">
      <c r="A32" s="67"/>
      <c r="B32" s="380" t="s">
        <v>996</v>
      </c>
      <c r="C32" s="340">
        <v>22654</v>
      </c>
      <c r="D32" s="340">
        <v>18812</v>
      </c>
      <c r="E32" s="340">
        <v>12100</v>
      </c>
      <c r="F32" s="340">
        <f>+F9+F14</f>
        <v>15850</v>
      </c>
      <c r="G32" s="340">
        <f>+G9+G14</f>
        <v>16570</v>
      </c>
      <c r="H32" s="88"/>
    </row>
    <row r="33" spans="1:8" ht="19.5" customHeight="1">
      <c r="A33" s="67"/>
      <c r="B33" s="380" t="s">
        <v>1419</v>
      </c>
      <c r="C33" s="340">
        <v>5731.88</v>
      </c>
      <c r="D33" s="340">
        <v>0</v>
      </c>
      <c r="E33" s="340">
        <v>429.2</v>
      </c>
      <c r="F33" s="340">
        <f>+F10+F16</f>
        <v>21116.499999999996</v>
      </c>
      <c r="G33" s="340">
        <f>+G10+G16</f>
        <v>32772.399999999994</v>
      </c>
      <c r="H33" s="88"/>
    </row>
    <row r="34" spans="1:8" ht="19.5" customHeight="1">
      <c r="A34" s="67"/>
      <c r="B34" s="380" t="s">
        <v>999</v>
      </c>
      <c r="C34" s="340">
        <v>6267</v>
      </c>
      <c r="D34" s="340">
        <v>5855</v>
      </c>
      <c r="E34" s="340">
        <v>3254</v>
      </c>
      <c r="F34" s="340">
        <f>+F15+F21</f>
        <v>4026.6</v>
      </c>
      <c r="G34" s="340">
        <f>+G15+G21</f>
        <v>4006</v>
      </c>
      <c r="H34" s="88"/>
    </row>
    <row r="35" spans="1:8" ht="19.5" customHeight="1">
      <c r="A35" s="14"/>
      <c r="B35" s="837" t="s">
        <v>1001</v>
      </c>
      <c r="C35" s="356">
        <v>308823.62300000002</v>
      </c>
      <c r="D35" s="381">
        <v>359328.91700000002</v>
      </c>
      <c r="E35" s="356">
        <v>126520.534</v>
      </c>
      <c r="F35" s="356">
        <f>SUM(F26:F34)</f>
        <v>130265.2</v>
      </c>
      <c r="G35" s="356">
        <f>SUM(G26:G34)</f>
        <v>148250.90399999998</v>
      </c>
    </row>
    <row r="36" spans="1:8" ht="19.5" customHeight="1">
      <c r="A36" s="8"/>
      <c r="B36" s="636"/>
      <c r="C36" s="352"/>
      <c r="D36" s="352"/>
      <c r="E36" s="352"/>
      <c r="F36" s="352"/>
      <c r="G36" s="88"/>
    </row>
    <row r="37" spans="1:8" ht="19.5" customHeight="1">
      <c r="A37" s="1559" t="s">
        <v>1080</v>
      </c>
      <c r="B37" s="1559"/>
      <c r="C37" s="1559"/>
      <c r="D37" s="1559"/>
      <c r="E37" s="1559"/>
      <c r="F37" s="352"/>
      <c r="G37" s="88"/>
    </row>
    <row r="38" spans="1:8" ht="19.5" customHeight="1">
      <c r="A38" s="218"/>
      <c r="B38" s="218"/>
      <c r="C38" s="218"/>
      <c r="D38" s="218"/>
      <c r="E38" s="218"/>
      <c r="F38" s="352"/>
      <c r="G38" s="88"/>
    </row>
    <row r="39" spans="1:8" ht="19.5" customHeight="1">
      <c r="A39" s="1562" t="s">
        <v>992</v>
      </c>
      <c r="B39" s="1564"/>
      <c r="C39" s="1117">
        <f>+C6</f>
        <v>2019</v>
      </c>
      <c r="D39" s="1117">
        <f>+D6</f>
        <v>2020</v>
      </c>
      <c r="E39" s="1256">
        <f>+E6</f>
        <v>2021</v>
      </c>
      <c r="F39" s="1256">
        <f>+F6</f>
        <v>2022</v>
      </c>
      <c r="G39" s="1256">
        <f>+G6</f>
        <v>2023</v>
      </c>
    </row>
    <row r="40" spans="1:8" ht="19.5" customHeight="1">
      <c r="A40" s="1609" t="s">
        <v>1003</v>
      </c>
      <c r="B40" s="1610"/>
      <c r="C40" s="637">
        <v>95331</v>
      </c>
      <c r="D40" s="637">
        <v>97283</v>
      </c>
      <c r="E40" s="637">
        <v>74034</v>
      </c>
      <c r="F40" s="637">
        <f>+[57]D16!$F29</f>
        <v>68126</v>
      </c>
      <c r="G40" s="637">
        <v>83569</v>
      </c>
    </row>
    <row r="41" spans="1:8" ht="19.5" customHeight="1">
      <c r="A41" s="1611" t="s">
        <v>1079</v>
      </c>
      <c r="B41" s="1612"/>
      <c r="C41" s="637">
        <v>95480</v>
      </c>
      <c r="D41" s="637">
        <v>97214</v>
      </c>
      <c r="E41" s="637">
        <v>74011</v>
      </c>
      <c r="F41" s="637">
        <f>+[57]D16!$F30</f>
        <v>68126</v>
      </c>
      <c r="G41" s="637">
        <v>82394</v>
      </c>
    </row>
    <row r="42" spans="1:8">
      <c r="C42" s="88"/>
      <c r="D42" s="88"/>
      <c r="E42" s="88"/>
    </row>
    <row r="43" spans="1:8">
      <c r="C43" s="88"/>
      <c r="D43" s="88"/>
      <c r="E43" s="88"/>
    </row>
    <row r="44" spans="1:8">
      <c r="C44" s="88"/>
      <c r="D44" s="88"/>
      <c r="E44" s="88"/>
    </row>
    <row r="45" spans="1:8">
      <c r="C45" s="88"/>
      <c r="D45" s="88"/>
      <c r="E45" s="88"/>
    </row>
    <row r="46" spans="1:8">
      <c r="C46" s="88"/>
      <c r="D46" s="88"/>
      <c r="E46" s="88"/>
    </row>
    <row r="47" spans="1:8">
      <c r="C47" s="88"/>
      <c r="D47" s="88"/>
      <c r="E47" s="88"/>
    </row>
    <row r="48" spans="1:8">
      <c r="C48" s="88"/>
      <c r="D48" s="88"/>
      <c r="E48" s="88"/>
    </row>
    <row r="49" spans="3:5">
      <c r="C49" s="88"/>
      <c r="D49" s="88"/>
      <c r="E49" s="88"/>
    </row>
    <row r="50" spans="3:5">
      <c r="C50" s="88"/>
      <c r="D50" s="88"/>
      <c r="E50" s="88"/>
    </row>
    <row r="51" spans="3:5">
      <c r="C51" s="88"/>
      <c r="D51" s="88"/>
      <c r="E51" s="88"/>
    </row>
    <row r="52" spans="3:5">
      <c r="C52" s="88"/>
      <c r="D52" s="88"/>
      <c r="E52" s="88"/>
    </row>
    <row r="53" spans="3:5">
      <c r="C53" s="88"/>
      <c r="D53" s="88"/>
      <c r="E53" s="88"/>
    </row>
    <row r="54" spans="3:5">
      <c r="C54" s="88"/>
      <c r="D54" s="88"/>
      <c r="E54" s="88"/>
    </row>
    <row r="55" spans="3:5">
      <c r="C55" s="88"/>
      <c r="D55" s="88"/>
      <c r="E55" s="88"/>
    </row>
    <row r="56" spans="3:5">
      <c r="C56" s="88"/>
      <c r="D56" s="88"/>
      <c r="E56" s="88"/>
    </row>
    <row r="57" spans="3:5">
      <c r="C57" s="88"/>
      <c r="D57" s="88"/>
      <c r="E57" s="88"/>
    </row>
    <row r="58" spans="3:5">
      <c r="C58" s="88"/>
      <c r="D58" s="88"/>
      <c r="E58" s="88"/>
    </row>
    <row r="59" spans="3:5">
      <c r="C59" s="88"/>
      <c r="D59" s="88"/>
      <c r="E59" s="88"/>
    </row>
    <row r="60" spans="3:5">
      <c r="C60" s="88"/>
      <c r="D60" s="88"/>
      <c r="E60" s="88"/>
    </row>
    <row r="61" spans="3:5">
      <c r="C61" s="88"/>
      <c r="D61" s="88"/>
      <c r="E61" s="88"/>
    </row>
    <row r="62" spans="3:5">
      <c r="C62" s="88"/>
      <c r="D62" s="88"/>
      <c r="E62" s="88"/>
    </row>
    <row r="63" spans="3:5">
      <c r="C63" s="88"/>
      <c r="D63" s="88"/>
      <c r="E63" s="88"/>
    </row>
    <row r="64" spans="3:5">
      <c r="C64" s="88"/>
      <c r="D64" s="88"/>
      <c r="E64" s="88"/>
    </row>
    <row r="65" spans="3:5">
      <c r="C65" s="88"/>
      <c r="D65" s="88"/>
      <c r="E65" s="88"/>
    </row>
    <row r="66" spans="3:5">
      <c r="C66" s="88"/>
      <c r="D66" s="88"/>
      <c r="E66" s="88"/>
    </row>
    <row r="67" spans="3:5">
      <c r="C67" s="88"/>
      <c r="D67" s="88"/>
      <c r="E67" s="88"/>
    </row>
    <row r="68" spans="3:5">
      <c r="C68" s="88"/>
      <c r="D68" s="88"/>
      <c r="E68" s="88"/>
    </row>
    <row r="69" spans="3:5">
      <c r="C69" s="88"/>
      <c r="D69" s="88"/>
      <c r="E69" s="88"/>
    </row>
    <row r="70" spans="3:5">
      <c r="C70" s="88"/>
      <c r="D70" s="88"/>
      <c r="E70" s="88"/>
    </row>
    <row r="71" spans="3:5">
      <c r="C71" s="88"/>
      <c r="D71" s="88"/>
      <c r="E71" s="88"/>
    </row>
    <row r="72" spans="3:5">
      <c r="C72" s="88"/>
      <c r="D72" s="88"/>
      <c r="E72" s="88"/>
    </row>
    <row r="73" spans="3:5">
      <c r="C73" s="88"/>
      <c r="D73" s="88"/>
      <c r="E73" s="88"/>
    </row>
    <row r="74" spans="3:5">
      <c r="C74" s="88"/>
      <c r="D74" s="88"/>
      <c r="E74" s="88"/>
    </row>
    <row r="75" spans="3:5">
      <c r="C75" s="88"/>
      <c r="D75" s="88"/>
      <c r="E75" s="88"/>
    </row>
    <row r="76" spans="3:5">
      <c r="C76" s="88"/>
      <c r="D76" s="88"/>
      <c r="E76" s="88"/>
    </row>
    <row r="77" spans="3:5">
      <c r="C77" s="88"/>
      <c r="D77" s="88"/>
      <c r="E77" s="88"/>
    </row>
    <row r="78" spans="3:5">
      <c r="C78" s="88"/>
      <c r="D78" s="88"/>
      <c r="E78" s="88"/>
    </row>
    <row r="79" spans="3:5">
      <c r="C79" s="88"/>
      <c r="D79" s="88"/>
      <c r="E79" s="88"/>
    </row>
    <row r="80" spans="3:5">
      <c r="C80" s="88"/>
      <c r="D80" s="88"/>
      <c r="E80" s="88"/>
    </row>
    <row r="81" spans="3:5">
      <c r="C81" s="88"/>
      <c r="D81" s="88"/>
      <c r="E81" s="88"/>
    </row>
    <row r="82" spans="3:5">
      <c r="C82" s="88"/>
      <c r="D82" s="88"/>
      <c r="E82" s="88"/>
    </row>
    <row r="83" spans="3:5">
      <c r="C83" s="88"/>
      <c r="D83" s="88"/>
      <c r="E83" s="88"/>
    </row>
    <row r="84" spans="3:5">
      <c r="C84" s="88"/>
      <c r="D84" s="88"/>
      <c r="E84" s="88"/>
    </row>
    <row r="85" spans="3:5">
      <c r="C85" s="88"/>
      <c r="D85" s="88"/>
      <c r="E85" s="88"/>
    </row>
    <row r="86" spans="3:5">
      <c r="C86" s="88"/>
      <c r="D86" s="88"/>
      <c r="E86" s="88"/>
    </row>
    <row r="87" spans="3:5">
      <c r="C87" s="88"/>
      <c r="D87" s="88"/>
      <c r="E87" s="88"/>
    </row>
    <row r="88" spans="3:5">
      <c r="C88" s="88"/>
      <c r="D88" s="88"/>
      <c r="E88" s="88"/>
    </row>
    <row r="89" spans="3:5">
      <c r="C89" s="88"/>
      <c r="D89" s="88"/>
      <c r="E89" s="88"/>
    </row>
    <row r="90" spans="3:5">
      <c r="C90" s="88"/>
      <c r="D90" s="88"/>
      <c r="E90" s="88"/>
    </row>
    <row r="91" spans="3:5">
      <c r="C91" s="88"/>
      <c r="D91" s="88"/>
      <c r="E91" s="88"/>
    </row>
    <row r="92" spans="3:5">
      <c r="C92" s="88"/>
      <c r="D92" s="88"/>
      <c r="E92" s="88"/>
    </row>
    <row r="93" spans="3:5">
      <c r="C93" s="88"/>
      <c r="D93" s="88"/>
      <c r="E93" s="88"/>
    </row>
    <row r="94" spans="3:5">
      <c r="C94" s="88"/>
      <c r="D94" s="88"/>
      <c r="E94" s="88"/>
    </row>
    <row r="95" spans="3:5">
      <c r="C95" s="88"/>
      <c r="D95" s="88"/>
      <c r="E95" s="88"/>
    </row>
    <row r="96" spans="3:5">
      <c r="C96" s="88"/>
      <c r="D96" s="88"/>
      <c r="E96" s="88"/>
    </row>
    <row r="97" spans="3:5">
      <c r="C97" s="88"/>
      <c r="D97" s="88"/>
      <c r="E97" s="88"/>
    </row>
    <row r="98" spans="3:5">
      <c r="C98" s="88"/>
      <c r="D98" s="88"/>
      <c r="E98" s="88"/>
    </row>
    <row r="99" spans="3:5">
      <c r="C99" s="88"/>
      <c r="D99" s="88"/>
      <c r="E99" s="88"/>
    </row>
    <row r="100" spans="3:5">
      <c r="C100" s="88"/>
      <c r="D100" s="88"/>
      <c r="E100" s="88"/>
    </row>
    <row r="101" spans="3:5">
      <c r="C101" s="88"/>
      <c r="D101" s="88"/>
      <c r="E101" s="88"/>
    </row>
    <row r="102" spans="3:5">
      <c r="C102" s="88"/>
      <c r="D102" s="88"/>
      <c r="E102" s="88"/>
    </row>
    <row r="103" spans="3:5">
      <c r="C103" s="88"/>
      <c r="D103" s="88"/>
      <c r="E103" s="88"/>
    </row>
    <row r="104" spans="3:5">
      <c r="C104" s="88"/>
      <c r="D104" s="88"/>
      <c r="E104" s="88"/>
    </row>
    <row r="105" spans="3:5">
      <c r="C105" s="88"/>
      <c r="D105" s="88"/>
      <c r="E105" s="88"/>
    </row>
    <row r="106" spans="3:5">
      <c r="C106" s="88"/>
      <c r="D106" s="88"/>
      <c r="E106" s="88"/>
    </row>
    <row r="107" spans="3:5">
      <c r="C107" s="88"/>
      <c r="D107" s="88"/>
      <c r="E107" s="88"/>
    </row>
    <row r="108" spans="3:5">
      <c r="C108" s="88"/>
      <c r="D108" s="88"/>
      <c r="E108" s="88"/>
    </row>
    <row r="109" spans="3:5">
      <c r="C109" s="88"/>
      <c r="D109" s="88"/>
      <c r="E109" s="88"/>
    </row>
    <row r="110" spans="3:5">
      <c r="C110" s="88"/>
      <c r="D110" s="88"/>
      <c r="E110" s="88"/>
    </row>
    <row r="111" spans="3:5">
      <c r="C111" s="88"/>
      <c r="D111" s="88"/>
      <c r="E111" s="88"/>
    </row>
    <row r="112" spans="3:5">
      <c r="C112" s="88"/>
      <c r="D112" s="88"/>
      <c r="E112" s="88"/>
    </row>
    <row r="113" spans="3:5">
      <c r="C113" s="88"/>
      <c r="D113" s="88"/>
      <c r="E113" s="88"/>
    </row>
    <row r="114" spans="3:5">
      <c r="C114" s="88"/>
      <c r="D114" s="88"/>
      <c r="E114" s="88"/>
    </row>
    <row r="115" spans="3:5">
      <c r="C115" s="88"/>
      <c r="D115" s="88"/>
      <c r="E115" s="88"/>
    </row>
    <row r="116" spans="3:5">
      <c r="C116" s="88"/>
      <c r="D116" s="88"/>
      <c r="E116" s="88"/>
    </row>
    <row r="117" spans="3:5">
      <c r="C117" s="88"/>
      <c r="D117" s="88"/>
      <c r="E117" s="88"/>
    </row>
    <row r="118" spans="3:5">
      <c r="C118" s="88"/>
      <c r="D118" s="88"/>
      <c r="E118" s="88"/>
    </row>
    <row r="119" spans="3:5">
      <c r="C119" s="88"/>
      <c r="D119" s="88"/>
      <c r="E119" s="88"/>
    </row>
    <row r="120" spans="3:5">
      <c r="C120" s="88"/>
      <c r="D120" s="88"/>
      <c r="E120" s="88"/>
    </row>
    <row r="121" spans="3:5">
      <c r="C121" s="88"/>
      <c r="D121" s="88"/>
      <c r="E121" s="88"/>
    </row>
  </sheetData>
  <mergeCells count="4">
    <mergeCell ref="A37:E37"/>
    <mergeCell ref="A39:B39"/>
    <mergeCell ref="A40:B40"/>
    <mergeCell ref="A41:B41"/>
  </mergeCells>
  <phoneticPr fontId="18" type="noConversion"/>
  <printOptions gridLinesSet="0"/>
  <pageMargins left="1.3779527559055118" right="0.78740157480314965" top="1.3779527559055118" bottom="0.98425196850393704"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L128"/>
  <sheetViews>
    <sheetView topLeftCell="I1" zoomScale="75" workbookViewId="0">
      <selection activeCell="AB10" sqref="AB10"/>
    </sheetView>
  </sheetViews>
  <sheetFormatPr baseColWidth="10" defaultRowHeight="12.75"/>
  <cols>
    <col min="1" max="1" width="17" customWidth="1"/>
    <col min="2" max="2" width="19.7109375" customWidth="1"/>
    <col min="3" max="32" width="9.42578125" customWidth="1"/>
    <col min="33" max="33" width="13" customWidth="1"/>
    <col min="34" max="35" width="13.28515625" customWidth="1"/>
  </cols>
  <sheetData>
    <row r="1" spans="1:38">
      <c r="A1" s="1615" t="s">
        <v>1007</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row>
    <row r="2" spans="1:38">
      <c r="A2" s="1615" t="s">
        <v>1553</v>
      </c>
      <c r="B2" s="1615"/>
      <c r="C2" s="1615"/>
      <c r="D2" s="1615"/>
      <c r="E2" s="1615"/>
      <c r="F2" s="1615"/>
      <c r="G2" s="1615"/>
      <c r="H2" s="1615"/>
      <c r="I2" s="1615"/>
      <c r="J2" s="1615"/>
      <c r="K2" s="1615"/>
      <c r="L2" s="1615"/>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row>
    <row r="3" spans="1:38">
      <c r="A3" s="1616"/>
      <c r="B3" s="1616"/>
      <c r="C3" s="1616"/>
      <c r="D3" s="1616"/>
      <c r="E3" s="1616"/>
      <c r="F3" s="1616"/>
      <c r="G3" s="1616"/>
      <c r="H3" s="1616"/>
      <c r="I3" s="1616"/>
      <c r="J3" s="1616"/>
      <c r="K3" s="1616"/>
      <c r="L3" s="1616"/>
      <c r="M3" s="1616"/>
      <c r="N3" s="1616"/>
      <c r="O3" s="1616"/>
      <c r="P3" s="1616"/>
      <c r="Q3" s="1616"/>
      <c r="R3" s="1616"/>
      <c r="S3" s="1616"/>
      <c r="T3" s="1616"/>
      <c r="U3" s="1616"/>
      <c r="V3" s="1616"/>
      <c r="W3" s="1616"/>
      <c r="X3" s="1616"/>
      <c r="Y3" s="1616"/>
      <c r="Z3" s="1616"/>
      <c r="AA3" s="1616"/>
      <c r="AB3" s="1616"/>
      <c r="AC3" s="1616"/>
      <c r="AD3" s="1616"/>
      <c r="AE3" s="1616"/>
      <c r="AF3" s="1616"/>
      <c r="AG3" s="1616"/>
      <c r="AH3" s="1616"/>
      <c r="AI3" s="1616"/>
    </row>
    <row r="7" spans="1:38">
      <c r="A7" s="387"/>
    </row>
    <row r="8" spans="1:38" ht="31.5" customHeight="1">
      <c r="A8" s="1144" t="s">
        <v>1008</v>
      </c>
      <c r="B8" s="1353" t="s">
        <v>1009</v>
      </c>
      <c r="C8" s="1619" t="s">
        <v>1157</v>
      </c>
      <c r="D8" s="1620"/>
      <c r="E8" s="1613" t="s">
        <v>1158</v>
      </c>
      <c r="F8" s="1621"/>
      <c r="G8" s="1613" t="s">
        <v>1159</v>
      </c>
      <c r="H8" s="1621"/>
      <c r="I8" s="1613" t="s">
        <v>1160</v>
      </c>
      <c r="J8" s="1621"/>
      <c r="K8" s="1613" t="s">
        <v>1161</v>
      </c>
      <c r="L8" s="1621"/>
      <c r="M8" s="1613" t="s">
        <v>1162</v>
      </c>
      <c r="N8" s="1614"/>
      <c r="O8" s="1613" t="s">
        <v>1163</v>
      </c>
      <c r="P8" s="1614"/>
      <c r="Q8" s="1613" t="s">
        <v>1164</v>
      </c>
      <c r="R8" s="1614"/>
      <c r="S8" s="1613" t="s">
        <v>1165</v>
      </c>
      <c r="T8" s="1614"/>
      <c r="U8" s="1613" t="s">
        <v>1166</v>
      </c>
      <c r="V8" s="1614"/>
      <c r="W8" s="1613" t="s">
        <v>1167</v>
      </c>
      <c r="X8" s="1614"/>
      <c r="Y8" s="1613" t="s">
        <v>1168</v>
      </c>
      <c r="Z8" s="1614"/>
      <c r="AA8" s="1613" t="s">
        <v>1169</v>
      </c>
      <c r="AB8" s="1614"/>
      <c r="AC8" s="1613" t="s">
        <v>1170</v>
      </c>
      <c r="AD8" s="1614"/>
      <c r="AE8" s="1617" t="s">
        <v>474</v>
      </c>
      <c r="AF8" s="1618"/>
      <c r="AG8" s="1355" t="s">
        <v>1010</v>
      </c>
      <c r="AH8" s="1356" t="s">
        <v>1011</v>
      </c>
      <c r="AI8" s="1356" t="s">
        <v>1012</v>
      </c>
    </row>
    <row r="9" spans="1:38" ht="28.5" customHeight="1">
      <c r="A9" s="1139"/>
      <c r="B9" s="1253"/>
      <c r="C9" s="1357" t="s">
        <v>1013</v>
      </c>
      <c r="D9" s="1358" t="s">
        <v>1014</v>
      </c>
      <c r="E9" s="1359" t="s">
        <v>1013</v>
      </c>
      <c r="F9" s="1358" t="s">
        <v>1014</v>
      </c>
      <c r="G9" s="1359" t="s">
        <v>1013</v>
      </c>
      <c r="H9" s="1358" t="s">
        <v>1014</v>
      </c>
      <c r="I9" s="1359" t="s">
        <v>1013</v>
      </c>
      <c r="J9" s="1358" t="s">
        <v>1014</v>
      </c>
      <c r="K9" s="1359" t="s">
        <v>1013</v>
      </c>
      <c r="L9" s="1358" t="s">
        <v>1014</v>
      </c>
      <c r="M9" s="1359" t="s">
        <v>1013</v>
      </c>
      <c r="N9" s="1358" t="s">
        <v>1014</v>
      </c>
      <c r="O9" s="1359" t="s">
        <v>1013</v>
      </c>
      <c r="P9" s="1358" t="s">
        <v>1014</v>
      </c>
      <c r="Q9" s="1359" t="s">
        <v>1013</v>
      </c>
      <c r="R9" s="1358" t="s">
        <v>1014</v>
      </c>
      <c r="S9" s="1359" t="s">
        <v>1013</v>
      </c>
      <c r="T9" s="1358" t="s">
        <v>1014</v>
      </c>
      <c r="U9" s="1359" t="s">
        <v>1013</v>
      </c>
      <c r="V9" s="1358" t="s">
        <v>1014</v>
      </c>
      <c r="W9" s="1359" t="s">
        <v>1013</v>
      </c>
      <c r="X9" s="1358" t="s">
        <v>1014</v>
      </c>
      <c r="Y9" s="1359" t="s">
        <v>1013</v>
      </c>
      <c r="Z9" s="1358" t="s">
        <v>1014</v>
      </c>
      <c r="AA9" s="1359" t="s">
        <v>1013</v>
      </c>
      <c r="AB9" s="1358" t="s">
        <v>1014</v>
      </c>
      <c r="AC9" s="1359" t="s">
        <v>1013</v>
      </c>
      <c r="AD9" s="1358" t="s">
        <v>1014</v>
      </c>
      <c r="AE9" s="1359" t="s">
        <v>1013</v>
      </c>
      <c r="AF9" s="1360" t="s">
        <v>1014</v>
      </c>
      <c r="AG9" s="1361" t="s">
        <v>1015</v>
      </c>
      <c r="AH9" s="1362" t="s">
        <v>1016</v>
      </c>
      <c r="AI9" s="1362" t="s">
        <v>1016</v>
      </c>
    </row>
    <row r="10" spans="1:38" s="6" customFormat="1" ht="21" customHeight="1">
      <c r="A10" s="261" t="s">
        <v>864</v>
      </c>
      <c r="B10" s="211" t="s">
        <v>1155</v>
      </c>
      <c r="C10" s="388">
        <f>+[17]A02!E$21</f>
        <v>1</v>
      </c>
      <c r="D10" s="388">
        <f>+[17]A02!F$21</f>
        <v>10</v>
      </c>
      <c r="E10" s="388">
        <f>+[17]A02!G$21</f>
        <v>155</v>
      </c>
      <c r="F10" s="388">
        <f>+[17]A02!H$21</f>
        <v>332</v>
      </c>
      <c r="G10" s="388">
        <f>+[17]A02!I$21</f>
        <v>109</v>
      </c>
      <c r="H10" s="388">
        <f>+[17]A02!J$21</f>
        <v>360</v>
      </c>
      <c r="I10" s="388">
        <f>+[17]A02!K$21</f>
        <v>113</v>
      </c>
      <c r="J10" s="388">
        <f>+[17]A02!L$21</f>
        <v>375</v>
      </c>
      <c r="K10" s="388">
        <f>+[17]A02!M$21</f>
        <v>121</v>
      </c>
      <c r="L10" s="388">
        <f>+[17]A02!N$21</f>
        <v>298</v>
      </c>
      <c r="M10" s="388">
        <f>+[17]A02!O$21</f>
        <v>85</v>
      </c>
      <c r="N10" s="388">
        <f>+[17]A02!P$21</f>
        <v>279</v>
      </c>
      <c r="O10" s="388">
        <f>+[17]A02!Q$21</f>
        <v>92</v>
      </c>
      <c r="P10" s="388">
        <f>+[17]A02!R$21</f>
        <v>218</v>
      </c>
      <c r="Q10" s="388">
        <f>+[17]A02!S$21</f>
        <v>84</v>
      </c>
      <c r="R10" s="388">
        <f>+[17]A02!T$21</f>
        <v>196</v>
      </c>
      <c r="S10" s="388">
        <f>+[17]A02!U$21</f>
        <v>76</v>
      </c>
      <c r="T10" s="388">
        <f>+[17]A02!V$21</f>
        <v>156</v>
      </c>
      <c r="U10" s="388">
        <f>+[17]A02!W$21</f>
        <v>75</v>
      </c>
      <c r="V10" s="388">
        <f>+[17]A02!X$21</f>
        <v>148</v>
      </c>
      <c r="W10" s="388">
        <f>+[17]A02!Y$21</f>
        <v>169</v>
      </c>
      <c r="X10" s="388">
        <f>+[17]A02!Z$21</f>
        <v>330</v>
      </c>
      <c r="Y10" s="388">
        <f>+[17]A02!AA$21</f>
        <v>206</v>
      </c>
      <c r="Z10" s="388">
        <f>+[17]A02!AB$21</f>
        <v>355</v>
      </c>
      <c r="AA10" s="388">
        <f>+[17]A02!AC$21</f>
        <v>204</v>
      </c>
      <c r="AB10" s="388">
        <f>+[17]A02!AD$21</f>
        <v>292</v>
      </c>
      <c r="AC10" s="388">
        <f>+[17]A02!AE$21</f>
        <v>187</v>
      </c>
      <c r="AD10" s="388">
        <f>+[17]A02!AF$21</f>
        <v>328</v>
      </c>
      <c r="AE10" s="388">
        <f>+C10+E10+G10+I10+K10+M10+O10+Q10+S10+U10+W10+Y10+AA10+AC10</f>
        <v>1677</v>
      </c>
      <c r="AF10" s="388">
        <f>+D10+F10+H10+J10+L10+N10+P10+R10+T10+V10+X10+Z10+AB10+AD10</f>
        <v>3677</v>
      </c>
      <c r="AG10" s="388">
        <f>SUM(AE10:AF10)</f>
        <v>5354</v>
      </c>
      <c r="AH10" s="388">
        <v>1073</v>
      </c>
      <c r="AI10" s="389">
        <f t="shared" ref="AI10" si="0">SUM(E10:V10)/AH10*100</f>
        <v>304.9394221808015</v>
      </c>
    </row>
    <row r="11" spans="1:38" s="6" customFormat="1" ht="21" customHeight="1">
      <c r="A11" s="261"/>
      <c r="B11" s="211" t="s">
        <v>1048</v>
      </c>
      <c r="C11" s="388">
        <f>+[19]A02!E$21</f>
        <v>0</v>
      </c>
      <c r="D11" s="388">
        <f>+[19]A02!F$21</f>
        <v>0</v>
      </c>
      <c r="E11" s="388">
        <f>+[19]A02!G$21</f>
        <v>1</v>
      </c>
      <c r="F11" s="388">
        <f>+[19]A02!H$21</f>
        <v>7</v>
      </c>
      <c r="G11" s="388">
        <f>+[19]A02!I$21</f>
        <v>2</v>
      </c>
      <c r="H11" s="388">
        <f>+[19]A02!J$21</f>
        <v>9</v>
      </c>
      <c r="I11" s="388">
        <f>+[19]A02!K$21</f>
        <v>1</v>
      </c>
      <c r="J11" s="388">
        <f>+[19]A02!L$21</f>
        <v>3</v>
      </c>
      <c r="K11" s="388">
        <f>+[19]A02!M$21</f>
        <v>0</v>
      </c>
      <c r="L11" s="388">
        <f>+[19]A02!N$21</f>
        <v>4</v>
      </c>
      <c r="M11" s="388">
        <f>+[19]A02!O$21</f>
        <v>2</v>
      </c>
      <c r="N11" s="388">
        <f>+[19]A02!P$21</f>
        <v>5</v>
      </c>
      <c r="O11" s="388">
        <f>+[19]A02!Q$21</f>
        <v>2</v>
      </c>
      <c r="P11" s="388">
        <f>+[19]A02!R$21</f>
        <v>3</v>
      </c>
      <c r="Q11" s="388">
        <f>+[19]A02!S$21</f>
        <v>0</v>
      </c>
      <c r="R11" s="388">
        <f>+[19]A02!T$21</f>
        <v>7</v>
      </c>
      <c r="S11" s="388">
        <f>+[19]A02!U$21</f>
        <v>4</v>
      </c>
      <c r="T11" s="388">
        <f>+[19]A02!V$21</f>
        <v>6</v>
      </c>
      <c r="U11" s="388">
        <f>+[19]A02!W$21</f>
        <v>1</v>
      </c>
      <c r="V11" s="388">
        <f>+[19]A02!X$21</f>
        <v>4</v>
      </c>
      <c r="W11" s="388">
        <f>+[19]A02!Y$21</f>
        <v>13</v>
      </c>
      <c r="X11" s="388">
        <f>+[19]A02!Z$21</f>
        <v>15</v>
      </c>
      <c r="Y11" s="388">
        <f>+[19]A02!AA$21</f>
        <v>7</v>
      </c>
      <c r="Z11" s="388">
        <f>+[19]A02!AB$21</f>
        <v>6</v>
      </c>
      <c r="AA11" s="388">
        <f>+[19]A02!AC$21</f>
        <v>2</v>
      </c>
      <c r="AB11" s="388">
        <f>+[19]A02!AD$21</f>
        <v>7</v>
      </c>
      <c r="AC11" s="388">
        <f>+[19]A02!AE$21</f>
        <v>4</v>
      </c>
      <c r="AD11" s="388">
        <f>+[19]A02!AF$21</f>
        <v>5</v>
      </c>
      <c r="AE11" s="388">
        <f>+C11+E11+G11+I11+K11+M11+O11+Q11+S11+U11+W11+Y11+AA11+AC11</f>
        <v>39</v>
      </c>
      <c r="AF11" s="388">
        <f>+D11+F11+H11+J11+L11+N11+P11+R11+T11+V11+X11+Z11+AB11+AD11</f>
        <v>81</v>
      </c>
      <c r="AG11" s="388">
        <f>SUM(AE11:AF11)</f>
        <v>120</v>
      </c>
      <c r="AH11" s="388">
        <v>1074</v>
      </c>
      <c r="AI11" s="389">
        <f t="shared" ref="AI11:AI35" si="1">SUM(E11:V11)/AH11*100</f>
        <v>5.6797020484171323</v>
      </c>
    </row>
    <row r="12" spans="1:38" s="6" customFormat="1" ht="21" customHeight="1">
      <c r="A12" s="261"/>
      <c r="B12" s="211" t="s">
        <v>1156</v>
      </c>
      <c r="C12" s="388">
        <f>+[20]A02!E$21</f>
        <v>6</v>
      </c>
      <c r="D12" s="388">
        <f>+[20]A02!F$21</f>
        <v>13</v>
      </c>
      <c r="E12" s="388">
        <f>+[20]A02!G$21</f>
        <v>40</v>
      </c>
      <c r="F12" s="388">
        <f>+[20]A02!H$21</f>
        <v>98</v>
      </c>
      <c r="G12" s="388">
        <f>+[20]A02!I$21</f>
        <v>70</v>
      </c>
      <c r="H12" s="388">
        <f>+[20]A02!J$21</f>
        <v>146</v>
      </c>
      <c r="I12" s="388">
        <f>+[20]A02!K$21</f>
        <v>71</v>
      </c>
      <c r="J12" s="388">
        <f>+[20]A02!L$21</f>
        <v>117</v>
      </c>
      <c r="K12" s="388">
        <f>+[20]A02!M$21</f>
        <v>58</v>
      </c>
      <c r="L12" s="388">
        <f>+[20]A02!N$21</f>
        <v>115</v>
      </c>
      <c r="M12" s="388">
        <f>+[20]A02!O$21</f>
        <v>48</v>
      </c>
      <c r="N12" s="388">
        <f>+[20]A02!P$21</f>
        <v>103</v>
      </c>
      <c r="O12" s="388">
        <f>+[20]A02!Q$21</f>
        <v>47</v>
      </c>
      <c r="P12" s="388">
        <f>+[20]A02!R$21</f>
        <v>79</v>
      </c>
      <c r="Q12" s="388">
        <f>+[20]A02!S$21</f>
        <v>42</v>
      </c>
      <c r="R12" s="388">
        <f>+[20]A02!T$21</f>
        <v>81</v>
      </c>
      <c r="S12" s="388">
        <f>+[20]A02!U$21</f>
        <v>37</v>
      </c>
      <c r="T12" s="388">
        <f>+[20]A02!V$21</f>
        <v>86</v>
      </c>
      <c r="U12" s="388">
        <f>+[20]A02!W$21</f>
        <v>44</v>
      </c>
      <c r="V12" s="388">
        <f>+[20]A02!X$21</f>
        <v>57</v>
      </c>
      <c r="W12" s="388">
        <f>+[20]A02!Y$21</f>
        <v>105</v>
      </c>
      <c r="X12" s="388">
        <f>+[20]A02!Z$21</f>
        <v>214</v>
      </c>
      <c r="Y12" s="388">
        <f>+[20]A02!AA$21</f>
        <v>121</v>
      </c>
      <c r="Z12" s="388">
        <f>+[20]A02!AB$21</f>
        <v>156</v>
      </c>
      <c r="AA12" s="388">
        <f>+[20]A02!AC$21</f>
        <v>104</v>
      </c>
      <c r="AB12" s="388">
        <f>+[20]A02!AD$21</f>
        <v>163</v>
      </c>
      <c r="AC12" s="388">
        <f>+[20]A02!AE$21</f>
        <v>95</v>
      </c>
      <c r="AD12" s="388">
        <f>+[20]A02!AF$21</f>
        <v>151</v>
      </c>
      <c r="AE12" s="388">
        <f t="shared" ref="AE12:AE34" si="2">+C12+E12+G12+I12+K12+M12+O12+Q12+S12+U12+W12+Y12+AA12+AC12</f>
        <v>888</v>
      </c>
      <c r="AF12" s="388">
        <f t="shared" ref="AF12:AF34" si="3">+D12+F12+H12+J12+L12+N12+P12+R12+T12+V12+X12+Z12+AB12+AD12</f>
        <v>1579</v>
      </c>
      <c r="AG12" s="388">
        <f>SUM(AE12:AF12)</f>
        <v>2467</v>
      </c>
      <c r="AH12" s="388">
        <v>18793</v>
      </c>
      <c r="AI12" s="389">
        <f t="shared" si="1"/>
        <v>7.1249933485872399</v>
      </c>
      <c r="AJ12" s="94"/>
      <c r="AL12" s="94"/>
    </row>
    <row r="13" spans="1:38" s="6" customFormat="1" ht="21" customHeight="1">
      <c r="A13" s="261"/>
      <c r="B13" s="243" t="s">
        <v>739</v>
      </c>
      <c r="C13" s="388">
        <f>+[18]A02!E$21</f>
        <v>0</v>
      </c>
      <c r="D13" s="388">
        <f>+[18]A02!F$21</f>
        <v>0</v>
      </c>
      <c r="E13" s="388">
        <f>+[18]A02!G$21</f>
        <v>2</v>
      </c>
      <c r="F13" s="388">
        <f>+[18]A02!H$21</f>
        <v>35</v>
      </c>
      <c r="G13" s="388">
        <f>+[18]A02!I$21</f>
        <v>12</v>
      </c>
      <c r="H13" s="388">
        <f>+[18]A02!J$21</f>
        <v>21</v>
      </c>
      <c r="I13" s="388">
        <f>+[18]A02!K$21</f>
        <v>10</v>
      </c>
      <c r="J13" s="388">
        <f>+[18]A02!L$21</f>
        <v>19</v>
      </c>
      <c r="K13" s="388">
        <f>+[18]A02!M$21</f>
        <v>2</v>
      </c>
      <c r="L13" s="388">
        <f>+[18]A02!N$21</f>
        <v>19</v>
      </c>
      <c r="M13" s="388">
        <f>+[18]A02!O$21</f>
        <v>3</v>
      </c>
      <c r="N13" s="388">
        <f>+[18]A02!P$21</f>
        <v>17</v>
      </c>
      <c r="O13" s="388">
        <f>+[18]A02!Q$21</f>
        <v>14</v>
      </c>
      <c r="P13" s="388">
        <f>+[18]A02!R$21</f>
        <v>20</v>
      </c>
      <c r="Q13" s="388">
        <f>+[18]A02!S$21</f>
        <v>6</v>
      </c>
      <c r="R13" s="388">
        <f>+[18]A02!T$21</f>
        <v>25</v>
      </c>
      <c r="S13" s="388">
        <f>+[18]A02!U$21</f>
        <v>4</v>
      </c>
      <c r="T13" s="388">
        <f>+[18]A02!V$21</f>
        <v>11</v>
      </c>
      <c r="U13" s="388">
        <f>+[18]A02!W$21</f>
        <v>3</v>
      </c>
      <c r="V13" s="388">
        <f>+[18]A02!X$21</f>
        <v>8</v>
      </c>
      <c r="W13" s="388">
        <f>+[18]A02!Y$21</f>
        <v>29</v>
      </c>
      <c r="X13" s="388">
        <f>+[18]A02!Z$21</f>
        <v>44</v>
      </c>
      <c r="Y13" s="388">
        <f>+[18]A02!AA$21</f>
        <v>33</v>
      </c>
      <c r="Z13" s="388">
        <f>+[18]A02!AB$21</f>
        <v>50</v>
      </c>
      <c r="AA13" s="388">
        <f>+[18]A02!AC$21</f>
        <v>22</v>
      </c>
      <c r="AB13" s="388">
        <f>+[18]A02!AD$21</f>
        <v>21</v>
      </c>
      <c r="AC13" s="388">
        <f>+[18]A02!AE$21</f>
        <v>24</v>
      </c>
      <c r="AD13" s="388">
        <f>+[18]A02!AF$21</f>
        <v>32</v>
      </c>
      <c r="AE13" s="388">
        <f t="shared" si="2"/>
        <v>164</v>
      </c>
      <c r="AF13" s="388">
        <f t="shared" si="3"/>
        <v>322</v>
      </c>
      <c r="AG13" s="388">
        <f t="shared" ref="AG13:AG34" si="4">SUM(AE13:AF13)</f>
        <v>486</v>
      </c>
      <c r="AH13" s="388">
        <v>2116</v>
      </c>
      <c r="AI13" s="389">
        <f t="shared" si="1"/>
        <v>10.916824196597354</v>
      </c>
      <c r="AJ13" s="94"/>
    </row>
    <row r="14" spans="1:38" s="6" customFormat="1" ht="21" customHeight="1">
      <c r="A14" s="261" t="s">
        <v>574</v>
      </c>
      <c r="B14" s="243" t="s">
        <v>740</v>
      </c>
      <c r="C14" s="388">
        <f>+[21]A02!E$21</f>
        <v>5</v>
      </c>
      <c r="D14" s="388">
        <f>+[21]A02!F$21</f>
        <v>10</v>
      </c>
      <c r="E14" s="388">
        <f>+[21]A02!G$21</f>
        <v>45</v>
      </c>
      <c r="F14" s="388">
        <f>+[21]A02!H$21</f>
        <v>111</v>
      </c>
      <c r="G14" s="388">
        <f>+[21]A02!I$21</f>
        <v>57</v>
      </c>
      <c r="H14" s="388">
        <f>+[21]A02!J$21</f>
        <v>141</v>
      </c>
      <c r="I14" s="388">
        <f>+[21]A02!K$21</f>
        <v>60</v>
      </c>
      <c r="J14" s="388">
        <f>+[21]A02!L$21</f>
        <v>121</v>
      </c>
      <c r="K14" s="388">
        <f>+[21]A02!M$21</f>
        <v>72</v>
      </c>
      <c r="L14" s="388">
        <f>+[21]A02!N$21</f>
        <v>123</v>
      </c>
      <c r="M14" s="388">
        <f>+[21]A02!O$21</f>
        <v>57</v>
      </c>
      <c r="N14" s="388">
        <f>+[21]A02!P$21</f>
        <v>126</v>
      </c>
      <c r="O14" s="388">
        <f>+[21]A02!Q$21</f>
        <v>40</v>
      </c>
      <c r="P14" s="388">
        <f>+[21]A02!R$21</f>
        <v>92</v>
      </c>
      <c r="Q14" s="388">
        <f>+[21]A02!S$21</f>
        <v>37</v>
      </c>
      <c r="R14" s="388">
        <f>+[21]A02!T$21</f>
        <v>63</v>
      </c>
      <c r="S14" s="388">
        <f>+[21]A02!U$21</f>
        <v>31</v>
      </c>
      <c r="T14" s="388">
        <f>+[21]A02!V$21</f>
        <v>83</v>
      </c>
      <c r="U14" s="388">
        <f>+[21]A02!W$21</f>
        <v>26</v>
      </c>
      <c r="V14" s="388">
        <f>+[21]A02!X$21</f>
        <v>44</v>
      </c>
      <c r="W14" s="388">
        <f>+[21]A02!Y$21</f>
        <v>240</v>
      </c>
      <c r="X14" s="388">
        <f>+[21]A02!Z$21</f>
        <v>359</v>
      </c>
      <c r="Y14" s="388">
        <f>+[21]A02!AA$21</f>
        <v>209</v>
      </c>
      <c r="Z14" s="388">
        <f>+[21]A02!AB$21</f>
        <v>228</v>
      </c>
      <c r="AA14" s="388">
        <f>+[21]A02!AC$21</f>
        <v>149</v>
      </c>
      <c r="AB14" s="388">
        <f>+[21]A02!AD$21</f>
        <v>162</v>
      </c>
      <c r="AC14" s="388">
        <f>+[21]A02!AE$21</f>
        <v>84</v>
      </c>
      <c r="AD14" s="388">
        <f>+[21]A02!AF$21</f>
        <v>158</v>
      </c>
      <c r="AE14" s="388">
        <f>+C14+E14+G14+I14+K14+M14+O14+Q14+S14+U14+W14+Y14+AA14+AC14</f>
        <v>1112</v>
      </c>
      <c r="AF14" s="388">
        <f>+D14+F14+H14+J14+L14+N14+P14+R14+T14+V14+X14+Z14+AB14+AD14</f>
        <v>1821</v>
      </c>
      <c r="AG14" s="388">
        <f t="shared" si="4"/>
        <v>2933</v>
      </c>
      <c r="AH14" s="388">
        <v>5370</v>
      </c>
      <c r="AI14" s="389">
        <f t="shared" si="1"/>
        <v>24.748603351955307</v>
      </c>
    </row>
    <row r="15" spans="1:38" s="6" customFormat="1" ht="21" customHeight="1">
      <c r="A15" s="261"/>
      <c r="B15" s="211" t="s">
        <v>1047</v>
      </c>
      <c r="C15" s="388">
        <v>0</v>
      </c>
      <c r="D15" s="388">
        <f>+[59]A02!F$21</f>
        <v>0</v>
      </c>
      <c r="E15" s="388">
        <f>+[59]A02!G$21</f>
        <v>2</v>
      </c>
      <c r="F15" s="388">
        <f>+[59]A02!H$21</f>
        <v>3</v>
      </c>
      <c r="G15" s="388">
        <f>+[59]A02!I$21</f>
        <v>4</v>
      </c>
      <c r="H15" s="388">
        <f>+[59]A02!J$21</f>
        <v>2</v>
      </c>
      <c r="I15" s="388">
        <f>+[59]A02!K$21</f>
        <v>5</v>
      </c>
      <c r="J15" s="388">
        <f>+[59]A02!L$21</f>
        <v>6</v>
      </c>
      <c r="K15" s="388">
        <f>+[59]A02!M$21</f>
        <v>3</v>
      </c>
      <c r="L15" s="388">
        <f>+[59]A02!N$21</f>
        <v>3</v>
      </c>
      <c r="M15" s="388">
        <f>+[59]A02!O$21</f>
        <v>3</v>
      </c>
      <c r="N15" s="388">
        <f>+[59]A02!P$21</f>
        <v>3</v>
      </c>
      <c r="O15" s="388">
        <f>+[59]A02!Q$21</f>
        <v>5</v>
      </c>
      <c r="P15" s="388">
        <f>+[59]A02!R$21</f>
        <v>9</v>
      </c>
      <c r="Q15" s="388">
        <f>+[59]A02!S$21</f>
        <v>10</v>
      </c>
      <c r="R15" s="388">
        <f>+[59]A02!T$21</f>
        <v>7</v>
      </c>
      <c r="S15" s="388">
        <f>+[59]A02!U$21</f>
        <v>3</v>
      </c>
      <c r="T15" s="388">
        <f>+[59]A02!V$21</f>
        <v>8</v>
      </c>
      <c r="U15" s="388">
        <f>+[59]A02!W$21</f>
        <v>2</v>
      </c>
      <c r="V15" s="388">
        <f>+[59]A02!X$21</f>
        <v>1</v>
      </c>
      <c r="W15" s="388">
        <f>+[59]A02!Y$21</f>
        <v>22</v>
      </c>
      <c r="X15" s="388">
        <f>+[59]A02!Z$21</f>
        <v>29</v>
      </c>
      <c r="Y15" s="388">
        <f>+[59]A02!AA$21</f>
        <v>31</v>
      </c>
      <c r="Z15" s="388">
        <f>+[59]A02!AB$21</f>
        <v>21</v>
      </c>
      <c r="AA15" s="388">
        <f>+[59]A02!AC$21</f>
        <v>19</v>
      </c>
      <c r="AB15" s="388">
        <f>+[59]A02!AD$21</f>
        <v>17</v>
      </c>
      <c r="AC15" s="388">
        <f>+[59]A02!AE$21</f>
        <v>13</v>
      </c>
      <c r="AD15" s="388">
        <f>+[59]A02!AF$21</f>
        <v>23</v>
      </c>
      <c r="AE15" s="388">
        <f t="shared" si="2"/>
        <v>122</v>
      </c>
      <c r="AF15" s="388">
        <f t="shared" si="3"/>
        <v>132</v>
      </c>
      <c r="AG15" s="388">
        <f>SUM(AE15:AF15)</f>
        <v>254</v>
      </c>
      <c r="AH15" s="388">
        <v>1786</v>
      </c>
      <c r="AI15" s="389">
        <f t="shared" si="1"/>
        <v>4.4232922732362825</v>
      </c>
    </row>
    <row r="16" spans="1:38" s="6" customFormat="1" ht="21" customHeight="1">
      <c r="A16" s="261"/>
      <c r="B16" s="211" t="s">
        <v>1038</v>
      </c>
      <c r="C16" s="388">
        <f>+[22]A02!E$21</f>
        <v>2</v>
      </c>
      <c r="D16" s="388">
        <f>+[22]A02!F$21</f>
        <v>2</v>
      </c>
      <c r="E16" s="388">
        <f>+[22]A02!G$21</f>
        <v>8</v>
      </c>
      <c r="F16" s="388">
        <f>+[22]A02!H$21</f>
        <v>15</v>
      </c>
      <c r="G16" s="388">
        <f>+[22]A02!I$21</f>
        <v>12</v>
      </c>
      <c r="H16" s="388">
        <f>+[22]A02!J$21</f>
        <v>21</v>
      </c>
      <c r="I16" s="388">
        <f>+[22]A02!K$21</f>
        <v>9</v>
      </c>
      <c r="J16" s="388">
        <f>+[22]A02!L$21</f>
        <v>16</v>
      </c>
      <c r="K16" s="388">
        <f>+[22]A02!M$21</f>
        <v>9</v>
      </c>
      <c r="L16" s="388">
        <f>+[22]A02!N$21</f>
        <v>16</v>
      </c>
      <c r="M16" s="388">
        <f>+[22]A02!O$21</f>
        <v>6</v>
      </c>
      <c r="N16" s="388">
        <f>+[22]A02!P$21</f>
        <v>10</v>
      </c>
      <c r="O16" s="388">
        <f>+[22]A02!Q$21</f>
        <v>7</v>
      </c>
      <c r="P16" s="388">
        <f>+[22]A02!R$21</f>
        <v>9</v>
      </c>
      <c r="Q16" s="388">
        <f>+[22]A02!S$21</f>
        <v>9</v>
      </c>
      <c r="R16" s="388">
        <f>+[22]A02!T$21</f>
        <v>6</v>
      </c>
      <c r="S16" s="388">
        <f>+[22]A02!U$21</f>
        <v>17</v>
      </c>
      <c r="T16" s="388">
        <f>+[22]A02!V$21</f>
        <v>10</v>
      </c>
      <c r="U16" s="388">
        <f>+[22]A02!W$21</f>
        <v>8</v>
      </c>
      <c r="V16" s="388">
        <f>+[22]A02!X$21</f>
        <v>4</v>
      </c>
      <c r="W16" s="388">
        <f>+[22]A02!Y$21</f>
        <v>19</v>
      </c>
      <c r="X16" s="388">
        <f>+[22]A02!Z$21</f>
        <v>30</v>
      </c>
      <c r="Y16" s="388">
        <f>+[22]A02!AA$21</f>
        <v>12</v>
      </c>
      <c r="Z16" s="388">
        <f>+[22]A02!AB$21</f>
        <v>14</v>
      </c>
      <c r="AA16" s="388">
        <f>+[22]A02!AC$21</f>
        <v>12</v>
      </c>
      <c r="AB16" s="388">
        <f>+[22]A02!AD$21</f>
        <v>17</v>
      </c>
      <c r="AC16" s="388">
        <f>+[22]A02!AE$21</f>
        <v>9</v>
      </c>
      <c r="AD16" s="388">
        <f>+[22]A02!AF$21</f>
        <v>18</v>
      </c>
      <c r="AE16" s="388">
        <f t="shared" si="2"/>
        <v>139</v>
      </c>
      <c r="AF16" s="388">
        <f t="shared" si="3"/>
        <v>188</v>
      </c>
      <c r="AG16" s="388">
        <f>SUM(AE16:AF16)</f>
        <v>327</v>
      </c>
      <c r="AH16" s="388">
        <v>1803</v>
      </c>
      <c r="AI16" s="389">
        <f t="shared" si="1"/>
        <v>10.648918469217969</v>
      </c>
    </row>
    <row r="17" spans="1:37" s="6" customFormat="1" ht="21" customHeight="1">
      <c r="A17" s="261" t="s">
        <v>763</v>
      </c>
      <c r="B17" s="243" t="s">
        <v>742</v>
      </c>
      <c r="C17" s="388">
        <f>+[23]A02!E$21</f>
        <v>1</v>
      </c>
      <c r="D17" s="388">
        <f>+[23]A02!F$21</f>
        <v>0</v>
      </c>
      <c r="E17" s="388">
        <f>+[23]A02!G$21</f>
        <v>37</v>
      </c>
      <c r="F17" s="388">
        <f>+[23]A02!H$21</f>
        <v>85</v>
      </c>
      <c r="G17" s="388">
        <f>+[23]A02!I$21</f>
        <v>35</v>
      </c>
      <c r="H17" s="388">
        <f>+[23]A02!J$21</f>
        <v>90</v>
      </c>
      <c r="I17" s="388">
        <f>+[23]A02!K$21</f>
        <v>39</v>
      </c>
      <c r="J17" s="388">
        <f>+[23]A02!L$21</f>
        <v>121</v>
      </c>
      <c r="K17" s="388">
        <f>+[23]A02!M$21</f>
        <v>41</v>
      </c>
      <c r="L17" s="388">
        <f>+[23]A02!N$21</f>
        <v>116</v>
      </c>
      <c r="M17" s="388">
        <f>+[23]A02!O$21</f>
        <v>49</v>
      </c>
      <c r="N17" s="388">
        <f>+[23]A02!P$21</f>
        <v>95</v>
      </c>
      <c r="O17" s="388">
        <f>+[23]A02!Q$21</f>
        <v>32</v>
      </c>
      <c r="P17" s="388">
        <f>+[23]A02!R$21</f>
        <v>82</v>
      </c>
      <c r="Q17" s="388">
        <f>+[23]A02!S$21</f>
        <v>26</v>
      </c>
      <c r="R17" s="388">
        <f>+[23]A02!T$21</f>
        <v>74</v>
      </c>
      <c r="S17" s="388">
        <f>+[23]A02!U$21</f>
        <v>44</v>
      </c>
      <c r="T17" s="388">
        <f>+[23]A02!V$21</f>
        <v>57</v>
      </c>
      <c r="U17" s="388">
        <f>+[23]A02!W$21</f>
        <v>24</v>
      </c>
      <c r="V17" s="388">
        <f>+[23]A02!X$21</f>
        <v>39</v>
      </c>
      <c r="W17" s="388">
        <f>+[23]A02!Y$21</f>
        <v>106</v>
      </c>
      <c r="X17" s="388">
        <f>+[23]A02!Z$21</f>
        <v>144</v>
      </c>
      <c r="Y17" s="388">
        <f>+[23]A02!AA$21</f>
        <v>77</v>
      </c>
      <c r="Z17" s="388">
        <f>+[23]A02!AB$21</f>
        <v>110</v>
      </c>
      <c r="AA17" s="388">
        <f>+[23]A02!AC$21</f>
        <v>60</v>
      </c>
      <c r="AB17" s="388">
        <f>+[23]A02!AD$21</f>
        <v>72</v>
      </c>
      <c r="AC17" s="388">
        <f>+[23]A02!AE$21</f>
        <v>65</v>
      </c>
      <c r="AD17" s="388">
        <f>+[23]A02!AF$21</f>
        <v>99</v>
      </c>
      <c r="AE17" s="388">
        <f t="shared" si="2"/>
        <v>636</v>
      </c>
      <c r="AF17" s="388">
        <f t="shared" si="3"/>
        <v>1184</v>
      </c>
      <c r="AG17" s="388">
        <f t="shared" si="4"/>
        <v>1820</v>
      </c>
      <c r="AH17" s="388">
        <v>5589</v>
      </c>
      <c r="AI17" s="389">
        <f t="shared" si="1"/>
        <v>19.431025228126678</v>
      </c>
    </row>
    <row r="18" spans="1:37" s="6" customFormat="1" ht="21" customHeight="1">
      <c r="A18" s="261"/>
      <c r="B18" s="211" t="s">
        <v>1049</v>
      </c>
      <c r="C18" s="388">
        <f>+[24]A02!E$21</f>
        <v>0</v>
      </c>
      <c r="D18" s="388">
        <f>+[24]A02!F$21</f>
        <v>0</v>
      </c>
      <c r="E18" s="388">
        <f>+[24]A02!G$21</f>
        <v>0</v>
      </c>
      <c r="F18" s="388">
        <f>+[24]A02!H$21</f>
        <v>13</v>
      </c>
      <c r="G18" s="388">
        <f>+[24]A02!I$21</f>
        <v>0</v>
      </c>
      <c r="H18" s="388">
        <f>+[24]A02!J$21</f>
        <v>12</v>
      </c>
      <c r="I18" s="388">
        <f>+[24]A02!K$21</f>
        <v>4</v>
      </c>
      <c r="J18" s="388">
        <f>+[24]A02!L$21</f>
        <v>13</v>
      </c>
      <c r="K18" s="388">
        <f>+[24]A02!M$21</f>
        <v>2</v>
      </c>
      <c r="L18" s="388">
        <f>+[24]A02!N$21</f>
        <v>7</v>
      </c>
      <c r="M18" s="388">
        <f>+[24]A02!O$21</f>
        <v>3</v>
      </c>
      <c r="N18" s="388">
        <f>+[24]A02!P$21</f>
        <v>3</v>
      </c>
      <c r="O18" s="388">
        <f>+[24]A02!Q$21</f>
        <v>1</v>
      </c>
      <c r="P18" s="388">
        <f>+[24]A02!R$21</f>
        <v>7</v>
      </c>
      <c r="Q18" s="388">
        <f>+[24]A02!S$21</f>
        <v>2</v>
      </c>
      <c r="R18" s="388">
        <f>+[24]A02!T$21</f>
        <v>12</v>
      </c>
      <c r="S18" s="388">
        <f>+[24]A02!U$21</f>
        <v>7</v>
      </c>
      <c r="T18" s="388">
        <f>+[24]A02!V$21</f>
        <v>10</v>
      </c>
      <c r="U18" s="388">
        <f>+[24]A02!W$21</f>
        <v>0</v>
      </c>
      <c r="V18" s="388">
        <f>+[24]A02!X$21</f>
        <v>5</v>
      </c>
      <c r="W18" s="388">
        <f>+[24]A02!Y$21</f>
        <v>16</v>
      </c>
      <c r="X18" s="388">
        <f>+[24]A02!Z$21</f>
        <v>15</v>
      </c>
      <c r="Y18" s="388">
        <f>+[24]A02!AA$21</f>
        <v>11</v>
      </c>
      <c r="Z18" s="388">
        <f>+[24]A02!AB$21</f>
        <v>17</v>
      </c>
      <c r="AA18" s="388">
        <f>+[24]A02!AC$21</f>
        <v>8</v>
      </c>
      <c r="AB18" s="388">
        <f>+[24]A02!AD$21</f>
        <v>10</v>
      </c>
      <c r="AC18" s="388">
        <f>+[24]A02!AE$21</f>
        <v>7</v>
      </c>
      <c r="AD18" s="388">
        <f>+[24]A02!AF$21</f>
        <v>18</v>
      </c>
      <c r="AE18" s="388">
        <f t="shared" si="2"/>
        <v>61</v>
      </c>
      <c r="AF18" s="388">
        <f t="shared" si="3"/>
        <v>142</v>
      </c>
      <c r="AG18" s="388">
        <f>SUM(AE18:AF18)</f>
        <v>203</v>
      </c>
      <c r="AH18" s="388">
        <v>1039</v>
      </c>
      <c r="AI18" s="389">
        <f t="shared" si="1"/>
        <v>9.7208854667949964</v>
      </c>
    </row>
    <row r="19" spans="1:37" s="6" customFormat="1" ht="21" customHeight="1">
      <c r="A19" s="261" t="s">
        <v>575</v>
      </c>
      <c r="B19" s="243" t="s">
        <v>743</v>
      </c>
      <c r="C19" s="388">
        <f>+[25]A02!E$21</f>
        <v>3</v>
      </c>
      <c r="D19" s="388">
        <f>+[25]A02!F$21</f>
        <v>3</v>
      </c>
      <c r="E19" s="388">
        <f>+[25]A02!G$21</f>
        <v>23</v>
      </c>
      <c r="F19" s="388">
        <f>+[25]A02!H$21</f>
        <v>103</v>
      </c>
      <c r="G19" s="388">
        <f>+[25]A02!I$21</f>
        <v>35</v>
      </c>
      <c r="H19" s="388">
        <f>+[25]A02!J$21</f>
        <v>113</v>
      </c>
      <c r="I19" s="388">
        <f>+[25]A02!K$21</f>
        <v>36</v>
      </c>
      <c r="J19" s="388">
        <f>+[25]A02!L$21</f>
        <v>136</v>
      </c>
      <c r="K19" s="388">
        <f>+[25]A02!M$21</f>
        <v>39</v>
      </c>
      <c r="L19" s="388">
        <f>+[25]A02!N$21</f>
        <v>99</v>
      </c>
      <c r="M19" s="388">
        <f>+[25]A02!O$21</f>
        <v>49</v>
      </c>
      <c r="N19" s="388">
        <f>+[25]A02!P$21</f>
        <v>98</v>
      </c>
      <c r="O19" s="388">
        <f>+[25]A02!Q$21</f>
        <v>28</v>
      </c>
      <c r="P19" s="388">
        <f>+[25]A02!R$21</f>
        <v>98</v>
      </c>
      <c r="Q19" s="388">
        <f>+[25]A02!S$21</f>
        <v>25</v>
      </c>
      <c r="R19" s="388">
        <f>+[25]A02!T$21</f>
        <v>78</v>
      </c>
      <c r="S19" s="388">
        <f>+[25]A02!U$21</f>
        <v>24</v>
      </c>
      <c r="T19" s="388">
        <f>+[25]A02!V$21</f>
        <v>54</v>
      </c>
      <c r="U19" s="388">
        <f>+[25]A02!W$21</f>
        <v>19</v>
      </c>
      <c r="V19" s="388">
        <f>+[25]A02!X$21</f>
        <v>24</v>
      </c>
      <c r="W19" s="388">
        <f>+[25]A02!Y$21</f>
        <v>53</v>
      </c>
      <c r="X19" s="388">
        <f>+[25]A02!Z$21</f>
        <v>72</v>
      </c>
      <c r="Y19" s="388">
        <f>+[25]A02!AA$21</f>
        <v>61</v>
      </c>
      <c r="Z19" s="388">
        <f>+[25]A02!AB$21</f>
        <v>81</v>
      </c>
      <c r="AA19" s="388">
        <f>+[25]A02!AC$21</f>
        <v>58</v>
      </c>
      <c r="AB19" s="388">
        <f>+[25]A02!AD$21</f>
        <v>80</v>
      </c>
      <c r="AC19" s="388">
        <f>+[25]A02!AE$21</f>
        <v>66</v>
      </c>
      <c r="AD19" s="388">
        <f>+[25]A02!AF$21</f>
        <v>100</v>
      </c>
      <c r="AE19" s="388">
        <f t="shared" si="2"/>
        <v>519</v>
      </c>
      <c r="AF19" s="388">
        <f t="shared" si="3"/>
        <v>1139</v>
      </c>
      <c r="AG19" s="388">
        <f t="shared" si="4"/>
        <v>1658</v>
      </c>
      <c r="AH19" s="388">
        <v>4944</v>
      </c>
      <c r="AI19" s="389">
        <f t="shared" si="1"/>
        <v>21.864886731391586</v>
      </c>
    </row>
    <row r="20" spans="1:37" s="6" customFormat="1" ht="21" customHeight="1">
      <c r="A20" s="261" t="s">
        <v>576</v>
      </c>
      <c r="B20" s="243" t="s">
        <v>745</v>
      </c>
      <c r="C20" s="388">
        <f>+[43]A02!E$21</f>
        <v>0</v>
      </c>
      <c r="D20" s="388">
        <f>+[43]A02!F$21</f>
        <v>0</v>
      </c>
      <c r="E20" s="388">
        <f>+[43]A02!G$21</f>
        <v>105</v>
      </c>
      <c r="F20" s="388">
        <f>+[43]A02!H$21</f>
        <v>275</v>
      </c>
      <c r="G20" s="388">
        <f>+[43]A02!I$21</f>
        <v>114</v>
      </c>
      <c r="H20" s="388">
        <f>+[43]A02!J$21</f>
        <v>311</v>
      </c>
      <c r="I20" s="388">
        <f>+[43]A02!K$21</f>
        <v>129</v>
      </c>
      <c r="J20" s="388">
        <f>+[43]A02!L$21</f>
        <v>277</v>
      </c>
      <c r="K20" s="388">
        <f>+[43]A02!M$21</f>
        <v>94</v>
      </c>
      <c r="L20" s="388">
        <f>+[43]A02!N$21</f>
        <v>234</v>
      </c>
      <c r="M20" s="388">
        <f>+[43]A02!O$21</f>
        <v>62</v>
      </c>
      <c r="N20" s="388">
        <f>+[43]A02!P$21</f>
        <v>240</v>
      </c>
      <c r="O20" s="388">
        <f>+[43]A02!Q$21</f>
        <v>87</v>
      </c>
      <c r="P20" s="388">
        <f>+[43]A02!R$21</f>
        <v>185</v>
      </c>
      <c r="Q20" s="388">
        <f>+[43]A02!S$21</f>
        <v>80</v>
      </c>
      <c r="R20" s="388">
        <f>+[43]A02!T$21</f>
        <v>175</v>
      </c>
      <c r="S20" s="388">
        <f>+[43]A02!U$21</f>
        <v>74</v>
      </c>
      <c r="T20" s="388">
        <f>+[43]A02!V$21</f>
        <v>153</v>
      </c>
      <c r="U20" s="388">
        <f>+[43]A02!W$21</f>
        <v>62</v>
      </c>
      <c r="V20" s="388">
        <f>+[43]A02!X$21</f>
        <v>131</v>
      </c>
      <c r="W20" s="388">
        <f>+[43]A02!Y$21</f>
        <v>146</v>
      </c>
      <c r="X20" s="388">
        <f>+[43]A02!Z$21</f>
        <v>235</v>
      </c>
      <c r="Y20" s="388">
        <f>+[43]A02!AA$21</f>
        <v>148</v>
      </c>
      <c r="Z20" s="388">
        <f>+[43]A02!AB$21</f>
        <v>245</v>
      </c>
      <c r="AA20" s="388">
        <f>+[43]A02!AC$21</f>
        <v>137</v>
      </c>
      <c r="AB20" s="388">
        <f>+[43]A02!AD$21</f>
        <v>206</v>
      </c>
      <c r="AC20" s="388">
        <f>+[43]A02!AE$21</f>
        <v>124</v>
      </c>
      <c r="AD20" s="388">
        <f>+[43]A02!AF$21</f>
        <v>276</v>
      </c>
      <c r="AE20" s="388">
        <f t="shared" si="2"/>
        <v>1362</v>
      </c>
      <c r="AF20" s="388">
        <f t="shared" si="3"/>
        <v>2943</v>
      </c>
      <c r="AG20" s="388">
        <f t="shared" si="4"/>
        <v>4305</v>
      </c>
      <c r="AH20" s="388">
        <v>19045</v>
      </c>
      <c r="AI20" s="389">
        <f t="shared" si="1"/>
        <v>14.639012864268839</v>
      </c>
    </row>
    <row r="21" spans="1:37" s="6" customFormat="1" ht="21" customHeight="1">
      <c r="A21" s="261"/>
      <c r="B21" s="243" t="s">
        <v>746</v>
      </c>
      <c r="C21" s="388">
        <f>+[44]A02!E$21</f>
        <v>0</v>
      </c>
      <c r="D21" s="388">
        <f>+[44]A02!F$21</f>
        <v>0</v>
      </c>
      <c r="E21" s="388">
        <f>+[44]A02!G$21</f>
        <v>105</v>
      </c>
      <c r="F21" s="388">
        <f>+[44]A02!H$21</f>
        <v>298</v>
      </c>
      <c r="G21" s="388">
        <f>+[44]A02!I$21</f>
        <v>91</v>
      </c>
      <c r="H21" s="388">
        <f>+[44]A02!J$21</f>
        <v>375</v>
      </c>
      <c r="I21" s="388">
        <f>+[44]A02!K$21</f>
        <v>92</v>
      </c>
      <c r="J21" s="388">
        <f>+[44]A02!L$21</f>
        <v>395</v>
      </c>
      <c r="K21" s="388">
        <f>+[44]A02!M$21</f>
        <v>91</v>
      </c>
      <c r="L21" s="388">
        <f>+[44]A02!N$21</f>
        <v>325</v>
      </c>
      <c r="M21" s="388">
        <f>+[44]A02!O$21</f>
        <v>86</v>
      </c>
      <c r="N21" s="388">
        <f>+[44]A02!P$21</f>
        <v>317</v>
      </c>
      <c r="O21" s="388">
        <f>+[44]A02!Q$21</f>
        <v>120</v>
      </c>
      <c r="P21" s="388">
        <f>+[44]A02!R$21</f>
        <v>301</v>
      </c>
      <c r="Q21" s="388">
        <f>+[44]A02!S$21</f>
        <v>83</v>
      </c>
      <c r="R21" s="388">
        <f>+[44]A02!T$21</f>
        <v>290</v>
      </c>
      <c r="S21" s="388">
        <f>+[44]A02!U$21</f>
        <v>85</v>
      </c>
      <c r="T21" s="388">
        <f>+[44]A02!V$21</f>
        <v>288</v>
      </c>
      <c r="U21" s="388">
        <f>+[44]A02!W$21</f>
        <v>95</v>
      </c>
      <c r="V21" s="388">
        <f>+[44]A02!X$21</f>
        <v>191</v>
      </c>
      <c r="W21" s="388">
        <f>+[44]A02!Y$21</f>
        <v>182</v>
      </c>
      <c r="X21" s="388">
        <f>+[44]A02!Z$21</f>
        <v>317</v>
      </c>
      <c r="Y21" s="388">
        <f>+[44]A02!AA$21</f>
        <v>192</v>
      </c>
      <c r="Z21" s="388">
        <f>+[44]A02!AB$21</f>
        <v>343</v>
      </c>
      <c r="AA21" s="388">
        <f>+[44]A02!AC$21</f>
        <v>160</v>
      </c>
      <c r="AB21" s="388">
        <f>+[44]A02!AD$21</f>
        <v>253</v>
      </c>
      <c r="AC21" s="388">
        <f>+[44]A02!AE$21</f>
        <v>162</v>
      </c>
      <c r="AD21" s="388">
        <f>+[44]A02!AF$21</f>
        <v>324</v>
      </c>
      <c r="AE21" s="388">
        <f t="shared" si="2"/>
        <v>1544</v>
      </c>
      <c r="AF21" s="388">
        <f t="shared" si="3"/>
        <v>4017</v>
      </c>
      <c r="AG21" s="388">
        <f t="shared" si="4"/>
        <v>5561</v>
      </c>
      <c r="AH21" s="388">
        <v>20284</v>
      </c>
      <c r="AI21" s="389">
        <f t="shared" si="1"/>
        <v>17.886018536777755</v>
      </c>
      <c r="AK21" s="609"/>
    </row>
    <row r="22" spans="1:37" s="6" customFormat="1" ht="21" customHeight="1">
      <c r="A22" s="261"/>
      <c r="B22" s="243" t="s">
        <v>489</v>
      </c>
      <c r="C22" s="388">
        <f>+[45]A02!E$21</f>
        <v>0</v>
      </c>
      <c r="D22" s="388">
        <f>+[45]A02!F$21</f>
        <v>0</v>
      </c>
      <c r="E22" s="388">
        <f>+[45]A02!G$21</f>
        <v>30</v>
      </c>
      <c r="F22" s="388">
        <f>+[45]A02!H$21</f>
        <v>27</v>
      </c>
      <c r="G22" s="388">
        <f>+[45]A02!I$21</f>
        <v>33</v>
      </c>
      <c r="H22" s="388">
        <f>+[45]A02!J$21</f>
        <v>38</v>
      </c>
      <c r="I22" s="388">
        <f>+[45]A02!K$21</f>
        <v>32</v>
      </c>
      <c r="J22" s="388">
        <f>+[45]A02!L$21</f>
        <v>44</v>
      </c>
      <c r="K22" s="388">
        <f>+[45]A02!M$21</f>
        <v>31</v>
      </c>
      <c r="L22" s="388">
        <f>+[45]A02!N$21</f>
        <v>38</v>
      </c>
      <c r="M22" s="388">
        <f>+[45]A02!O$21</f>
        <v>35</v>
      </c>
      <c r="N22" s="388">
        <f>+[45]A02!P$21</f>
        <v>32</v>
      </c>
      <c r="O22" s="388">
        <f>+[45]A02!Q$21</f>
        <v>11</v>
      </c>
      <c r="P22" s="388">
        <f>+[45]A02!R$21</f>
        <v>23</v>
      </c>
      <c r="Q22" s="388">
        <f>+[45]A02!S$21</f>
        <v>19</v>
      </c>
      <c r="R22" s="388">
        <f>+[45]A02!T$21</f>
        <v>16</v>
      </c>
      <c r="S22" s="388">
        <f>+[45]A02!U$21</f>
        <v>11</v>
      </c>
      <c r="T22" s="388">
        <f>+[45]A02!V$21</f>
        <v>11</v>
      </c>
      <c r="U22" s="388">
        <f>+[45]A02!W$21</f>
        <v>11</v>
      </c>
      <c r="V22" s="388">
        <f>+[45]A02!X$21</f>
        <v>15</v>
      </c>
      <c r="W22" s="388">
        <f>+[45]A02!Y$21</f>
        <v>30</v>
      </c>
      <c r="X22" s="388">
        <f>+[45]A02!Z$21</f>
        <v>36</v>
      </c>
      <c r="Y22" s="388">
        <f>+[45]A02!AA$21</f>
        <v>38</v>
      </c>
      <c r="Z22" s="388">
        <f>+[45]A02!AB$21</f>
        <v>27</v>
      </c>
      <c r="AA22" s="388">
        <f>+[45]A02!AC$21</f>
        <v>27</v>
      </c>
      <c r="AB22" s="388">
        <f>+[45]A02!AD$21</f>
        <v>26</v>
      </c>
      <c r="AC22" s="388">
        <f>+[45]A02!AE$21</f>
        <v>39</v>
      </c>
      <c r="AD22" s="388">
        <f>+[45]A02!AF$21</f>
        <v>54</v>
      </c>
      <c r="AE22" s="388">
        <f t="shared" si="2"/>
        <v>347</v>
      </c>
      <c r="AF22" s="388">
        <f t="shared" si="3"/>
        <v>387</v>
      </c>
      <c r="AG22" s="388">
        <f>SUM(AE22:AF22)</f>
        <v>734</v>
      </c>
      <c r="AH22" s="388">
        <v>2106</v>
      </c>
      <c r="AI22" s="389">
        <f t="shared" si="1"/>
        <v>21.699905033238366</v>
      </c>
    </row>
    <row r="23" spans="1:37" s="6" customFormat="1" ht="21" customHeight="1">
      <c r="A23" s="261"/>
      <c r="B23" s="243" t="s">
        <v>747</v>
      </c>
      <c r="C23" s="388">
        <f>+[47]A02!E$21</f>
        <v>0</v>
      </c>
      <c r="D23" s="388">
        <f>+[47]A02!F$21</f>
        <v>2</v>
      </c>
      <c r="E23" s="388">
        <f>+[47]A02!G$21</f>
        <v>14</v>
      </c>
      <c r="F23" s="388">
        <f>+[47]A02!H$21</f>
        <v>105</v>
      </c>
      <c r="G23" s="388">
        <f>+[47]A02!I$21</f>
        <v>8</v>
      </c>
      <c r="H23" s="388">
        <f>+[47]A02!J$21</f>
        <v>104</v>
      </c>
      <c r="I23" s="388">
        <f>+[47]A02!K$21</f>
        <v>14</v>
      </c>
      <c r="J23" s="388">
        <f>+[47]A02!L$21</f>
        <v>121</v>
      </c>
      <c r="K23" s="388">
        <f>+[47]A02!M$21</f>
        <v>11</v>
      </c>
      <c r="L23" s="388">
        <f>+[47]A02!N$21</f>
        <v>90</v>
      </c>
      <c r="M23" s="388">
        <f>+[47]A02!O$21</f>
        <v>10</v>
      </c>
      <c r="N23" s="388">
        <f>+[47]A02!P$21</f>
        <v>89</v>
      </c>
      <c r="O23" s="388">
        <f>+[47]A02!Q$21</f>
        <v>5</v>
      </c>
      <c r="P23" s="388">
        <f>+[47]A02!R$21</f>
        <v>69</v>
      </c>
      <c r="Q23" s="388">
        <f>+[47]A02!S$21</f>
        <v>16</v>
      </c>
      <c r="R23" s="388">
        <f>+[47]A02!T$21</f>
        <v>42</v>
      </c>
      <c r="S23" s="388">
        <f>+[47]A02!U$21</f>
        <v>15</v>
      </c>
      <c r="T23" s="388">
        <f>+[47]A02!V$21</f>
        <v>52</v>
      </c>
      <c r="U23" s="388">
        <f>+[47]A02!W$21</f>
        <v>11</v>
      </c>
      <c r="V23" s="388">
        <f>+[47]A02!X$21</f>
        <v>29</v>
      </c>
      <c r="W23" s="388">
        <f>+[47]A02!Y$21</f>
        <v>38</v>
      </c>
      <c r="X23" s="388">
        <f>+[47]A02!Z$21</f>
        <v>52</v>
      </c>
      <c r="Y23" s="388">
        <f>+[47]A02!AA$21</f>
        <v>46</v>
      </c>
      <c r="Z23" s="388">
        <f>+[47]A02!AB$21</f>
        <v>75</v>
      </c>
      <c r="AA23" s="388">
        <f>+[47]A02!AC$21</f>
        <v>55</v>
      </c>
      <c r="AB23" s="388">
        <f>+[47]A02!AD$21</f>
        <v>76</v>
      </c>
      <c r="AC23" s="388">
        <f>+[47]A02!AE$21</f>
        <v>56</v>
      </c>
      <c r="AD23" s="388">
        <f>+[47]A02!AF$21</f>
        <v>86</v>
      </c>
      <c r="AE23" s="388">
        <f t="shared" si="2"/>
        <v>299</v>
      </c>
      <c r="AF23" s="388">
        <f t="shared" si="3"/>
        <v>992</v>
      </c>
      <c r="AG23" s="388">
        <f t="shared" si="4"/>
        <v>1291</v>
      </c>
      <c r="AH23" s="388">
        <v>4146</v>
      </c>
      <c r="AI23" s="389">
        <f t="shared" si="1"/>
        <v>19.416304872165941</v>
      </c>
    </row>
    <row r="24" spans="1:37" s="6" customFormat="1" ht="21" customHeight="1">
      <c r="A24" s="261" t="s">
        <v>577</v>
      </c>
      <c r="B24" s="211" t="s">
        <v>748</v>
      </c>
      <c r="C24" s="388">
        <f>+[50]A02!E$21</f>
        <v>1</v>
      </c>
      <c r="D24" s="388">
        <f>+[50]A02!F$21</f>
        <v>0</v>
      </c>
      <c r="E24" s="388">
        <f>+[50]A02!G$21</f>
        <v>36</v>
      </c>
      <c r="F24" s="388">
        <f>+[50]A02!H$21</f>
        <v>107</v>
      </c>
      <c r="G24" s="388">
        <f>+[50]A02!I$21</f>
        <v>44</v>
      </c>
      <c r="H24" s="388">
        <f>+[50]A02!J$21</f>
        <v>114</v>
      </c>
      <c r="I24" s="388">
        <f>+[50]A02!K$21</f>
        <v>44</v>
      </c>
      <c r="J24" s="388">
        <f>+[50]A02!L$21</f>
        <v>121</v>
      </c>
      <c r="K24" s="388">
        <f>+[50]A02!M$21</f>
        <v>49</v>
      </c>
      <c r="L24" s="388">
        <f>+[50]A02!N$21</f>
        <v>113</v>
      </c>
      <c r="M24" s="388">
        <f>+[50]A02!O$21</f>
        <v>41</v>
      </c>
      <c r="N24" s="388">
        <f>+[50]A02!P$21</f>
        <v>103</v>
      </c>
      <c r="O24" s="388">
        <f>+[50]A02!Q$21</f>
        <v>33</v>
      </c>
      <c r="P24" s="388">
        <f>+[50]A02!R$21</f>
        <v>95</v>
      </c>
      <c r="Q24" s="388">
        <f>+[50]A02!S$21</f>
        <v>60</v>
      </c>
      <c r="R24" s="388">
        <f>+[50]A02!T$21</f>
        <v>83</v>
      </c>
      <c r="S24" s="388">
        <f>+[50]A02!U$21</f>
        <v>71</v>
      </c>
      <c r="T24" s="388">
        <f>+[50]A02!V$21</f>
        <v>73</v>
      </c>
      <c r="U24" s="388">
        <f>+[50]A02!W$21</f>
        <v>34</v>
      </c>
      <c r="V24" s="388">
        <f>+[50]A02!X$21</f>
        <v>56</v>
      </c>
      <c r="W24" s="388">
        <f>+[50]A02!Y$21</f>
        <v>90</v>
      </c>
      <c r="X24" s="388">
        <f>+[50]A02!Z$21</f>
        <v>136</v>
      </c>
      <c r="Y24" s="388">
        <f>+[50]A02!AA$21</f>
        <v>97</v>
      </c>
      <c r="Z24" s="388">
        <f>+[50]A02!AB$21</f>
        <v>143</v>
      </c>
      <c r="AA24" s="388">
        <f>+[50]A02!AC$21</f>
        <v>77</v>
      </c>
      <c r="AB24" s="388">
        <f>+[50]A02!AD$21</f>
        <v>108</v>
      </c>
      <c r="AC24" s="388">
        <f>+[50]A02!AE$21</f>
        <v>96</v>
      </c>
      <c r="AD24" s="388">
        <f>+[50]A02!AF$21</f>
        <v>146</v>
      </c>
      <c r="AE24" s="388">
        <f t="shared" si="2"/>
        <v>773</v>
      </c>
      <c r="AF24" s="388">
        <f t="shared" si="3"/>
        <v>1398</v>
      </c>
      <c r="AG24" s="388">
        <f>SUM(AE24:AF24)</f>
        <v>2171</v>
      </c>
      <c r="AH24" s="388">
        <v>4828</v>
      </c>
      <c r="AI24" s="389">
        <f t="shared" si="1"/>
        <v>26.449875724937861</v>
      </c>
    </row>
    <row r="25" spans="1:37" s="6" customFormat="1" ht="21" customHeight="1">
      <c r="A25" s="261"/>
      <c r="B25" s="211" t="s">
        <v>1050</v>
      </c>
      <c r="C25" s="388">
        <v>0</v>
      </c>
      <c r="D25" s="388">
        <f>+[60]A02!F$21</f>
        <v>0</v>
      </c>
      <c r="E25" s="388">
        <f>+[60]A02!G$21</f>
        <v>8</v>
      </c>
      <c r="F25" s="388">
        <f>+[60]A02!H$21</f>
        <v>20</v>
      </c>
      <c r="G25" s="388">
        <f>+[60]A02!I$21</f>
        <v>4</v>
      </c>
      <c r="H25" s="388">
        <f>+[60]A02!J$21</f>
        <v>18</v>
      </c>
      <c r="I25" s="388">
        <f>+[60]A02!K$21</f>
        <v>3</v>
      </c>
      <c r="J25" s="388">
        <f>+[60]A02!L$21</f>
        <v>33</v>
      </c>
      <c r="K25" s="388">
        <f>+[60]A02!M$21</f>
        <v>9</v>
      </c>
      <c r="L25" s="388">
        <f>+[60]A02!N$21</f>
        <v>26</v>
      </c>
      <c r="M25" s="388">
        <f>+[60]A02!O$21</f>
        <v>6</v>
      </c>
      <c r="N25" s="388">
        <f>+[60]A02!P$21</f>
        <v>20</v>
      </c>
      <c r="O25" s="388">
        <f>+[60]A02!Q$21</f>
        <v>9</v>
      </c>
      <c r="P25" s="388">
        <f>+[60]A02!R$21</f>
        <v>19</v>
      </c>
      <c r="Q25" s="388">
        <f>+[60]A02!S$21</f>
        <v>8</v>
      </c>
      <c r="R25" s="388">
        <f>+[60]A02!T$21</f>
        <v>19</v>
      </c>
      <c r="S25" s="388">
        <f>+[60]A02!U$21</f>
        <v>11</v>
      </c>
      <c r="T25" s="388">
        <f>+[60]A02!V$21</f>
        <v>20</v>
      </c>
      <c r="U25" s="388">
        <f>+[60]A02!W$21</f>
        <v>9</v>
      </c>
      <c r="V25" s="388">
        <f>+[60]A02!X$21</f>
        <v>9</v>
      </c>
      <c r="W25" s="388">
        <f>+[60]A02!Y$21</f>
        <v>65</v>
      </c>
      <c r="X25" s="388">
        <f>+[60]A02!Z$21</f>
        <v>66</v>
      </c>
      <c r="Y25" s="388">
        <f>+[60]A02!AA$21</f>
        <v>44</v>
      </c>
      <c r="Z25" s="388">
        <f>+[60]A02!AB$21</f>
        <v>49</v>
      </c>
      <c r="AA25" s="388">
        <f>+[60]A02!AC$21</f>
        <v>37</v>
      </c>
      <c r="AB25" s="388">
        <f>+[60]A02!AD$21</f>
        <v>42</v>
      </c>
      <c r="AC25" s="388">
        <f>+[60]A02!AE$21</f>
        <v>45</v>
      </c>
      <c r="AD25" s="388">
        <f>+[60]A02!AF$21</f>
        <v>66</v>
      </c>
      <c r="AE25" s="388">
        <f t="shared" si="2"/>
        <v>258</v>
      </c>
      <c r="AF25" s="388">
        <f t="shared" si="3"/>
        <v>407</v>
      </c>
      <c r="AG25" s="388">
        <f>SUM(AE25:AF25)</f>
        <v>665</v>
      </c>
      <c r="AH25" s="388">
        <v>2936</v>
      </c>
      <c r="AI25" s="389">
        <f t="shared" si="1"/>
        <v>8.5490463215258856</v>
      </c>
    </row>
    <row r="26" spans="1:37" s="6" customFormat="1" ht="21" customHeight="1">
      <c r="A26" s="261"/>
      <c r="B26" s="211" t="s">
        <v>1298</v>
      </c>
      <c r="C26" s="388">
        <f>+[61]A02!E$21</f>
        <v>0</v>
      </c>
      <c r="D26" s="388">
        <f>+[61]A02!F$21</f>
        <v>0</v>
      </c>
      <c r="E26" s="388">
        <f>+[61]A02!G$21</f>
        <v>6</v>
      </c>
      <c r="F26" s="388">
        <f>+[61]A02!H$21</f>
        <v>9</v>
      </c>
      <c r="G26" s="388">
        <f>+[61]A02!I$21</f>
        <v>5</v>
      </c>
      <c r="H26" s="388">
        <f>+[61]A02!J$21</f>
        <v>17</v>
      </c>
      <c r="I26" s="388">
        <f>+[61]A02!K$21</f>
        <v>6</v>
      </c>
      <c r="J26" s="388">
        <f>+[61]A02!L$21</f>
        <v>13</v>
      </c>
      <c r="K26" s="388">
        <f>+[61]A02!M$21</f>
        <v>4</v>
      </c>
      <c r="L26" s="388">
        <f>+[61]A02!N$21</f>
        <v>17</v>
      </c>
      <c r="M26" s="388">
        <f>+[61]A02!O$21</f>
        <v>3</v>
      </c>
      <c r="N26" s="388">
        <f>+[61]A02!P$21</f>
        <v>8</v>
      </c>
      <c r="O26" s="388">
        <f>+[61]A02!Q$21</f>
        <v>5</v>
      </c>
      <c r="P26" s="388">
        <f>+[61]A02!R$21</f>
        <v>12</v>
      </c>
      <c r="Q26" s="388">
        <f>+[61]A02!S$21</f>
        <v>3</v>
      </c>
      <c r="R26" s="388">
        <f>+[61]A02!T$21</f>
        <v>4</v>
      </c>
      <c r="S26" s="388">
        <f>+[61]A02!U$21</f>
        <v>0</v>
      </c>
      <c r="T26" s="388">
        <f>+[61]A02!V$21</f>
        <v>3</v>
      </c>
      <c r="U26" s="388">
        <f>+[61]A02!W$21</f>
        <v>3</v>
      </c>
      <c r="V26" s="388">
        <f>+[61]A02!X$21</f>
        <v>6</v>
      </c>
      <c r="W26" s="388">
        <f>+[61]A02!Y$21</f>
        <v>14</v>
      </c>
      <c r="X26" s="388">
        <f>+[61]A02!Z$21</f>
        <v>20</v>
      </c>
      <c r="Y26" s="388">
        <f>+[61]A02!AA$21</f>
        <v>24</v>
      </c>
      <c r="Z26" s="388">
        <f>+[61]A02!AB$21</f>
        <v>31</v>
      </c>
      <c r="AA26" s="388">
        <f>+[61]A02!AC$21</f>
        <v>13</v>
      </c>
      <c r="AB26" s="388">
        <f>+[61]A02!AD$21</f>
        <v>16</v>
      </c>
      <c r="AC26" s="388">
        <f>+[61]A02!AE$21</f>
        <v>15</v>
      </c>
      <c r="AD26" s="388">
        <f>+[61]A02!AF$21</f>
        <v>13</v>
      </c>
      <c r="AE26" s="388">
        <f t="shared" si="2"/>
        <v>101</v>
      </c>
      <c r="AF26" s="388">
        <f>+D26+F26+H26+J26+L26+N26+P26+R26+T26+V26+X26+Z26+AB26+AD26</f>
        <v>169</v>
      </c>
      <c r="AG26" s="388">
        <f>SUM(AE26:AF26)</f>
        <v>270</v>
      </c>
      <c r="AH26" s="388">
        <v>656</v>
      </c>
      <c r="AI26" s="389">
        <f t="shared" si="1"/>
        <v>18.902439024390244</v>
      </c>
    </row>
    <row r="27" spans="1:37" s="6" customFormat="1" ht="21" customHeight="1">
      <c r="A27" s="261"/>
      <c r="B27" s="211" t="s">
        <v>1094</v>
      </c>
      <c r="C27" s="388">
        <f>+[49]A02!E$21</f>
        <v>0</v>
      </c>
      <c r="D27" s="388">
        <f>+[49]A02!F$21</f>
        <v>0</v>
      </c>
      <c r="E27" s="388">
        <f>+[49]A02!G$21</f>
        <v>0</v>
      </c>
      <c r="F27" s="388">
        <f>+[49]A02!H$21</f>
        <v>0</v>
      </c>
      <c r="G27" s="388">
        <f>+[49]A02!I$21</f>
        <v>0</v>
      </c>
      <c r="H27" s="388">
        <f>+[49]A02!J$21</f>
        <v>0</v>
      </c>
      <c r="I27" s="388">
        <f>+[49]A02!K$21</f>
        <v>0</v>
      </c>
      <c r="J27" s="388">
        <f>+[49]A02!L$21</f>
        <v>0</v>
      </c>
      <c r="K27" s="388">
        <f>+[49]A02!M$21</f>
        <v>0</v>
      </c>
      <c r="L27" s="388">
        <f>+[49]A02!N$21</f>
        <v>0</v>
      </c>
      <c r="M27" s="388">
        <f>+[49]A02!O$21</f>
        <v>0</v>
      </c>
      <c r="N27" s="388">
        <f>+[49]A02!P$21</f>
        <v>0</v>
      </c>
      <c r="O27" s="388">
        <f>+[49]A02!Q$21</f>
        <v>0</v>
      </c>
      <c r="P27" s="388">
        <f>+[49]A02!R$21</f>
        <v>0</v>
      </c>
      <c r="Q27" s="388">
        <f>+[49]A02!S$21</f>
        <v>0</v>
      </c>
      <c r="R27" s="388">
        <f>+[49]A02!T$21</f>
        <v>0</v>
      </c>
      <c r="S27" s="388">
        <f>+[49]A02!U$21</f>
        <v>0</v>
      </c>
      <c r="T27" s="388">
        <f>+[49]A02!V$21</f>
        <v>0</v>
      </c>
      <c r="U27" s="388">
        <f>+[49]A02!W$21</f>
        <v>0</v>
      </c>
      <c r="V27" s="388">
        <f>+[49]A02!X$21</f>
        <v>0</v>
      </c>
      <c r="W27" s="388">
        <f>+[49]A02!Y$21</f>
        <v>0</v>
      </c>
      <c r="X27" s="388">
        <f>+[49]A02!Z$21</f>
        <v>0</v>
      </c>
      <c r="Y27" s="388">
        <f>+[49]A02!AA$21</f>
        <v>0</v>
      </c>
      <c r="Z27" s="388">
        <f>+[49]A02!AB$21</f>
        <v>0</v>
      </c>
      <c r="AA27" s="388">
        <f>+[49]A02!AC$21</f>
        <v>0</v>
      </c>
      <c r="AB27" s="388">
        <f>+[49]A02!AD$21</f>
        <v>0</v>
      </c>
      <c r="AC27" s="388">
        <f>+[49]A02!AE$21</f>
        <v>0</v>
      </c>
      <c r="AD27" s="388">
        <f>+[49]A02!AF$21</f>
        <v>0</v>
      </c>
      <c r="AE27" s="388">
        <f>+C27+E27+G27+I27+K27+M27+O27+Q27+S27+U27+W27+Y27+AA27+AC27</f>
        <v>0</v>
      </c>
      <c r="AF27" s="388">
        <f>+D27+F27+H27+J27+L27+N27+P27+R27+T27+V27+X27+Z27+AB27+AD27</f>
        <v>0</v>
      </c>
      <c r="AG27" s="388">
        <f>SUM(AE27:AF27)</f>
        <v>0</v>
      </c>
      <c r="AH27" s="388"/>
      <c r="AI27" s="389"/>
    </row>
    <row r="28" spans="1:37" s="6" customFormat="1" ht="21" customHeight="1">
      <c r="A28" s="261" t="s">
        <v>765</v>
      </c>
      <c r="B28" s="243" t="s">
        <v>586</v>
      </c>
      <c r="C28" s="388">
        <f>+[52]A02!E$21</f>
        <v>3</v>
      </c>
      <c r="D28" s="388">
        <f>+[52]A02!F$21</f>
        <v>16</v>
      </c>
      <c r="E28" s="388">
        <f>+[52]A02!G$21</f>
        <v>30</v>
      </c>
      <c r="F28" s="388">
        <f>+[52]A02!H$21</f>
        <v>101</v>
      </c>
      <c r="G28" s="388">
        <f>+[52]A02!I$21</f>
        <v>37</v>
      </c>
      <c r="H28" s="388">
        <f>+[52]A02!J$21</f>
        <v>96</v>
      </c>
      <c r="I28" s="388">
        <f>+[52]A02!K$21</f>
        <v>30</v>
      </c>
      <c r="J28" s="388">
        <f>+[52]A02!L$21</f>
        <v>110</v>
      </c>
      <c r="K28" s="388">
        <f>+[52]A02!M$21</f>
        <v>27</v>
      </c>
      <c r="L28" s="388">
        <f>+[52]A02!N$21</f>
        <v>73</v>
      </c>
      <c r="M28" s="388">
        <f>+[52]A02!O$21</f>
        <v>30</v>
      </c>
      <c r="N28" s="388">
        <f>+[52]A02!P$21</f>
        <v>102</v>
      </c>
      <c r="O28" s="388">
        <f>+[52]A02!Q$21</f>
        <v>32</v>
      </c>
      <c r="P28" s="388">
        <f>+[52]A02!R$21</f>
        <v>79</v>
      </c>
      <c r="Q28" s="388">
        <f>+[52]A02!S$21</f>
        <v>31</v>
      </c>
      <c r="R28" s="388">
        <f>+[52]A02!T$21</f>
        <v>68</v>
      </c>
      <c r="S28" s="388">
        <f>+[52]A02!U$21</f>
        <v>32</v>
      </c>
      <c r="T28" s="388">
        <f>+[52]A02!V$21</f>
        <v>73</v>
      </c>
      <c r="U28" s="388">
        <f>+[52]A02!W$21</f>
        <v>21</v>
      </c>
      <c r="V28" s="388">
        <f>+[52]A02!X$21</f>
        <v>53</v>
      </c>
      <c r="W28" s="388">
        <f>+[52]A02!Y$21</f>
        <v>92</v>
      </c>
      <c r="X28" s="388">
        <f>+[52]A02!Z$21</f>
        <v>135</v>
      </c>
      <c r="Y28" s="388">
        <f>+[52]A02!AA$21</f>
        <v>106</v>
      </c>
      <c r="Z28" s="388">
        <f>+[52]A02!AB$21</f>
        <v>155</v>
      </c>
      <c r="AA28" s="388">
        <f>+[52]A02!AC$21</f>
        <v>71</v>
      </c>
      <c r="AB28" s="388">
        <f>+[52]A02!AD$21</f>
        <v>120</v>
      </c>
      <c r="AC28" s="388">
        <f>+[52]A02!AE$21</f>
        <v>102</v>
      </c>
      <c r="AD28" s="388">
        <f>+[52]A02!AF$21</f>
        <v>151</v>
      </c>
      <c r="AE28" s="388">
        <f t="shared" si="2"/>
        <v>644</v>
      </c>
      <c r="AF28" s="388">
        <f t="shared" si="3"/>
        <v>1332</v>
      </c>
      <c r="AG28" s="388">
        <f t="shared" si="4"/>
        <v>1976</v>
      </c>
      <c r="AH28" s="388">
        <v>6316</v>
      </c>
      <c r="AI28" s="389">
        <f t="shared" si="1"/>
        <v>16.228625712476248</v>
      </c>
    </row>
    <row r="29" spans="1:37" s="6" customFormat="1" ht="21" customHeight="1">
      <c r="A29" s="261"/>
      <c r="B29" s="211" t="s">
        <v>1051</v>
      </c>
      <c r="C29" s="388">
        <f>+[62]A02!E$21</f>
        <v>0</v>
      </c>
      <c r="D29" s="388">
        <f>+[62]A02!F$21</f>
        <v>0</v>
      </c>
      <c r="E29" s="388">
        <f>+[62]A02!G$21</f>
        <v>5</v>
      </c>
      <c r="F29" s="388">
        <f>+[62]A02!H$21</f>
        <v>1</v>
      </c>
      <c r="G29" s="388">
        <f>+[62]A02!I$21</f>
        <v>2</v>
      </c>
      <c r="H29" s="388">
        <f>+[62]A02!J$21</f>
        <v>5</v>
      </c>
      <c r="I29" s="388">
        <f>+[62]A02!K$21</f>
        <v>0</v>
      </c>
      <c r="J29" s="388">
        <f>+[62]A02!L$21</f>
        <v>5</v>
      </c>
      <c r="K29" s="388">
        <f>+[62]A02!M$21</f>
        <v>0</v>
      </c>
      <c r="L29" s="388">
        <f>+[62]A02!N$21</f>
        <v>3</v>
      </c>
      <c r="M29" s="388">
        <f>+[62]A02!O$21</f>
        <v>1</v>
      </c>
      <c r="N29" s="388">
        <f>+[62]A02!P$21</f>
        <v>6</v>
      </c>
      <c r="O29" s="388">
        <f>+[62]A02!Q$21</f>
        <v>0</v>
      </c>
      <c r="P29" s="388">
        <f>+[62]A02!R$21</f>
        <v>8</v>
      </c>
      <c r="Q29" s="388">
        <f>+[62]A02!S$21</f>
        <v>0</v>
      </c>
      <c r="R29" s="388">
        <f>+[62]A02!T$21</f>
        <v>7</v>
      </c>
      <c r="S29" s="388">
        <f>+[62]A02!U$21</f>
        <v>5</v>
      </c>
      <c r="T29" s="388">
        <f>+[62]A02!V$21</f>
        <v>5</v>
      </c>
      <c r="U29" s="388">
        <f>+[62]A02!W$21</f>
        <v>5</v>
      </c>
      <c r="V29" s="388">
        <f>+[62]A02!X$21</f>
        <v>3</v>
      </c>
      <c r="W29" s="388">
        <f>+[62]A02!Y$21</f>
        <v>13</v>
      </c>
      <c r="X29" s="388">
        <f>+[62]A02!Z$21</f>
        <v>16</v>
      </c>
      <c r="Y29" s="388">
        <f>+[62]A02!AA$21</f>
        <v>11</v>
      </c>
      <c r="Z29" s="388">
        <f>+[62]A02!AB$21</f>
        <v>20</v>
      </c>
      <c r="AA29" s="388">
        <f>+[62]A02!AC$21</f>
        <v>11</v>
      </c>
      <c r="AB29" s="388">
        <f>+[62]A02!AD$21</f>
        <v>16</v>
      </c>
      <c r="AC29" s="388">
        <f>+[62]A02!AE$21</f>
        <v>8</v>
      </c>
      <c r="AD29" s="388">
        <f>+[62]A02!AF$21</f>
        <v>22</v>
      </c>
      <c r="AE29" s="388">
        <f t="shared" si="2"/>
        <v>61</v>
      </c>
      <c r="AF29" s="388">
        <f t="shared" si="3"/>
        <v>117</v>
      </c>
      <c r="AG29" s="388">
        <f>SUM(AE29:AF29)</f>
        <v>178</v>
      </c>
      <c r="AH29" s="388">
        <v>674</v>
      </c>
      <c r="AI29" s="389">
        <f t="shared" si="1"/>
        <v>9.0504451038575677</v>
      </c>
    </row>
    <row r="30" spans="1:37" s="6" customFormat="1" ht="21" customHeight="1">
      <c r="A30" s="261"/>
      <c r="B30" s="243" t="s">
        <v>750</v>
      </c>
      <c r="C30" s="388">
        <f>+[63]A02!E$21</f>
        <v>0</v>
      </c>
      <c r="D30" s="388">
        <f>+[63]A02!F$21</f>
        <v>1</v>
      </c>
      <c r="E30" s="388">
        <f>+[63]A02!G$21</f>
        <v>2</v>
      </c>
      <c r="F30" s="388">
        <f>+[63]A02!H$21</f>
        <v>25</v>
      </c>
      <c r="G30" s="388">
        <f>+[63]A02!I$21</f>
        <v>7</v>
      </c>
      <c r="H30" s="388">
        <f>+[63]A02!J$21</f>
        <v>41</v>
      </c>
      <c r="I30" s="388">
        <f>+[63]A02!K$21</f>
        <v>6</v>
      </c>
      <c r="J30" s="388">
        <f>+[63]A02!L$21</f>
        <v>35</v>
      </c>
      <c r="K30" s="388">
        <f>+[63]A02!M$21</f>
        <v>2</v>
      </c>
      <c r="L30" s="388">
        <f>+[63]A02!N$21</f>
        <v>47</v>
      </c>
      <c r="M30" s="388">
        <f>+[63]A02!O$21</f>
        <v>8</v>
      </c>
      <c r="N30" s="388">
        <f>+[63]A02!P$21</f>
        <v>19</v>
      </c>
      <c r="O30" s="388">
        <f>+[63]A02!Q$21</f>
        <v>2</v>
      </c>
      <c r="P30" s="388">
        <f>+[63]A02!R$21</f>
        <v>18</v>
      </c>
      <c r="Q30" s="388">
        <f>+[63]A02!S$21</f>
        <v>4</v>
      </c>
      <c r="R30" s="388">
        <f>+[63]A02!T$21</f>
        <v>11</v>
      </c>
      <c r="S30" s="388">
        <f>+[63]A02!U$21</f>
        <v>2</v>
      </c>
      <c r="T30" s="388">
        <f>+[63]A02!V$21</f>
        <v>12</v>
      </c>
      <c r="U30" s="388">
        <f>+[63]A02!W$21</f>
        <v>1</v>
      </c>
      <c r="V30" s="388">
        <f>+[63]A02!X$21</f>
        <v>8</v>
      </c>
      <c r="W30" s="388">
        <f>+[63]A02!Y$21</f>
        <v>18</v>
      </c>
      <c r="X30" s="388">
        <f>+[63]A02!Z$21</f>
        <v>27</v>
      </c>
      <c r="Y30" s="388">
        <f>+[63]A02!AA$21</f>
        <v>17</v>
      </c>
      <c r="Z30" s="388">
        <f>+[63]A02!AB$21</f>
        <v>27</v>
      </c>
      <c r="AA30" s="388">
        <f>+[63]A02!AC$21</f>
        <v>15</v>
      </c>
      <c r="AB30" s="388">
        <f>+[63]A02!AD$21</f>
        <v>24</v>
      </c>
      <c r="AC30" s="388">
        <f>+[63]A02!AE$21</f>
        <v>27</v>
      </c>
      <c r="AD30" s="388">
        <f>+[63]A02!AF$21</f>
        <v>35</v>
      </c>
      <c r="AE30" s="388">
        <f t="shared" si="2"/>
        <v>111</v>
      </c>
      <c r="AF30" s="388">
        <f t="shared" si="3"/>
        <v>330</v>
      </c>
      <c r="AG30" s="388">
        <f t="shared" si="4"/>
        <v>441</v>
      </c>
      <c r="AH30" s="388">
        <v>1031</v>
      </c>
      <c r="AI30" s="389">
        <f t="shared" si="1"/>
        <v>24.248302618816684</v>
      </c>
    </row>
    <row r="31" spans="1:37" s="6" customFormat="1" ht="21" customHeight="1">
      <c r="A31" s="261" t="s">
        <v>579</v>
      </c>
      <c r="B31" s="243" t="s">
        <v>751</v>
      </c>
      <c r="C31" s="388">
        <f>+[64]A02!E$21</f>
        <v>0</v>
      </c>
      <c r="D31" s="388">
        <f>+[64]A02!F$21</f>
        <v>1</v>
      </c>
      <c r="E31" s="388">
        <f>+[64]A02!G$21</f>
        <v>21</v>
      </c>
      <c r="F31" s="388">
        <f>+[64]A02!H$21</f>
        <v>57</v>
      </c>
      <c r="G31" s="388">
        <f>+[64]A02!I$21</f>
        <v>22</v>
      </c>
      <c r="H31" s="388">
        <f>+[64]A02!J$21</f>
        <v>59</v>
      </c>
      <c r="I31" s="388">
        <f>+[64]A02!K$21</f>
        <v>31</v>
      </c>
      <c r="J31" s="388">
        <f>+[64]A02!L$21</f>
        <v>63</v>
      </c>
      <c r="K31" s="388">
        <f>+[64]A02!M$21</f>
        <v>27</v>
      </c>
      <c r="L31" s="388">
        <f>+[64]A02!N$21</f>
        <v>72</v>
      </c>
      <c r="M31" s="388">
        <f>+[64]A02!O$21</f>
        <v>28</v>
      </c>
      <c r="N31" s="388">
        <f>+[64]A02!P$21</f>
        <v>40</v>
      </c>
      <c r="O31" s="388">
        <f>+[64]A02!Q$21</f>
        <v>10</v>
      </c>
      <c r="P31" s="388">
        <f>+[64]A02!R$21</f>
        <v>56</v>
      </c>
      <c r="Q31" s="388">
        <f>+[64]A02!S$21</f>
        <v>17</v>
      </c>
      <c r="R31" s="388">
        <f>+[64]A02!T$21</f>
        <v>47</v>
      </c>
      <c r="S31" s="388">
        <f>+[64]A02!U$21</f>
        <v>24</v>
      </c>
      <c r="T31" s="388">
        <f>+[64]A02!V$21</f>
        <v>42</v>
      </c>
      <c r="U31" s="388">
        <f>+[64]A02!W$21</f>
        <v>9</v>
      </c>
      <c r="V31" s="388">
        <f>+[64]A02!X$21</f>
        <v>22</v>
      </c>
      <c r="W31" s="388">
        <f>+[64]A02!Y$21</f>
        <v>81</v>
      </c>
      <c r="X31" s="388">
        <f>+[64]A02!Z$21</f>
        <v>92</v>
      </c>
      <c r="Y31" s="388">
        <f>+[64]A02!AA$21</f>
        <v>64</v>
      </c>
      <c r="Z31" s="388">
        <f>+[64]A02!AB$21</f>
        <v>80</v>
      </c>
      <c r="AA31" s="388">
        <f>+[64]A02!AC$21</f>
        <v>56</v>
      </c>
      <c r="AB31" s="388">
        <f>+[64]A02!AD$21</f>
        <v>64</v>
      </c>
      <c r="AC31" s="388">
        <f>+[64]A02!AE$21</f>
        <v>51</v>
      </c>
      <c r="AD31" s="388">
        <f>+[64]A02!AF$21</f>
        <v>65</v>
      </c>
      <c r="AE31" s="388">
        <f t="shared" si="2"/>
        <v>441</v>
      </c>
      <c r="AF31" s="388">
        <f t="shared" si="3"/>
        <v>760</v>
      </c>
      <c r="AG31" s="388">
        <f t="shared" si="4"/>
        <v>1201</v>
      </c>
      <c r="AH31" s="388">
        <v>4154</v>
      </c>
      <c r="AI31" s="389">
        <f t="shared" si="1"/>
        <v>15.575349061145882</v>
      </c>
    </row>
    <row r="32" spans="1:37" s="6" customFormat="1" ht="21" customHeight="1">
      <c r="A32" s="261" t="s">
        <v>580</v>
      </c>
      <c r="B32" s="243" t="s">
        <v>585</v>
      </c>
      <c r="C32" s="388">
        <f>+[54]A02!E$21</f>
        <v>1</v>
      </c>
      <c r="D32" s="388">
        <f>+[54]A02!F$21</f>
        <v>2</v>
      </c>
      <c r="E32" s="388">
        <f>+[54]A02!G$21</f>
        <v>29</v>
      </c>
      <c r="F32" s="388">
        <f>+[54]A02!H$21</f>
        <v>76</v>
      </c>
      <c r="G32" s="388">
        <f>+[54]A02!I$21</f>
        <v>39</v>
      </c>
      <c r="H32" s="388">
        <f>+[54]A02!J$21</f>
        <v>97</v>
      </c>
      <c r="I32" s="388">
        <f>+[54]A02!K$21</f>
        <v>63</v>
      </c>
      <c r="J32" s="388">
        <f>+[54]A02!L$21</f>
        <v>119</v>
      </c>
      <c r="K32" s="388">
        <f>+[54]A02!M$21</f>
        <v>58</v>
      </c>
      <c r="L32" s="388">
        <f>+[54]A02!N$21</f>
        <v>105</v>
      </c>
      <c r="M32" s="388">
        <f>+[54]A02!O$21</f>
        <v>58</v>
      </c>
      <c r="N32" s="388">
        <f>+[54]A02!P$21</f>
        <v>129</v>
      </c>
      <c r="O32" s="388">
        <f>+[54]A02!Q$21</f>
        <v>54</v>
      </c>
      <c r="P32" s="388">
        <f>+[54]A02!R$21</f>
        <v>110</v>
      </c>
      <c r="Q32" s="388">
        <f>+[54]A02!S$21</f>
        <v>41</v>
      </c>
      <c r="R32" s="388">
        <f>+[54]A02!T$21</f>
        <v>114</v>
      </c>
      <c r="S32" s="388">
        <f>+[54]A02!U$21</f>
        <v>57</v>
      </c>
      <c r="T32" s="388">
        <f>+[54]A02!V$21</f>
        <v>90</v>
      </c>
      <c r="U32" s="388">
        <f>+[54]A02!W$21</f>
        <v>38</v>
      </c>
      <c r="V32" s="388">
        <f>+[54]A02!X$21</f>
        <v>64</v>
      </c>
      <c r="W32" s="388">
        <f>+[54]A02!Y$21</f>
        <v>96</v>
      </c>
      <c r="X32" s="388">
        <f>+[54]A02!Z$21</f>
        <v>179</v>
      </c>
      <c r="Y32" s="388">
        <f>+[54]A02!AA$21</f>
        <v>104</v>
      </c>
      <c r="Z32" s="388">
        <f>+[54]A02!AB$21</f>
        <v>130</v>
      </c>
      <c r="AA32" s="388">
        <f>+[54]A02!AC$21</f>
        <v>67</v>
      </c>
      <c r="AB32" s="388">
        <f>+[54]A02!AD$21</f>
        <v>115</v>
      </c>
      <c r="AC32" s="388">
        <f>+[54]A02!AE$21</f>
        <v>84</v>
      </c>
      <c r="AD32" s="388">
        <f>+[54]A02!AF$21</f>
        <v>100</v>
      </c>
      <c r="AE32" s="388">
        <f t="shared" si="2"/>
        <v>789</v>
      </c>
      <c r="AF32" s="388">
        <f t="shared" si="3"/>
        <v>1430</v>
      </c>
      <c r="AG32" s="388">
        <f t="shared" si="4"/>
        <v>2219</v>
      </c>
      <c r="AH32" s="388">
        <v>12792</v>
      </c>
      <c r="AI32" s="389">
        <f t="shared" si="1"/>
        <v>10.483114446529081</v>
      </c>
    </row>
    <row r="33" spans="1:35" s="6" customFormat="1" ht="21" customHeight="1">
      <c r="A33" s="261"/>
      <c r="B33" s="243" t="s">
        <v>753</v>
      </c>
      <c r="C33" s="388">
        <f>+[55]A02!E$21</f>
        <v>0</v>
      </c>
      <c r="D33" s="388">
        <f>+[55]A02!F$21</f>
        <v>0</v>
      </c>
      <c r="E33" s="388">
        <f>+[55]A02!G$21</f>
        <v>50</v>
      </c>
      <c r="F33" s="388">
        <f>+[55]A02!H$21</f>
        <v>96</v>
      </c>
      <c r="G33" s="388">
        <f>+[55]A02!I$21</f>
        <v>61</v>
      </c>
      <c r="H33" s="388">
        <f>+[55]A02!J$21</f>
        <v>110</v>
      </c>
      <c r="I33" s="388">
        <f>+[55]A02!K$21</f>
        <v>62</v>
      </c>
      <c r="J33" s="388">
        <f>+[55]A02!L$21</f>
        <v>126</v>
      </c>
      <c r="K33" s="388">
        <f>+[55]A02!M$21</f>
        <v>75</v>
      </c>
      <c r="L33" s="388">
        <f>+[55]A02!N$21</f>
        <v>129</v>
      </c>
      <c r="M33" s="388">
        <f>+[55]A02!O$21</f>
        <v>71</v>
      </c>
      <c r="N33" s="388">
        <f>+[55]A02!P$21</f>
        <v>120</v>
      </c>
      <c r="O33" s="388">
        <f>+[55]A02!Q$21</f>
        <v>43</v>
      </c>
      <c r="P33" s="388">
        <f>+[55]A02!R$21</f>
        <v>107</v>
      </c>
      <c r="Q33" s="388">
        <f>+[55]A02!S$21</f>
        <v>38</v>
      </c>
      <c r="R33" s="388">
        <f>+[55]A02!T$21</f>
        <v>76</v>
      </c>
      <c r="S33" s="388">
        <f>+[55]A02!U$21</f>
        <v>40</v>
      </c>
      <c r="T33" s="388">
        <f>+[55]A02!V$21</f>
        <v>73</v>
      </c>
      <c r="U33" s="388">
        <f>+[55]A02!W$21</f>
        <v>31</v>
      </c>
      <c r="V33" s="388">
        <f>+[55]A02!X$21</f>
        <v>45</v>
      </c>
      <c r="W33" s="388">
        <f>+[55]A02!Y$21</f>
        <v>115</v>
      </c>
      <c r="X33" s="388">
        <f>+[55]A02!Z$21</f>
        <v>172</v>
      </c>
      <c r="Y33" s="388">
        <f>+[55]A02!AA$21</f>
        <v>129</v>
      </c>
      <c r="Z33" s="388">
        <f>+[55]A02!AB$21</f>
        <v>151</v>
      </c>
      <c r="AA33" s="388">
        <f>+[55]A02!AC$21</f>
        <v>93</v>
      </c>
      <c r="AB33" s="388">
        <f>+[55]A02!AD$21</f>
        <v>126</v>
      </c>
      <c r="AC33" s="388">
        <f>+[55]A02!AE$21</f>
        <v>106</v>
      </c>
      <c r="AD33" s="388">
        <f>+[55]A02!AF$21</f>
        <v>168</v>
      </c>
      <c r="AE33" s="388">
        <f t="shared" si="2"/>
        <v>914</v>
      </c>
      <c r="AF33" s="388">
        <f t="shared" si="3"/>
        <v>1499</v>
      </c>
      <c r="AG33" s="388">
        <f>SUM(AE33:AF33)</f>
        <v>2413</v>
      </c>
      <c r="AH33" s="388">
        <v>7236</v>
      </c>
      <c r="AI33" s="389">
        <f t="shared" si="1"/>
        <v>18.698175787728026</v>
      </c>
    </row>
    <row r="34" spans="1:35" s="6" customFormat="1" ht="21" customHeight="1">
      <c r="A34" s="261" t="s">
        <v>581</v>
      </c>
      <c r="B34" s="211" t="s">
        <v>1039</v>
      </c>
      <c r="C34" s="388">
        <f>+[56]A02!E$21</f>
        <v>0</v>
      </c>
      <c r="D34" s="388">
        <f>+[56]A02!F$21</f>
        <v>0</v>
      </c>
      <c r="E34" s="388">
        <f>+[56]A02!G$21</f>
        <v>12</v>
      </c>
      <c r="F34" s="388">
        <f>+[56]A02!H$21</f>
        <v>20</v>
      </c>
      <c r="G34" s="388">
        <f>+[56]A02!I$21</f>
        <v>5</v>
      </c>
      <c r="H34" s="388">
        <f>+[56]A02!J$21</f>
        <v>25</v>
      </c>
      <c r="I34" s="388">
        <f>+[56]A02!K$21</f>
        <v>6</v>
      </c>
      <c r="J34" s="388">
        <f>+[56]A02!L$21</f>
        <v>20</v>
      </c>
      <c r="K34" s="388">
        <f>+[56]A02!M$21</f>
        <v>8</v>
      </c>
      <c r="L34" s="388">
        <f>+[56]A02!N$21</f>
        <v>30</v>
      </c>
      <c r="M34" s="388">
        <f>+[56]A02!O$21</f>
        <v>8</v>
      </c>
      <c r="N34" s="388">
        <f>+[56]A02!P$21</f>
        <v>21</v>
      </c>
      <c r="O34" s="388">
        <f>+[56]A02!Q$21</f>
        <v>12</v>
      </c>
      <c r="P34" s="388">
        <f>+[56]A02!R$21</f>
        <v>14</v>
      </c>
      <c r="Q34" s="388">
        <f>+[56]A02!S$21</f>
        <v>7</v>
      </c>
      <c r="R34" s="388">
        <f>+[56]A02!T$21</f>
        <v>15</v>
      </c>
      <c r="S34" s="388">
        <f>+[56]A02!U$21</f>
        <v>3</v>
      </c>
      <c r="T34" s="388">
        <f>+[56]A02!V$21</f>
        <v>6</v>
      </c>
      <c r="U34" s="388">
        <f>+[56]A02!W$21</f>
        <v>3</v>
      </c>
      <c r="V34" s="388">
        <f>+[56]A02!X$21</f>
        <v>3</v>
      </c>
      <c r="W34" s="388">
        <f>+[56]A02!Y$21</f>
        <v>10</v>
      </c>
      <c r="X34" s="388">
        <f>+[56]A02!Z$21</f>
        <v>15</v>
      </c>
      <c r="Y34" s="388">
        <f>+[56]A02!AA$21</f>
        <v>17</v>
      </c>
      <c r="Z34" s="388">
        <f>+[56]A02!AB$21</f>
        <v>14</v>
      </c>
      <c r="AA34" s="388">
        <f>+[56]A02!AC$21</f>
        <v>12</v>
      </c>
      <c r="AB34" s="388">
        <f>+[56]A02!AD$21</f>
        <v>15</v>
      </c>
      <c r="AC34" s="388">
        <f>+[56]A02!AE$21</f>
        <v>14</v>
      </c>
      <c r="AD34" s="388">
        <f>+[56]A02!AF$21</f>
        <v>15</v>
      </c>
      <c r="AE34" s="388">
        <f t="shared" si="2"/>
        <v>117</v>
      </c>
      <c r="AF34" s="388">
        <f t="shared" si="3"/>
        <v>213</v>
      </c>
      <c r="AG34" s="388">
        <f t="shared" si="4"/>
        <v>330</v>
      </c>
      <c r="AH34" s="388">
        <v>796</v>
      </c>
      <c r="AI34" s="389">
        <f t="shared" si="1"/>
        <v>27.386934673366838</v>
      </c>
    </row>
    <row r="35" spans="1:35" s="6" customFormat="1" ht="21" customHeight="1">
      <c r="A35" s="1139" t="s">
        <v>582</v>
      </c>
      <c r="B35" s="1101"/>
      <c r="C35" s="1363">
        <f t="shared" ref="C35:AH35" si="5">SUM(C10:C34)</f>
        <v>23</v>
      </c>
      <c r="D35" s="1363">
        <f t="shared" si="5"/>
        <v>60</v>
      </c>
      <c r="E35" s="1363">
        <f t="shared" si="5"/>
        <v>766</v>
      </c>
      <c r="F35" s="1363">
        <f t="shared" si="5"/>
        <v>2019</v>
      </c>
      <c r="G35" s="1363">
        <f t="shared" si="5"/>
        <v>808</v>
      </c>
      <c r="H35" s="1363">
        <f t="shared" si="5"/>
        <v>2325</v>
      </c>
      <c r="I35" s="1363">
        <f t="shared" si="5"/>
        <v>866</v>
      </c>
      <c r="J35" s="1363">
        <f t="shared" si="5"/>
        <v>2409</v>
      </c>
      <c r="K35" s="1363">
        <f t="shared" si="5"/>
        <v>833</v>
      </c>
      <c r="L35" s="1363">
        <f t="shared" si="5"/>
        <v>2102</v>
      </c>
      <c r="M35" s="1363">
        <f t="shared" si="5"/>
        <v>752</v>
      </c>
      <c r="N35" s="1363">
        <f t="shared" si="5"/>
        <v>1985</v>
      </c>
      <c r="O35" s="1363">
        <f t="shared" si="5"/>
        <v>691</v>
      </c>
      <c r="P35" s="1363">
        <f t="shared" si="5"/>
        <v>1713</v>
      </c>
      <c r="Q35" s="1363">
        <f t="shared" si="5"/>
        <v>648</v>
      </c>
      <c r="R35" s="1363">
        <f t="shared" si="5"/>
        <v>1516</v>
      </c>
      <c r="S35" s="1363">
        <f t="shared" si="5"/>
        <v>677</v>
      </c>
      <c r="T35" s="1363">
        <f t="shared" si="5"/>
        <v>1382</v>
      </c>
      <c r="U35" s="1363">
        <f t="shared" si="5"/>
        <v>535</v>
      </c>
      <c r="V35" s="1363">
        <f t="shared" si="5"/>
        <v>969</v>
      </c>
      <c r="W35" s="1363">
        <f t="shared" si="5"/>
        <v>1762</v>
      </c>
      <c r="X35" s="1363">
        <f t="shared" si="5"/>
        <v>2750</v>
      </c>
      <c r="Y35" s="1363">
        <f t="shared" si="5"/>
        <v>1805</v>
      </c>
      <c r="Z35" s="1363">
        <f t="shared" si="5"/>
        <v>2528</v>
      </c>
      <c r="AA35" s="1363">
        <f t="shared" si="5"/>
        <v>1469</v>
      </c>
      <c r="AB35" s="1363">
        <f t="shared" si="5"/>
        <v>2048</v>
      </c>
      <c r="AC35" s="1363">
        <f t="shared" si="5"/>
        <v>1483</v>
      </c>
      <c r="AD35" s="1363">
        <f t="shared" si="5"/>
        <v>2453</v>
      </c>
      <c r="AE35" s="1363">
        <f t="shared" si="5"/>
        <v>13118</v>
      </c>
      <c r="AF35" s="1364">
        <f t="shared" si="5"/>
        <v>26259</v>
      </c>
      <c r="AG35" s="1363">
        <f t="shared" si="5"/>
        <v>39377</v>
      </c>
      <c r="AH35" s="1363">
        <f t="shared" si="5"/>
        <v>130587</v>
      </c>
      <c r="AI35" s="1365">
        <f t="shared" si="1"/>
        <v>17.609716127945354</v>
      </c>
    </row>
    <row r="36" spans="1:35">
      <c r="A36" s="165"/>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53"/>
      <c r="AD36" s="153"/>
      <c r="AE36" s="153"/>
      <c r="AF36" s="153"/>
      <c r="AG36" s="153"/>
    </row>
    <row r="37" spans="1:35">
      <c r="A37" s="165"/>
      <c r="B37" s="10"/>
      <c r="C37" s="683"/>
      <c r="D37" s="683"/>
      <c r="E37" s="683"/>
      <c r="F37" s="683"/>
      <c r="G37" s="683"/>
      <c r="H37" s="683"/>
      <c r="I37" s="683"/>
      <c r="J37" s="683"/>
      <c r="K37" s="683"/>
      <c r="L37" s="683"/>
      <c r="M37" s="683"/>
      <c r="N37" s="683"/>
      <c r="O37" s="683"/>
      <c r="P37" s="683"/>
      <c r="Q37" s="683"/>
      <c r="R37" s="683"/>
      <c r="S37" s="683"/>
      <c r="T37" s="683"/>
      <c r="U37" s="683"/>
      <c r="V37" s="683"/>
      <c r="W37" s="683"/>
      <c r="X37" s="683"/>
      <c r="Y37" s="683"/>
      <c r="Z37" s="683"/>
      <c r="AA37" s="683"/>
      <c r="AB37" s="683"/>
      <c r="AC37" s="684"/>
      <c r="AD37" s="684"/>
      <c r="AE37" s="684"/>
      <c r="AF37" s="684"/>
      <c r="AG37" s="684"/>
      <c r="AH37" s="352"/>
    </row>
    <row r="38" spans="1:35">
      <c r="A38" s="165"/>
      <c r="B38" s="10"/>
      <c r="C38" s="685"/>
      <c r="D38" s="685"/>
      <c r="E38" s="685"/>
      <c r="F38" s="685"/>
      <c r="G38" s="685"/>
      <c r="H38" s="685"/>
      <c r="I38" s="685"/>
      <c r="J38" s="685"/>
      <c r="K38" s="685"/>
      <c r="L38" s="685"/>
      <c r="M38" s="685"/>
      <c r="N38" s="685"/>
      <c r="O38" s="685"/>
      <c r="P38" s="685"/>
      <c r="Q38" s="685"/>
      <c r="R38" s="685"/>
      <c r="S38" s="685"/>
      <c r="T38" s="685"/>
      <c r="U38" s="685"/>
      <c r="V38" s="685"/>
      <c r="W38" s="685"/>
      <c r="X38" s="685"/>
      <c r="Y38" s="685"/>
      <c r="Z38" s="685"/>
      <c r="AA38" s="685"/>
      <c r="AB38" s="685"/>
      <c r="AC38" s="685"/>
      <c r="AD38" s="685"/>
      <c r="AE38" s="686"/>
      <c r="AF38" s="686"/>
      <c r="AG38" s="686"/>
    </row>
    <row r="39" spans="1:35">
      <c r="A39" s="165"/>
      <c r="B39" s="10"/>
      <c r="C39" s="687"/>
      <c r="D39" s="687"/>
      <c r="E39" s="687"/>
      <c r="F39" s="687"/>
      <c r="G39" s="687"/>
      <c r="H39" s="687"/>
      <c r="I39" s="687"/>
      <c r="J39" s="687"/>
      <c r="K39" s="687"/>
      <c r="L39" s="687"/>
      <c r="M39" s="687"/>
      <c r="N39" s="687"/>
      <c r="O39" s="687"/>
      <c r="P39" s="687"/>
      <c r="Q39" s="687"/>
      <c r="R39" s="687"/>
      <c r="S39" s="687"/>
      <c r="T39" s="687"/>
      <c r="U39" s="687"/>
      <c r="V39" s="687"/>
      <c r="W39" s="687"/>
      <c r="X39" s="687"/>
      <c r="Y39" s="687"/>
      <c r="Z39" s="687"/>
      <c r="AA39" s="687"/>
      <c r="AB39" s="687"/>
      <c r="AC39" s="687"/>
      <c r="AD39" s="687"/>
      <c r="AE39" s="687"/>
      <c r="AF39" s="687"/>
      <c r="AG39" s="687"/>
    </row>
    <row r="40" spans="1:35">
      <c r="A40" s="165"/>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687"/>
      <c r="AF40" s="687"/>
      <c r="AG40" s="687"/>
    </row>
    <row r="41" spans="1:35">
      <c r="A41" s="165"/>
      <c r="B41" s="10"/>
      <c r="C41" s="10"/>
      <c r="D41" s="129"/>
      <c r="E41" s="129"/>
      <c r="F41" s="129"/>
      <c r="G41" s="129"/>
      <c r="H41" s="129"/>
      <c r="I41" s="129"/>
      <c r="J41" s="129"/>
      <c r="K41" s="129"/>
      <c r="L41" s="129"/>
      <c r="M41" s="129"/>
      <c r="N41" s="129"/>
      <c r="O41" s="129"/>
      <c r="P41" s="129"/>
      <c r="Q41" s="129"/>
      <c r="R41" s="129"/>
      <c r="S41" s="129"/>
      <c r="T41" s="129"/>
      <c r="U41" s="10"/>
      <c r="V41" s="10"/>
      <c r="W41" s="10"/>
      <c r="X41" s="10"/>
      <c r="Y41" s="10"/>
      <c r="Z41" s="10"/>
      <c r="AA41" s="10"/>
      <c r="AB41" s="10"/>
      <c r="AC41" s="10"/>
      <c r="AD41" s="10"/>
      <c r="AE41" s="687"/>
      <c r="AF41" s="687"/>
      <c r="AG41" s="687"/>
    </row>
    <row r="42" spans="1:35">
      <c r="A42" s="165"/>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687"/>
      <c r="AF42" s="687"/>
      <c r="AG42" s="687"/>
    </row>
    <row r="43" spans="1:35">
      <c r="A43" s="165"/>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65"/>
      <c r="Z43" s="165"/>
      <c r="AA43" s="165"/>
      <c r="AB43" s="165"/>
      <c r="AC43" s="165"/>
      <c r="AD43" s="165"/>
      <c r="AE43" s="687"/>
      <c r="AF43" s="687"/>
      <c r="AG43" s="687"/>
    </row>
    <row r="44" spans="1:35">
      <c r="A44" s="165"/>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65"/>
      <c r="Z44" s="165"/>
      <c r="AA44" s="165"/>
      <c r="AB44" s="165"/>
      <c r="AC44" s="165"/>
      <c r="AD44" s="165"/>
      <c r="AE44" s="687"/>
      <c r="AF44" s="687"/>
      <c r="AG44" s="687"/>
    </row>
    <row r="45" spans="1:35">
      <c r="A45" s="165"/>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c r="AA45" s="165"/>
      <c r="AB45" s="165"/>
      <c r="AC45" s="165"/>
      <c r="AD45" s="165"/>
      <c r="AE45" s="165"/>
      <c r="AF45" s="165"/>
      <c r="AG45" s="165"/>
    </row>
    <row r="46" spans="1:35">
      <c r="A46" s="165"/>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c r="Z46" s="165"/>
      <c r="AA46" s="165"/>
      <c r="AB46" s="165"/>
      <c r="AC46" s="165"/>
      <c r="AD46" s="165"/>
      <c r="AE46" s="165"/>
      <c r="AF46" s="165"/>
      <c r="AG46" s="165"/>
    </row>
    <row r="47" spans="1:35">
      <c r="A47" s="165"/>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65"/>
      <c r="Z47" s="165"/>
      <c r="AA47" s="165"/>
      <c r="AB47" s="165"/>
      <c r="AC47" s="165"/>
      <c r="AD47" s="165"/>
      <c r="AE47" s="165"/>
      <c r="AF47" s="165"/>
      <c r="AG47" s="165"/>
    </row>
    <row r="48" spans="1:35">
      <c r="A48" s="165"/>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E48" s="165"/>
      <c r="AF48" s="165"/>
      <c r="AG48" s="165"/>
    </row>
    <row r="49" spans="1:33">
      <c r="A49" s="165"/>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E49" s="165"/>
      <c r="AF49" s="165"/>
      <c r="AG49" s="165"/>
    </row>
    <row r="50" spans="1:33">
      <c r="A50" s="165"/>
      <c r="B50" s="165"/>
      <c r="C50" s="165"/>
      <c r="D50" s="165"/>
      <c r="E50" s="165"/>
      <c r="F50" s="165"/>
      <c r="G50" s="165"/>
      <c r="H50" s="165"/>
      <c r="I50" s="165"/>
      <c r="J50" s="165"/>
      <c r="K50" s="165"/>
      <c r="L50" s="165"/>
      <c r="M50" s="165"/>
      <c r="N50" s="165"/>
      <c r="O50" s="165"/>
      <c r="P50" s="165"/>
      <c r="Q50" s="165"/>
      <c r="R50" s="165"/>
      <c r="S50" s="165"/>
      <c r="T50" s="165"/>
      <c r="U50" s="165"/>
      <c r="V50" s="165"/>
      <c r="W50" s="165"/>
      <c r="X50" s="165"/>
      <c r="Y50" s="165"/>
      <c r="Z50" s="165"/>
      <c r="AA50" s="165"/>
      <c r="AB50" s="165"/>
      <c r="AC50" s="165"/>
      <c r="AD50" s="165"/>
      <c r="AE50" s="165"/>
      <c r="AF50" s="165"/>
      <c r="AG50" s="165"/>
    </row>
    <row r="51" spans="1:33">
      <c r="A51" s="165"/>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c r="AA51" s="165"/>
      <c r="AB51" s="165"/>
      <c r="AC51" s="165"/>
      <c r="AD51" s="165"/>
      <c r="AE51" s="165"/>
      <c r="AF51" s="165"/>
      <c r="AG51" s="165"/>
    </row>
    <row r="52" spans="1:33">
      <c r="A52" s="165"/>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c r="Z52" s="165"/>
      <c r="AA52" s="165"/>
      <c r="AB52" s="165"/>
      <c r="AC52" s="165"/>
      <c r="AD52" s="165"/>
      <c r="AE52" s="165"/>
      <c r="AF52" s="165"/>
      <c r="AG52" s="165"/>
    </row>
    <row r="53" spans="1:33">
      <c r="A53" s="165"/>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c r="AB53" s="165"/>
      <c r="AC53" s="165"/>
      <c r="AD53" s="165"/>
      <c r="AE53" s="165"/>
      <c r="AF53" s="165"/>
      <c r="AG53" s="165"/>
    </row>
    <row r="54" spans="1:33">
      <c r="A54" s="165"/>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c r="AF54" s="165"/>
      <c r="AG54" s="165"/>
    </row>
    <row r="55" spans="1:33">
      <c r="A55" s="165"/>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row>
    <row r="56" spans="1:33">
      <c r="A56" s="165"/>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c r="AD56" s="165"/>
      <c r="AE56" s="165"/>
      <c r="AF56" s="165"/>
      <c r="AG56" s="165"/>
    </row>
    <row r="57" spans="1:33">
      <c r="A57" s="165"/>
      <c r="B57" s="165"/>
      <c r="C57" s="165"/>
      <c r="D57" s="165"/>
      <c r="E57" s="165"/>
      <c r="F57" s="165"/>
      <c r="G57" s="165"/>
      <c r="H57" s="165"/>
      <c r="I57" s="165"/>
      <c r="J57" s="165"/>
      <c r="K57" s="165"/>
      <c r="L57" s="165"/>
      <c r="M57" s="165"/>
      <c r="N57" s="165"/>
      <c r="O57" s="165"/>
      <c r="P57" s="165"/>
      <c r="Q57" s="165"/>
      <c r="R57" s="165"/>
      <c r="S57" s="165"/>
      <c r="T57" s="165"/>
      <c r="U57" s="165"/>
      <c r="V57" s="165"/>
      <c r="W57" s="165"/>
      <c r="X57" s="165"/>
      <c r="Y57" s="165"/>
      <c r="Z57" s="165"/>
      <c r="AA57" s="165"/>
      <c r="AB57" s="165"/>
      <c r="AC57" s="165"/>
      <c r="AD57" s="165"/>
      <c r="AE57" s="165"/>
      <c r="AF57" s="165"/>
      <c r="AG57" s="165"/>
    </row>
    <row r="58" spans="1:33">
      <c r="A58" s="165"/>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row>
    <row r="59" spans="1:33">
      <c r="A59" s="165"/>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5"/>
      <c r="AF59" s="165"/>
      <c r="AG59" s="165"/>
    </row>
    <row r="60" spans="1:33">
      <c r="A60" s="165"/>
      <c r="B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c r="Z60" s="165"/>
      <c r="AA60" s="165"/>
      <c r="AB60" s="165"/>
      <c r="AC60" s="165"/>
      <c r="AD60" s="165"/>
      <c r="AE60" s="165"/>
      <c r="AF60" s="165"/>
      <c r="AG60" s="165"/>
    </row>
    <row r="61" spans="1:33">
      <c r="A61" s="165"/>
      <c r="B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row>
    <row r="62" spans="1:33">
      <c r="A62" s="165"/>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c r="AA62" s="165"/>
      <c r="AB62" s="165"/>
      <c r="AC62" s="165"/>
      <c r="AD62" s="165"/>
      <c r="AE62" s="165"/>
      <c r="AF62" s="165"/>
      <c r="AG62" s="165"/>
    </row>
    <row r="63" spans="1:33">
      <c r="A63" s="165"/>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c r="AA63" s="165"/>
      <c r="AB63" s="165"/>
      <c r="AC63" s="165"/>
      <c r="AD63" s="165"/>
      <c r="AE63" s="165"/>
      <c r="AF63" s="165"/>
      <c r="AG63" s="165"/>
    </row>
    <row r="64" spans="1:33">
      <c r="A64" s="165"/>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c r="Z64" s="165"/>
      <c r="AA64" s="165"/>
      <c r="AB64" s="165"/>
      <c r="AC64" s="165"/>
      <c r="AD64" s="165"/>
      <c r="AE64" s="165"/>
      <c r="AF64" s="165"/>
      <c r="AG64" s="165"/>
    </row>
    <row r="65" spans="1:33">
      <c r="A65" s="165"/>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c r="AA65" s="165"/>
      <c r="AB65" s="165"/>
      <c r="AC65" s="165"/>
      <c r="AD65" s="165"/>
      <c r="AE65" s="165"/>
      <c r="AF65" s="165"/>
      <c r="AG65" s="165"/>
    </row>
    <row r="66" spans="1:33">
      <c r="A66" s="165"/>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row>
    <row r="67" spans="1:33">
      <c r="A67" s="165"/>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c r="AA67" s="165"/>
      <c r="AB67" s="165"/>
      <c r="AC67" s="165"/>
      <c r="AD67" s="165"/>
      <c r="AE67" s="165"/>
      <c r="AF67" s="165"/>
      <c r="AG67" s="165"/>
    </row>
    <row r="68" spans="1:33">
      <c r="A68" s="165"/>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c r="Z68" s="165"/>
      <c r="AA68" s="165"/>
      <c r="AB68" s="165"/>
      <c r="AC68" s="165"/>
      <c r="AD68" s="165"/>
      <c r="AE68" s="165"/>
      <c r="AF68" s="165"/>
      <c r="AG68" s="165"/>
    </row>
    <row r="69" spans="1:33">
      <c r="A69" s="165"/>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c r="Z69" s="165"/>
      <c r="AA69" s="165"/>
      <c r="AB69" s="165"/>
      <c r="AC69" s="165"/>
      <c r="AD69" s="165"/>
      <c r="AE69" s="165"/>
      <c r="AF69" s="165"/>
      <c r="AG69" s="165"/>
    </row>
    <row r="70" spans="1:33">
      <c r="A70" s="165"/>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5"/>
      <c r="AE70" s="165"/>
      <c r="AF70" s="165"/>
      <c r="AG70" s="165"/>
    </row>
    <row r="71" spans="1:33">
      <c r="A71" s="165"/>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c r="Z71" s="165"/>
      <c r="AA71" s="165"/>
      <c r="AB71" s="165"/>
      <c r="AC71" s="165"/>
      <c r="AD71" s="165"/>
      <c r="AE71" s="165"/>
      <c r="AF71" s="165"/>
      <c r="AG71" s="165"/>
    </row>
    <row r="72" spans="1:33">
      <c r="A72" s="165"/>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c r="Z72" s="165"/>
      <c r="AA72" s="165"/>
      <c r="AB72" s="165"/>
      <c r="AC72" s="165"/>
      <c r="AD72" s="165"/>
      <c r="AE72" s="165"/>
      <c r="AF72" s="165"/>
      <c r="AG72" s="165"/>
    </row>
    <row r="73" spans="1:33">
      <c r="A73" s="165"/>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c r="Z73" s="165"/>
      <c r="AA73" s="165"/>
      <c r="AB73" s="165"/>
      <c r="AC73" s="165"/>
      <c r="AD73" s="165"/>
      <c r="AE73" s="165"/>
      <c r="AF73" s="165"/>
      <c r="AG73" s="165"/>
    </row>
    <row r="74" spans="1:33">
      <c r="A74" s="165"/>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c r="Z74" s="165"/>
      <c r="AA74" s="165"/>
      <c r="AB74" s="165"/>
      <c r="AC74" s="165"/>
      <c r="AD74" s="165"/>
      <c r="AE74" s="165"/>
      <c r="AF74" s="165"/>
      <c r="AG74" s="165"/>
    </row>
    <row r="75" spans="1:33">
      <c r="A75" s="165"/>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c r="Z75" s="165"/>
      <c r="AA75" s="165"/>
      <c r="AB75" s="165"/>
      <c r="AC75" s="165"/>
      <c r="AD75" s="165"/>
      <c r="AE75" s="165"/>
      <c r="AF75" s="165"/>
      <c r="AG75" s="165"/>
    </row>
    <row r="76" spans="1:33">
      <c r="A76" s="165"/>
      <c r="B76" s="165"/>
      <c r="C76" s="165"/>
      <c r="D76" s="165"/>
      <c r="E76" s="165"/>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C76" s="165"/>
      <c r="AD76" s="165"/>
      <c r="AE76" s="165"/>
      <c r="AF76" s="165"/>
      <c r="AG76" s="165"/>
    </row>
    <row r="77" spans="1:33">
      <c r="A77" s="165"/>
      <c r="B77" s="165"/>
      <c r="C77" s="165"/>
      <c r="D77" s="165"/>
      <c r="E77" s="165"/>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165"/>
      <c r="AD77" s="165"/>
      <c r="AE77" s="165"/>
      <c r="AF77" s="165"/>
      <c r="AG77" s="165"/>
    </row>
    <row r="78" spans="1:33">
      <c r="A78" s="165"/>
      <c r="B78" s="165"/>
      <c r="C78" s="165"/>
      <c r="D78" s="165"/>
      <c r="E78" s="165"/>
      <c r="F78" s="165"/>
      <c r="G78" s="165"/>
      <c r="H78" s="165"/>
      <c r="I78" s="165"/>
      <c r="J78" s="165"/>
      <c r="K78" s="165"/>
      <c r="L78" s="165"/>
      <c r="M78" s="165"/>
      <c r="N78" s="165"/>
      <c r="O78" s="165"/>
      <c r="P78" s="165"/>
      <c r="Q78" s="165"/>
      <c r="R78" s="165"/>
      <c r="S78" s="165"/>
      <c r="T78" s="165"/>
      <c r="U78" s="165"/>
      <c r="V78" s="165"/>
      <c r="W78" s="165"/>
      <c r="X78" s="165"/>
      <c r="Y78" s="165"/>
      <c r="Z78" s="165"/>
      <c r="AA78" s="165"/>
      <c r="AB78" s="165"/>
      <c r="AC78" s="165"/>
      <c r="AD78" s="165"/>
      <c r="AE78" s="165"/>
      <c r="AF78" s="165"/>
      <c r="AG78" s="165"/>
    </row>
    <row r="79" spans="1:33">
      <c r="A79" s="165"/>
      <c r="B79" s="165"/>
      <c r="C79" s="165"/>
      <c r="D79" s="165"/>
      <c r="E79" s="165"/>
      <c r="F79" s="165"/>
      <c r="G79" s="165"/>
      <c r="H79" s="165"/>
      <c r="I79" s="165"/>
      <c r="J79" s="165"/>
      <c r="K79" s="165"/>
      <c r="L79" s="165"/>
      <c r="M79" s="165"/>
      <c r="N79" s="165"/>
      <c r="O79" s="165"/>
      <c r="P79" s="165"/>
      <c r="Q79" s="165"/>
      <c r="R79" s="165"/>
      <c r="S79" s="165"/>
      <c r="T79" s="165"/>
      <c r="U79" s="165"/>
      <c r="V79" s="165"/>
      <c r="W79" s="165"/>
      <c r="X79" s="165"/>
      <c r="Y79" s="165"/>
      <c r="Z79" s="165"/>
      <c r="AA79" s="165"/>
      <c r="AB79" s="165"/>
      <c r="AC79" s="165"/>
      <c r="AD79" s="165"/>
      <c r="AE79" s="165"/>
      <c r="AF79" s="165"/>
      <c r="AG79" s="165"/>
    </row>
    <row r="80" spans="1:33">
      <c r="A80" s="165"/>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c r="Z80" s="165"/>
      <c r="AA80" s="165"/>
      <c r="AB80" s="165"/>
      <c r="AC80" s="165"/>
      <c r="AD80" s="165"/>
      <c r="AE80" s="165"/>
      <c r="AF80" s="165"/>
      <c r="AG80" s="165"/>
    </row>
    <row r="81" spans="1:33">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c r="AA81" s="165"/>
      <c r="AB81" s="165"/>
      <c r="AC81" s="165"/>
      <c r="AD81" s="165"/>
      <c r="AE81" s="165"/>
      <c r="AF81" s="165"/>
      <c r="AG81" s="165"/>
    </row>
    <row r="82" spans="1:33">
      <c r="A82" s="165"/>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c r="AA82" s="165"/>
      <c r="AB82" s="165"/>
      <c r="AC82" s="165"/>
      <c r="AD82" s="165"/>
      <c r="AE82" s="165"/>
      <c r="AF82" s="165"/>
      <c r="AG82" s="165"/>
    </row>
    <row r="83" spans="1:33">
      <c r="A83" s="165"/>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row>
    <row r="84" spans="1:33">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c r="Z84" s="165"/>
      <c r="AA84" s="165"/>
      <c r="AB84" s="165"/>
      <c r="AC84" s="165"/>
      <c r="AD84" s="165"/>
      <c r="AE84" s="165"/>
      <c r="AF84" s="165"/>
      <c r="AG84" s="165"/>
    </row>
    <row r="85" spans="1:33">
      <c r="A85" s="165"/>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c r="Z85" s="165"/>
      <c r="AA85" s="165"/>
      <c r="AB85" s="165"/>
      <c r="AC85" s="165"/>
      <c r="AD85" s="165"/>
      <c r="AE85" s="165"/>
      <c r="AF85" s="165"/>
      <c r="AG85" s="165"/>
    </row>
    <row r="86" spans="1:33">
      <c r="A86" s="165"/>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c r="Z86" s="165"/>
      <c r="AA86" s="165"/>
      <c r="AB86" s="165"/>
      <c r="AC86" s="165"/>
      <c r="AD86" s="165"/>
      <c r="AE86" s="165"/>
      <c r="AF86" s="165"/>
      <c r="AG86" s="165"/>
    </row>
    <row r="87" spans="1:33">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c r="Y87" s="165"/>
      <c r="Z87" s="165"/>
      <c r="AA87" s="165"/>
      <c r="AB87" s="165"/>
      <c r="AC87" s="165"/>
      <c r="AD87" s="165"/>
      <c r="AE87" s="165"/>
      <c r="AF87" s="165"/>
      <c r="AG87" s="165"/>
    </row>
    <row r="88" spans="1:33">
      <c r="A88" s="165"/>
      <c r="B88" s="165"/>
      <c r="C88" s="165"/>
      <c r="D88" s="165"/>
      <c r="E88" s="165"/>
      <c r="F88" s="165"/>
      <c r="G88" s="165"/>
      <c r="H88" s="165"/>
      <c r="I88" s="165"/>
      <c r="J88" s="165"/>
      <c r="K88" s="165"/>
      <c r="L88" s="165"/>
      <c r="M88" s="165"/>
      <c r="N88" s="165"/>
      <c r="O88" s="165"/>
      <c r="P88" s="165"/>
      <c r="Q88" s="165"/>
      <c r="R88" s="165"/>
      <c r="S88" s="165"/>
      <c r="T88" s="165"/>
      <c r="U88" s="165"/>
      <c r="V88" s="165"/>
      <c r="W88" s="165"/>
      <c r="X88" s="165"/>
      <c r="Y88" s="165"/>
      <c r="Z88" s="165"/>
      <c r="AA88" s="165"/>
      <c r="AB88" s="165"/>
      <c r="AC88" s="165"/>
      <c r="AD88" s="165"/>
      <c r="AE88" s="165"/>
      <c r="AF88" s="165"/>
      <c r="AG88" s="165"/>
    </row>
    <row r="89" spans="1:33">
      <c r="A89" s="165"/>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c r="AA89" s="165"/>
      <c r="AB89" s="165"/>
      <c r="AC89" s="165"/>
      <c r="AD89" s="165"/>
      <c r="AE89" s="165"/>
      <c r="AF89" s="165"/>
      <c r="AG89" s="165"/>
    </row>
    <row r="90" spans="1:33">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c r="AA90" s="165"/>
      <c r="AB90" s="165"/>
      <c r="AC90" s="165"/>
      <c r="AD90" s="165"/>
      <c r="AE90" s="165"/>
      <c r="AF90" s="165"/>
      <c r="AG90" s="165"/>
    </row>
    <row r="91" spans="1:33">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c r="Y91" s="165"/>
      <c r="Z91" s="165"/>
      <c r="AA91" s="165"/>
      <c r="AB91" s="165"/>
      <c r="AC91" s="165"/>
      <c r="AD91" s="165"/>
      <c r="AE91" s="165"/>
      <c r="AF91" s="165"/>
      <c r="AG91" s="165"/>
    </row>
    <row r="92" spans="1:33">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c r="Y92" s="165"/>
      <c r="Z92" s="165"/>
      <c r="AA92" s="165"/>
      <c r="AB92" s="165"/>
      <c r="AC92" s="165"/>
      <c r="AD92" s="165"/>
      <c r="AE92" s="165"/>
      <c r="AF92" s="165"/>
      <c r="AG92" s="165"/>
    </row>
    <row r="93" spans="1:33">
      <c r="A93" s="165"/>
      <c r="B93" s="165"/>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c r="AA93" s="165"/>
      <c r="AB93" s="165"/>
      <c r="AC93" s="165"/>
      <c r="AD93" s="165"/>
      <c r="AE93" s="165"/>
      <c r="AF93" s="165"/>
      <c r="AG93" s="165"/>
    </row>
    <row r="94" spans="1:33">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c r="AA94" s="165"/>
      <c r="AB94" s="165"/>
      <c r="AC94" s="165"/>
      <c r="AD94" s="165"/>
      <c r="AE94" s="165"/>
      <c r="AF94" s="165"/>
      <c r="AG94" s="165"/>
    </row>
    <row r="95" spans="1:33">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c r="AA95" s="165"/>
      <c r="AB95" s="165"/>
      <c r="AC95" s="165"/>
      <c r="AD95" s="165"/>
      <c r="AE95" s="165"/>
      <c r="AF95" s="165"/>
      <c r="AG95" s="165"/>
    </row>
    <row r="96" spans="1:33">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c r="AA96" s="165"/>
      <c r="AB96" s="165"/>
      <c r="AC96" s="165"/>
      <c r="AD96" s="165"/>
      <c r="AE96" s="165"/>
      <c r="AF96" s="165"/>
      <c r="AG96" s="165"/>
    </row>
    <row r="97" spans="1:33">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c r="AA97" s="165"/>
      <c r="AB97" s="165"/>
      <c r="AC97" s="165"/>
      <c r="AD97" s="165"/>
      <c r="AE97" s="165"/>
      <c r="AF97" s="165"/>
      <c r="AG97" s="165"/>
    </row>
    <row r="98" spans="1:33">
      <c r="A98" s="165"/>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c r="AA98" s="165"/>
      <c r="AB98" s="165"/>
      <c r="AC98" s="165"/>
      <c r="AD98" s="165"/>
      <c r="AE98" s="165"/>
      <c r="AF98" s="165"/>
      <c r="AG98" s="165"/>
    </row>
    <row r="99" spans="1:33">
      <c r="A99" s="165"/>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c r="AA99" s="165"/>
      <c r="AB99" s="165"/>
      <c r="AC99" s="165"/>
      <c r="AD99" s="165"/>
      <c r="AE99" s="165"/>
      <c r="AF99" s="165"/>
      <c r="AG99" s="165"/>
    </row>
    <row r="100" spans="1:33">
      <c r="A100" s="165"/>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row>
    <row r="101" spans="1:33">
      <c r="A101" s="165"/>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c r="AA101" s="165"/>
      <c r="AB101" s="165"/>
      <c r="AC101" s="165"/>
      <c r="AD101" s="165"/>
      <c r="AE101" s="165"/>
      <c r="AF101" s="165"/>
      <c r="AG101" s="165"/>
    </row>
    <row r="102" spans="1:33">
      <c r="A102" s="165"/>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row>
    <row r="103" spans="1:33">
      <c r="A103" s="165"/>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c r="AA103" s="165"/>
      <c r="AB103" s="165"/>
      <c r="AC103" s="165"/>
      <c r="AD103" s="165"/>
      <c r="AE103" s="165"/>
      <c r="AF103" s="165"/>
      <c r="AG103" s="165"/>
    </row>
    <row r="104" spans="1:33">
      <c r="A104" s="165"/>
      <c r="B104" s="165"/>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c r="AA104" s="165"/>
      <c r="AB104" s="165"/>
      <c r="AC104" s="165"/>
      <c r="AD104" s="165"/>
      <c r="AE104" s="165"/>
      <c r="AF104" s="165"/>
      <c r="AG104" s="165"/>
    </row>
    <row r="105" spans="1:33">
      <c r="A105" s="165"/>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c r="AA105" s="165"/>
      <c r="AB105" s="165"/>
      <c r="AC105" s="165"/>
      <c r="AD105" s="165"/>
      <c r="AE105" s="165"/>
      <c r="AF105" s="165"/>
      <c r="AG105" s="165"/>
    </row>
    <row r="106" spans="1:33">
      <c r="A106" s="165"/>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c r="AA106" s="165"/>
      <c r="AB106" s="165"/>
      <c r="AC106" s="165"/>
      <c r="AD106" s="165"/>
      <c r="AE106" s="165"/>
      <c r="AF106" s="165"/>
      <c r="AG106" s="165"/>
    </row>
    <row r="107" spans="1:33">
      <c r="A107" s="165"/>
      <c r="B107" s="165"/>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c r="AA107" s="165"/>
      <c r="AB107" s="165"/>
      <c r="AC107" s="165"/>
      <c r="AD107" s="165"/>
      <c r="AE107" s="165"/>
      <c r="AF107" s="165"/>
      <c r="AG107" s="165"/>
    </row>
    <row r="108" spans="1:33">
      <c r="A108" s="165"/>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c r="AA108" s="165"/>
      <c r="AB108" s="165"/>
      <c r="AC108" s="165"/>
      <c r="AD108" s="165"/>
      <c r="AE108" s="165"/>
      <c r="AF108" s="165"/>
      <c r="AG108" s="165"/>
    </row>
    <row r="109" spans="1:33">
      <c r="A109" s="165"/>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5"/>
      <c r="AG109" s="165"/>
    </row>
    <row r="110" spans="1:33">
      <c r="A110" s="165"/>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c r="AA110" s="165"/>
      <c r="AB110" s="165"/>
      <c r="AC110" s="165"/>
      <c r="AD110" s="165"/>
      <c r="AE110" s="165"/>
      <c r="AF110" s="165"/>
      <c r="AG110" s="165"/>
    </row>
    <row r="111" spans="1:33">
      <c r="A111" s="165"/>
      <c r="B111" s="165"/>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c r="AA111" s="165"/>
      <c r="AB111" s="165"/>
      <c r="AC111" s="165"/>
      <c r="AD111" s="165"/>
      <c r="AE111" s="165"/>
      <c r="AF111" s="165"/>
      <c r="AG111" s="165"/>
    </row>
    <row r="112" spans="1:33">
      <c r="A112" s="165"/>
      <c r="B112" s="165"/>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c r="AA112" s="165"/>
      <c r="AB112" s="165"/>
      <c r="AC112" s="165"/>
      <c r="AD112" s="165"/>
      <c r="AE112" s="165"/>
      <c r="AF112" s="165"/>
      <c r="AG112" s="165"/>
    </row>
    <row r="113" spans="1:33">
      <c r="A113" s="165"/>
      <c r="B113" s="165"/>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c r="AA113" s="165"/>
      <c r="AB113" s="165"/>
      <c r="AC113" s="165"/>
      <c r="AD113" s="165"/>
      <c r="AE113" s="165"/>
      <c r="AF113" s="165"/>
      <c r="AG113" s="165"/>
    </row>
    <row r="114" spans="1:33">
      <c r="A114" s="165"/>
      <c r="B114" s="165"/>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c r="AA114" s="165"/>
      <c r="AB114" s="165"/>
      <c r="AC114" s="165"/>
      <c r="AD114" s="165"/>
      <c r="AE114" s="165"/>
      <c r="AF114" s="165"/>
      <c r="AG114" s="165"/>
    </row>
    <row r="115" spans="1:33">
      <c r="A115" s="165"/>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c r="AA115" s="165"/>
      <c r="AB115" s="165"/>
      <c r="AC115" s="165"/>
      <c r="AD115" s="165"/>
      <c r="AE115" s="165"/>
      <c r="AF115" s="165"/>
      <c r="AG115" s="165"/>
    </row>
    <row r="116" spans="1:33">
      <c r="A116" s="165"/>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c r="AA116" s="165"/>
      <c r="AB116" s="165"/>
      <c r="AC116" s="165"/>
      <c r="AD116" s="165"/>
      <c r="AE116" s="165"/>
      <c r="AF116" s="165"/>
      <c r="AG116" s="165"/>
    </row>
    <row r="117" spans="1:33">
      <c r="A117" s="165"/>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c r="AA117" s="165"/>
      <c r="AB117" s="165"/>
      <c r="AC117" s="165"/>
      <c r="AD117" s="165"/>
      <c r="AE117" s="165"/>
      <c r="AF117" s="165"/>
      <c r="AG117" s="165"/>
    </row>
    <row r="118" spans="1:33">
      <c r="A118" s="165"/>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c r="AA118" s="165"/>
      <c r="AB118" s="165"/>
      <c r="AC118" s="165"/>
      <c r="AD118" s="165"/>
      <c r="AE118" s="165"/>
      <c r="AF118" s="165"/>
      <c r="AG118" s="165"/>
    </row>
    <row r="119" spans="1:33">
      <c r="A119" s="165"/>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65"/>
      <c r="AD119" s="165"/>
      <c r="AE119" s="165"/>
      <c r="AF119" s="165"/>
      <c r="AG119" s="165"/>
    </row>
    <row r="120" spans="1:33">
      <c r="A120" s="165"/>
      <c r="B120" s="165"/>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c r="AA120" s="165"/>
      <c r="AB120" s="165"/>
      <c r="AC120" s="165"/>
      <c r="AD120" s="165"/>
      <c r="AE120" s="165"/>
      <c r="AF120" s="165"/>
      <c r="AG120" s="165"/>
    </row>
    <row r="121" spans="1:33">
      <c r="A121" s="165"/>
      <c r="B121" s="165"/>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c r="AA121" s="165"/>
      <c r="AB121" s="165"/>
      <c r="AC121" s="165"/>
      <c r="AD121" s="165"/>
      <c r="AE121" s="165"/>
      <c r="AF121" s="165"/>
      <c r="AG121" s="165"/>
    </row>
    <row r="122" spans="1:33">
      <c r="A122" s="165"/>
      <c r="B122" s="165"/>
      <c r="C122" s="165"/>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c r="AA122" s="165"/>
      <c r="AB122" s="165"/>
      <c r="AC122" s="165"/>
      <c r="AD122" s="165"/>
      <c r="AE122" s="165"/>
      <c r="AF122" s="165"/>
      <c r="AG122" s="165"/>
    </row>
    <row r="123" spans="1:33">
      <c r="A123" s="165"/>
      <c r="B123" s="165"/>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c r="AA123" s="165"/>
      <c r="AB123" s="165"/>
      <c r="AC123" s="165"/>
      <c r="AD123" s="165"/>
      <c r="AE123" s="165"/>
      <c r="AF123" s="165"/>
      <c r="AG123" s="165"/>
    </row>
    <row r="124" spans="1:33">
      <c r="A124" s="165"/>
      <c r="B124" s="165"/>
      <c r="C124" s="165"/>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c r="AA124" s="165"/>
      <c r="AB124" s="165"/>
      <c r="AC124" s="165"/>
      <c r="AD124" s="165"/>
      <c r="AE124" s="165"/>
      <c r="AF124" s="165"/>
      <c r="AG124" s="165"/>
    </row>
    <row r="125" spans="1:33">
      <c r="A125" s="165"/>
      <c r="B125" s="165"/>
      <c r="C125" s="165"/>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c r="AA125" s="165"/>
      <c r="AB125" s="165"/>
      <c r="AC125" s="165"/>
      <c r="AD125" s="165"/>
      <c r="AE125" s="165"/>
      <c r="AF125" s="165"/>
      <c r="AG125" s="165"/>
    </row>
    <row r="126" spans="1:33">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c r="AA126" s="165"/>
      <c r="AB126" s="165"/>
      <c r="AC126" s="165"/>
      <c r="AD126" s="165"/>
      <c r="AE126" s="165"/>
      <c r="AF126" s="165"/>
      <c r="AG126" s="165"/>
    </row>
    <row r="127" spans="1:33">
      <c r="A127" s="165"/>
      <c r="B127" s="165"/>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c r="AA127" s="165"/>
      <c r="AB127" s="165"/>
      <c r="AC127" s="165"/>
      <c r="AD127" s="165"/>
      <c r="AE127" s="165"/>
      <c r="AF127" s="165"/>
      <c r="AG127" s="165"/>
    </row>
    <row r="128" spans="1:33">
      <c r="A128" s="165"/>
      <c r="B128" s="165"/>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c r="AG128" s="165"/>
    </row>
  </sheetData>
  <mergeCells count="18">
    <mergeCell ref="AA8:AB8"/>
    <mergeCell ref="A1:AI1"/>
    <mergeCell ref="A2:AI2"/>
    <mergeCell ref="A3:AI3"/>
    <mergeCell ref="AC8:AD8"/>
    <mergeCell ref="AE8:AF8"/>
    <mergeCell ref="C8:D8"/>
    <mergeCell ref="E8:F8"/>
    <mergeCell ref="M8:N8"/>
    <mergeCell ref="U8:V8"/>
    <mergeCell ref="G8:H8"/>
    <mergeCell ref="I8:J8"/>
    <mergeCell ref="K8:L8"/>
    <mergeCell ref="O8:P8"/>
    <mergeCell ref="Q8:R8"/>
    <mergeCell ref="S8:T8"/>
    <mergeCell ref="W8:X8"/>
    <mergeCell ref="Y8:Z8"/>
  </mergeCells>
  <phoneticPr fontId="18" type="noConversion"/>
  <pageMargins left="0.59055118110236227" right="0" top="1.1811023622047245" bottom="0.98425196850393704" header="0.51181102362204722" footer="0.51181102362204722"/>
  <pageSetup paperSize="5" scale="85" orientation="landscape" horizontalDpi="300" verticalDpi="300" r:id="rId1"/>
  <headerFooter alignWithMargins="0"/>
  <ignoredErrors>
    <ignoredError sqref="AE11:AF11" formula="1"/>
  </ignoredError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Z58"/>
  <sheetViews>
    <sheetView topLeftCell="A4" zoomScale="75" workbookViewId="0">
      <selection activeCell="U12" sqref="U12"/>
    </sheetView>
  </sheetViews>
  <sheetFormatPr baseColWidth="10" defaultRowHeight="12.75"/>
  <cols>
    <col min="1" max="1" width="48.7109375" customWidth="1"/>
    <col min="2" max="3" width="9.28515625" customWidth="1"/>
    <col min="4" max="4" width="11" customWidth="1"/>
    <col min="5" max="22" width="9.28515625" customWidth="1"/>
    <col min="23" max="23" width="9.7109375" customWidth="1"/>
  </cols>
  <sheetData>
    <row r="1" spans="1:26">
      <c r="A1" s="1615" t="s">
        <v>1017</v>
      </c>
      <c r="B1" s="1615"/>
      <c r="C1" s="1615"/>
      <c r="D1" s="1615"/>
      <c r="E1" s="1615"/>
      <c r="F1" s="1615"/>
      <c r="G1" s="1615"/>
      <c r="H1" s="1615"/>
      <c r="I1" s="1615"/>
      <c r="J1" s="1615"/>
      <c r="K1" s="1615"/>
      <c r="L1" s="1615"/>
      <c r="M1" s="1615"/>
      <c r="N1" s="1615"/>
      <c r="O1" s="1615"/>
      <c r="P1" s="1615"/>
      <c r="Q1" s="1615"/>
      <c r="R1" s="1615"/>
      <c r="S1" s="1615"/>
      <c r="T1" s="1615"/>
      <c r="U1" s="1615"/>
      <c r="V1" s="1615"/>
      <c r="W1" s="1615"/>
    </row>
    <row r="2" spans="1:26">
      <c r="A2" s="1615" t="str">
        <f>+'63'!A2:AI2</f>
        <v>SERVICIO SALUD  ACONCAGUA   2023</v>
      </c>
      <c r="B2" s="1615"/>
      <c r="C2" s="1615"/>
      <c r="D2" s="1615"/>
      <c r="E2" s="1615"/>
      <c r="F2" s="1615"/>
      <c r="G2" s="1615"/>
      <c r="H2" s="1615"/>
      <c r="I2" s="1615"/>
      <c r="J2" s="1615"/>
      <c r="K2" s="1615"/>
      <c r="L2" s="1615"/>
      <c r="M2" s="1615"/>
      <c r="N2" s="1615"/>
      <c r="O2" s="1615"/>
      <c r="P2" s="1615"/>
      <c r="Q2" s="1615"/>
      <c r="R2" s="1615"/>
      <c r="S2" s="1615"/>
      <c r="T2" s="1615"/>
      <c r="U2" s="1615"/>
      <c r="V2" s="1615"/>
      <c r="W2" s="1615"/>
    </row>
    <row r="3" spans="1:26">
      <c r="A3" s="1616"/>
      <c r="B3" s="1616"/>
      <c r="C3" s="1616"/>
      <c r="D3" s="1616"/>
      <c r="E3" s="1616"/>
      <c r="F3" s="1616"/>
      <c r="G3" s="1616"/>
      <c r="H3" s="1616"/>
      <c r="I3" s="1616"/>
      <c r="J3" s="1616"/>
      <c r="K3" s="1616"/>
      <c r="L3" s="1616"/>
      <c r="M3" s="1616"/>
      <c r="N3" s="1616"/>
      <c r="O3" s="1616"/>
      <c r="P3" s="1616"/>
      <c r="Q3" s="1616"/>
      <c r="R3" s="1616"/>
      <c r="S3" s="1616"/>
      <c r="T3" s="1616"/>
      <c r="U3" s="1616"/>
      <c r="V3" s="1616"/>
      <c r="W3" s="1616"/>
    </row>
    <row r="4" spans="1:26">
      <c r="A4" s="386"/>
      <c r="B4" s="386"/>
      <c r="C4" s="386"/>
      <c r="D4" s="386"/>
      <c r="E4" s="386"/>
      <c r="F4" s="386"/>
      <c r="G4" s="386"/>
      <c r="H4" s="386"/>
      <c r="I4" s="386"/>
      <c r="J4" s="386"/>
      <c r="K4" s="386"/>
      <c r="L4" s="386"/>
      <c r="M4" s="386"/>
      <c r="N4" s="386"/>
      <c r="O4" s="386"/>
      <c r="P4" s="386"/>
      <c r="Q4" s="386"/>
      <c r="R4" s="386"/>
      <c r="S4" s="386"/>
      <c r="T4" s="386"/>
      <c r="U4" s="386"/>
      <c r="V4" s="386"/>
      <c r="W4" s="386"/>
    </row>
    <row r="6" spans="1:26" ht="18.75" customHeight="1">
      <c r="A6" s="1039" t="s">
        <v>1018</v>
      </c>
      <c r="B6" s="1529" t="s">
        <v>1019</v>
      </c>
      <c r="C6" s="1530"/>
      <c r="D6" s="1530"/>
      <c r="E6" s="1530"/>
      <c r="F6" s="1530"/>
      <c r="G6" s="1530"/>
      <c r="H6" s="1530"/>
      <c r="I6" s="1530"/>
      <c r="J6" s="1530"/>
      <c r="K6" s="1530"/>
      <c r="L6" s="1530"/>
      <c r="M6" s="1530"/>
      <c r="N6" s="1530"/>
      <c r="O6" s="1530"/>
      <c r="P6" s="1530"/>
      <c r="Q6" s="1530"/>
      <c r="R6" s="1530"/>
      <c r="S6" s="1530"/>
      <c r="T6" s="1531"/>
      <c r="U6" s="1366" t="s">
        <v>1293</v>
      </c>
      <c r="V6" s="1366" t="s">
        <v>1293</v>
      </c>
      <c r="W6" s="1100"/>
    </row>
    <row r="7" spans="1:26" ht="26.25" customHeight="1">
      <c r="A7" s="1247"/>
      <c r="B7" s="1250" t="s">
        <v>1149</v>
      </c>
      <c r="C7" s="1250" t="s">
        <v>1069</v>
      </c>
      <c r="D7" s="1250" t="s">
        <v>266</v>
      </c>
      <c r="E7" s="1347" t="s">
        <v>1020</v>
      </c>
      <c r="F7" s="1250" t="s">
        <v>1053</v>
      </c>
      <c r="G7" s="1367" t="s">
        <v>1021</v>
      </c>
      <c r="H7" s="1368" t="s">
        <v>387</v>
      </c>
      <c r="I7" s="1369" t="s">
        <v>1148</v>
      </c>
      <c r="J7" s="1369" t="s">
        <v>1147</v>
      </c>
      <c r="K7" s="1250" t="s">
        <v>1029</v>
      </c>
      <c r="L7" s="1347" t="s">
        <v>371</v>
      </c>
      <c r="M7" s="1370" t="s">
        <v>351</v>
      </c>
      <c r="N7" s="1347" t="s">
        <v>1294</v>
      </c>
      <c r="O7" s="1250" t="s">
        <v>369</v>
      </c>
      <c r="P7" s="1250" t="s">
        <v>258</v>
      </c>
      <c r="Q7" s="1250" t="s">
        <v>374</v>
      </c>
      <c r="R7" s="1250" t="s">
        <v>610</v>
      </c>
      <c r="S7" s="1368" t="s">
        <v>376</v>
      </c>
      <c r="T7" s="1250" t="s">
        <v>1070</v>
      </c>
      <c r="U7" s="1371" t="s">
        <v>590</v>
      </c>
      <c r="V7" s="1371" t="s">
        <v>587</v>
      </c>
      <c r="W7" s="1372" t="s">
        <v>474</v>
      </c>
    </row>
    <row r="8" spans="1:26" ht="26.25" customHeight="1">
      <c r="A8" s="607" t="s">
        <v>1028</v>
      </c>
      <c r="B8" s="608">
        <f>+[65]P6!$C$13</f>
        <v>1257</v>
      </c>
      <c r="C8" s="608">
        <f>+[66]P6!$C$13</f>
        <v>96</v>
      </c>
      <c r="D8" s="608">
        <f>+[67]P6!$C$13</f>
        <v>1236</v>
      </c>
      <c r="E8" s="608">
        <f>+[68]P6!$C$13</f>
        <v>0</v>
      </c>
      <c r="F8" s="608">
        <f>+[69]P6!$C$13</f>
        <v>0</v>
      </c>
      <c r="G8" s="608">
        <f>+[70]P6!$C$13</f>
        <v>855</v>
      </c>
      <c r="H8" s="608">
        <f>+[71]P6!$C$13</f>
        <v>638</v>
      </c>
      <c r="I8" s="608">
        <f>+[72]P6!$C$13</f>
        <v>1224</v>
      </c>
      <c r="J8" s="608">
        <f>+[73]P6!$C$13</f>
        <v>1408</v>
      </c>
      <c r="K8" s="608">
        <f>+[74]P6!$C$13</f>
        <v>144</v>
      </c>
      <c r="L8" s="608">
        <f>+[75]P6!$C$13</f>
        <v>330</v>
      </c>
      <c r="M8" s="608">
        <f>+[76]P6!$C$13</f>
        <v>581</v>
      </c>
      <c r="N8" s="608">
        <f>+[77]P6!$C$13</f>
        <v>61</v>
      </c>
      <c r="O8" s="608">
        <f>+[78]P6!$C$13</f>
        <v>748</v>
      </c>
      <c r="P8" s="608">
        <f>+[79]P6!$C$13</f>
        <v>118</v>
      </c>
      <c r="Q8" s="608">
        <f>+[80]P6!$C$13</f>
        <v>367</v>
      </c>
      <c r="R8" s="608">
        <f>+[81]P6!$C$13</f>
        <v>892</v>
      </c>
      <c r="S8" s="608">
        <f>+[82]P6!$C$13</f>
        <v>493</v>
      </c>
      <c r="T8" s="608">
        <f>+[83]P6!$C$13</f>
        <v>75</v>
      </c>
      <c r="U8" s="608" t="str">
        <f>+[84]P6!$C$69</f>
        <v>Ambos
sexos</v>
      </c>
      <c r="V8" s="608" t="str">
        <f>+[85]P6!$C$69</f>
        <v>Ambos
sexos</v>
      </c>
      <c r="W8" s="608">
        <f>SUM(B8:V8)</f>
        <v>10523</v>
      </c>
    </row>
    <row r="9" spans="1:26" s="6" customFormat="1" ht="18.75" customHeight="1">
      <c r="A9" s="322" t="s">
        <v>255</v>
      </c>
      <c r="B9" s="776">
        <f>+[65]P6!$C15</f>
        <v>11</v>
      </c>
      <c r="C9" s="776">
        <f>+[66]P6!$C15</f>
        <v>0</v>
      </c>
      <c r="D9" s="776">
        <f>+[67]P6!$C15</f>
        <v>41</v>
      </c>
      <c r="E9" s="776">
        <f>+[68]P6!$C15</f>
        <v>0</v>
      </c>
      <c r="F9" s="776">
        <f>+[69]P6!$C15</f>
        <v>0</v>
      </c>
      <c r="G9" s="776">
        <f>+[70]P6!$C15</f>
        <v>8</v>
      </c>
      <c r="H9" s="776">
        <f>+[71]P6!$C15</f>
        <v>3</v>
      </c>
      <c r="I9" s="776">
        <f>+[72]P6!$C15</f>
        <v>13</v>
      </c>
      <c r="J9" s="776">
        <f>+[73]P6!$C15</f>
        <v>32</v>
      </c>
      <c r="K9" s="776">
        <f>+[74]P6!$C15</f>
        <v>14</v>
      </c>
      <c r="L9" s="776">
        <f>+[75]P6!$C15</f>
        <v>0</v>
      </c>
      <c r="M9" s="776">
        <f>+[76]P6!$C15</f>
        <v>6</v>
      </c>
      <c r="N9" s="776">
        <f>+[77]P6!$C15</f>
        <v>1</v>
      </c>
      <c r="O9" s="776">
        <f>+[78]P6!$C15</f>
        <v>2</v>
      </c>
      <c r="P9" s="776">
        <f>+[79]P6!$C15</f>
        <v>1</v>
      </c>
      <c r="Q9" s="776">
        <f>+[80]P6!$C15</f>
        <v>8</v>
      </c>
      <c r="R9" s="776">
        <f>+[81]P6!$C15</f>
        <v>13</v>
      </c>
      <c r="S9" s="776">
        <f>+[82]P6!$C15</f>
        <v>15</v>
      </c>
      <c r="T9" s="776">
        <f>+[83]P6!$C15</f>
        <v>0</v>
      </c>
      <c r="U9" s="776">
        <f>+[84]P6!$C71</f>
        <v>0</v>
      </c>
      <c r="V9" s="776">
        <f>+[85]P6!$C71</f>
        <v>0</v>
      </c>
      <c r="W9" s="762">
        <f t="shared" ref="W9:W17" si="0">SUM(B9:V9)</f>
        <v>168</v>
      </c>
    </row>
    <row r="10" spans="1:26" s="6" customFormat="1" ht="18.75" customHeight="1">
      <c r="A10" s="322" t="s">
        <v>256</v>
      </c>
      <c r="B10" s="776">
        <f>+[65]P6!$C16</f>
        <v>2</v>
      </c>
      <c r="C10" s="776">
        <f>+[66]P6!$C16</f>
        <v>0</v>
      </c>
      <c r="D10" s="776">
        <f>+[67]P6!$C16</f>
        <v>5</v>
      </c>
      <c r="E10" s="776">
        <f>+[68]P6!$C16</f>
        <v>0</v>
      </c>
      <c r="F10" s="776">
        <f>+[69]P6!$C16</f>
        <v>0</v>
      </c>
      <c r="G10" s="776">
        <f>+[70]P6!$C16</f>
        <v>1</v>
      </c>
      <c r="H10" s="776">
        <f>+[71]P6!$C16</f>
        <v>5</v>
      </c>
      <c r="I10" s="776">
        <f>+[72]P6!$C16</f>
        <v>0</v>
      </c>
      <c r="J10" s="776">
        <f>+[73]P6!$C16</f>
        <v>3</v>
      </c>
      <c r="K10" s="776">
        <f>+[74]P6!$C16</f>
        <v>6</v>
      </c>
      <c r="L10" s="776">
        <f>+[75]P6!$C16</f>
        <v>0</v>
      </c>
      <c r="M10" s="776">
        <f>+[76]P6!$C16</f>
        <v>1</v>
      </c>
      <c r="N10" s="776">
        <f>+[77]P6!$C16</f>
        <v>0</v>
      </c>
      <c r="O10" s="776">
        <f>+[78]P6!$C16</f>
        <v>3</v>
      </c>
      <c r="P10" s="776">
        <f>+[79]P6!$C16</f>
        <v>0</v>
      </c>
      <c r="Q10" s="776">
        <f>+[80]P6!$C16</f>
        <v>1</v>
      </c>
      <c r="R10" s="776">
        <f>+[81]P6!$C16</f>
        <v>5</v>
      </c>
      <c r="S10" s="776">
        <f>+[82]P6!$C16</f>
        <v>0</v>
      </c>
      <c r="T10" s="776">
        <f>+[83]P6!$C16</f>
        <v>0</v>
      </c>
      <c r="U10" s="776">
        <f>+[84]P6!$C72</f>
        <v>0</v>
      </c>
      <c r="V10" s="776">
        <f>+[85]P6!$C72</f>
        <v>0</v>
      </c>
      <c r="W10" s="762">
        <f t="shared" si="0"/>
        <v>32</v>
      </c>
    </row>
    <row r="11" spans="1:26" s="6" customFormat="1" ht="18.75" customHeight="1">
      <c r="A11" s="322" t="s">
        <v>1022</v>
      </c>
      <c r="B11" s="776">
        <f>+[65]P6!$C17</f>
        <v>0</v>
      </c>
      <c r="C11" s="776">
        <f>+[66]P6!$C17</f>
        <v>0</v>
      </c>
      <c r="D11" s="776">
        <f>+[67]P6!$C17</f>
        <v>6</v>
      </c>
      <c r="E11" s="776">
        <f>+[68]P6!$C17</f>
        <v>0</v>
      </c>
      <c r="F11" s="776">
        <f>+[69]P6!$C17</f>
        <v>0</v>
      </c>
      <c r="G11" s="776">
        <f>+[70]P6!$C17</f>
        <v>2</v>
      </c>
      <c r="H11" s="776">
        <f>+[71]P6!$C17</f>
        <v>2</v>
      </c>
      <c r="I11" s="776">
        <f>+[72]P6!$C17</f>
        <v>3</v>
      </c>
      <c r="J11" s="776">
        <f>+[73]P6!$C17</f>
        <v>11</v>
      </c>
      <c r="K11" s="776">
        <f>+[74]P6!$C17</f>
        <v>9</v>
      </c>
      <c r="L11" s="776">
        <f>+[75]P6!$C17</f>
        <v>0</v>
      </c>
      <c r="M11" s="776">
        <f>+[76]P6!$C17</f>
        <v>0</v>
      </c>
      <c r="N11" s="776">
        <f>+[77]P6!$C17</f>
        <v>0</v>
      </c>
      <c r="O11" s="776">
        <f>+[78]P6!$C17</f>
        <v>0</v>
      </c>
      <c r="P11" s="776">
        <f>+[79]P6!$C17</f>
        <v>0</v>
      </c>
      <c r="Q11" s="776">
        <f>+[80]P6!$C17</f>
        <v>0</v>
      </c>
      <c r="R11" s="776">
        <f>+[81]P6!$C17</f>
        <v>2</v>
      </c>
      <c r="S11" s="776">
        <f>+[82]P6!$C17</f>
        <v>1</v>
      </c>
      <c r="T11" s="776">
        <f>+[83]P6!$C17</f>
        <v>0</v>
      </c>
      <c r="U11" s="776">
        <f>+[84]P6!$C73</f>
        <v>0</v>
      </c>
      <c r="V11" s="776">
        <f>+[85]P6!$C73</f>
        <v>0</v>
      </c>
      <c r="W11" s="762">
        <f t="shared" si="0"/>
        <v>36</v>
      </c>
    </row>
    <row r="12" spans="1:26" s="6" customFormat="1" ht="18.75" customHeight="1">
      <c r="A12" s="182" t="s">
        <v>1420</v>
      </c>
      <c r="B12" s="776">
        <f>+[65]P6!$C18</f>
        <v>2</v>
      </c>
      <c r="C12" s="776">
        <f>+[66]P6!$C18</f>
        <v>0</v>
      </c>
      <c r="D12" s="776">
        <f>+[67]P6!$C18</f>
        <v>19</v>
      </c>
      <c r="E12" s="776">
        <f>+[68]P6!$C18</f>
        <v>0</v>
      </c>
      <c r="F12" s="776">
        <f>+[69]P6!$C18</f>
        <v>0</v>
      </c>
      <c r="G12" s="776">
        <f>+[70]P6!$C18</f>
        <v>1</v>
      </c>
      <c r="H12" s="776">
        <f>+[71]P6!$C18</f>
        <v>0</v>
      </c>
      <c r="I12" s="776">
        <f>+[72]P6!$C18</f>
        <v>6</v>
      </c>
      <c r="J12" s="776">
        <f>+[73]P6!$C18</f>
        <v>81</v>
      </c>
      <c r="K12" s="776">
        <f>+[74]P6!$C18</f>
        <v>0</v>
      </c>
      <c r="L12" s="776">
        <f>+[75]P6!$C18</f>
        <v>0</v>
      </c>
      <c r="M12" s="776">
        <f>+[76]P6!$C18</f>
        <v>0</v>
      </c>
      <c r="N12" s="776">
        <f>+[77]P6!$C18</f>
        <v>0</v>
      </c>
      <c r="O12" s="776">
        <f>+[78]P6!$C18</f>
        <v>1</v>
      </c>
      <c r="P12" s="776">
        <f>+[79]P6!$C18</f>
        <v>0</v>
      </c>
      <c r="Q12" s="776">
        <f>+[80]P6!$C18</f>
        <v>5</v>
      </c>
      <c r="R12" s="776">
        <f>+[81]P6!$C18</f>
        <v>0</v>
      </c>
      <c r="S12" s="776">
        <f>+[82]P6!$C18</f>
        <v>2</v>
      </c>
      <c r="T12" s="776">
        <f>+[83]P6!$C18</f>
        <v>0</v>
      </c>
      <c r="U12" s="776">
        <f>+[84]P6!$C74</f>
        <v>0</v>
      </c>
      <c r="V12" s="776">
        <f>+[85]P6!$C74</f>
        <v>0</v>
      </c>
      <c r="W12" s="762">
        <f t="shared" si="0"/>
        <v>117</v>
      </c>
    </row>
    <row r="13" spans="1:26" s="6" customFormat="1" ht="18.75" customHeight="1">
      <c r="A13" s="182" t="s">
        <v>1421</v>
      </c>
      <c r="B13" s="776">
        <f>+[65]P6!$C19</f>
        <v>2</v>
      </c>
      <c r="C13" s="776">
        <f>+[66]P6!$C19</f>
        <v>0</v>
      </c>
      <c r="D13" s="776">
        <f>+[67]P6!$C19</f>
        <v>9</v>
      </c>
      <c r="E13" s="776">
        <f>+[68]P6!$C19</f>
        <v>0</v>
      </c>
      <c r="F13" s="776">
        <f>+[69]P6!$C19</f>
        <v>0</v>
      </c>
      <c r="G13" s="776">
        <f>+[70]P6!$C19</f>
        <v>1</v>
      </c>
      <c r="H13" s="776">
        <f>+[71]P6!$C19</f>
        <v>0</v>
      </c>
      <c r="I13" s="776">
        <f>+[72]P6!$C19</f>
        <v>0</v>
      </c>
      <c r="J13" s="776">
        <f>+[73]P6!$C19</f>
        <v>16</v>
      </c>
      <c r="K13" s="776">
        <f>+[74]P6!$C19</f>
        <v>0</v>
      </c>
      <c r="L13" s="776">
        <f>+[75]P6!$C19</f>
        <v>0</v>
      </c>
      <c r="M13" s="776">
        <f>+[76]P6!$C19</f>
        <v>0</v>
      </c>
      <c r="N13" s="776">
        <f>+[77]P6!$C19</f>
        <v>0</v>
      </c>
      <c r="O13" s="776">
        <f>+[78]P6!$C19</f>
        <v>0</v>
      </c>
      <c r="P13" s="776">
        <f>+[79]P6!$C19</f>
        <v>0</v>
      </c>
      <c r="Q13" s="776">
        <f>+[80]P6!$C19</f>
        <v>1</v>
      </c>
      <c r="R13" s="776">
        <f>+[81]P6!$C19</f>
        <v>0</v>
      </c>
      <c r="S13" s="776">
        <f>+[82]P6!$C19</f>
        <v>3</v>
      </c>
      <c r="T13" s="776">
        <f>+[83]P6!$C19</f>
        <v>0</v>
      </c>
      <c r="U13" s="776">
        <f>+[84]P6!$C75</f>
        <v>0</v>
      </c>
      <c r="V13" s="776">
        <f>+[85]P6!$C75</f>
        <v>0</v>
      </c>
      <c r="W13" s="762">
        <f t="shared" si="0"/>
        <v>32</v>
      </c>
    </row>
    <row r="14" spans="1:26" s="6" customFormat="1" ht="18.75" customHeight="1">
      <c r="A14" s="322" t="s">
        <v>1399</v>
      </c>
      <c r="B14" s="776">
        <f>+[65]P6!$C20</f>
        <v>1257</v>
      </c>
      <c r="C14" s="776">
        <f>+[66]P6!$C20</f>
        <v>96</v>
      </c>
      <c r="D14" s="776">
        <f>+[67]P6!$C20</f>
        <v>1217</v>
      </c>
      <c r="E14" s="776">
        <f>+[68]P6!$C20</f>
        <v>1</v>
      </c>
      <c r="F14" s="776">
        <f>+[69]P6!$C20</f>
        <v>0</v>
      </c>
      <c r="G14" s="776">
        <f>+[70]P6!$C20</f>
        <v>1101</v>
      </c>
      <c r="H14" s="776">
        <f>+[71]P6!$C20</f>
        <v>629</v>
      </c>
      <c r="I14" s="776">
        <f>+[72]P6!$C20</f>
        <v>1224</v>
      </c>
      <c r="J14" s="776">
        <f>+[73]P6!$C20</f>
        <v>1408</v>
      </c>
      <c r="K14" s="776">
        <f>+[74]P6!$C20</f>
        <v>144</v>
      </c>
      <c r="L14" s="776">
        <f>+[75]P6!$C20</f>
        <v>330</v>
      </c>
      <c r="M14" s="776">
        <f>+[76]P6!$C20</f>
        <v>580</v>
      </c>
      <c r="N14" s="776">
        <f>+[77]P6!$C20</f>
        <v>61</v>
      </c>
      <c r="O14" s="776">
        <f>+[78]P6!$C20</f>
        <v>742</v>
      </c>
      <c r="P14" s="776">
        <f>+[79]P6!$C20</f>
        <v>117</v>
      </c>
      <c r="Q14" s="776">
        <f>+[80]P6!$C20</f>
        <v>367</v>
      </c>
      <c r="R14" s="776">
        <f>+[81]P6!$C20</f>
        <v>884</v>
      </c>
      <c r="S14" s="776">
        <f>+[82]P6!$C20</f>
        <v>453</v>
      </c>
      <c r="T14" s="776">
        <f>+[83]P6!$C20</f>
        <v>75</v>
      </c>
      <c r="U14" s="776">
        <f>+[84]P6!$C76</f>
        <v>0</v>
      </c>
      <c r="V14" s="776">
        <f>+[85]P6!$C76</f>
        <v>0</v>
      </c>
      <c r="W14" s="762">
        <f t="shared" si="0"/>
        <v>10686</v>
      </c>
    </row>
    <row r="15" spans="1:26" s="6" customFormat="1" ht="18.75" customHeight="1">
      <c r="A15" s="322" t="s">
        <v>1025</v>
      </c>
      <c r="B15" s="776">
        <f>+[65]P6!$C21</f>
        <v>147</v>
      </c>
      <c r="C15" s="776">
        <f>+[66]P6!$C21</f>
        <v>8</v>
      </c>
      <c r="D15" s="776">
        <f>+[67]P6!$C21</f>
        <v>82</v>
      </c>
      <c r="E15" s="776">
        <f>+[68]P6!$C21</f>
        <v>58</v>
      </c>
      <c r="F15" s="776">
        <f>+[69]P6!$C21</f>
        <v>17</v>
      </c>
      <c r="G15" s="776">
        <f>+[70]P6!$C21</f>
        <v>39</v>
      </c>
      <c r="H15" s="776">
        <f>+[71]P6!$C21</f>
        <v>13</v>
      </c>
      <c r="I15" s="776">
        <f>+[72]P6!$C21</f>
        <v>62</v>
      </c>
      <c r="J15" s="776">
        <f>+[73]P6!$C21</f>
        <v>87</v>
      </c>
      <c r="K15" s="776">
        <f>+[74]P6!$C21</f>
        <v>1</v>
      </c>
      <c r="L15" s="776">
        <f>+[75]P6!$C21</f>
        <v>19</v>
      </c>
      <c r="M15" s="776">
        <f>+[76]P6!$C21</f>
        <v>55</v>
      </c>
      <c r="N15" s="776">
        <f>+[77]P6!$C21</f>
        <v>2</v>
      </c>
      <c r="O15" s="776">
        <f>+[78]P6!$C21</f>
        <v>67</v>
      </c>
      <c r="P15" s="776">
        <f>+[79]P6!$C21</f>
        <v>4</v>
      </c>
      <c r="Q15" s="776">
        <f>+[80]P6!$C21</f>
        <v>30</v>
      </c>
      <c r="R15" s="776">
        <f>+[81]P6!$C21</f>
        <v>74</v>
      </c>
      <c r="S15" s="776">
        <f>+[82]P6!$C21</f>
        <v>33</v>
      </c>
      <c r="T15" s="776">
        <f>+[83]P6!$C21</f>
        <v>2</v>
      </c>
      <c r="U15" s="776">
        <f>+[84]P6!$C77</f>
        <v>1230</v>
      </c>
      <c r="V15" s="776">
        <f>+[85]P6!$C77</f>
        <v>1193</v>
      </c>
      <c r="W15" s="762">
        <f t="shared" si="0"/>
        <v>3223</v>
      </c>
      <c r="Z15" s="94"/>
    </row>
    <row r="16" spans="1:26" s="6" customFormat="1" ht="18.75" customHeight="1">
      <c r="A16" s="322" t="s">
        <v>1026</v>
      </c>
      <c r="B16" s="776">
        <f>+[65]P6!$C22</f>
        <v>311</v>
      </c>
      <c r="C16" s="776">
        <f>+[66]P6!$C22</f>
        <v>25</v>
      </c>
      <c r="D16" s="776">
        <f>+[67]P6!$C22</f>
        <v>134</v>
      </c>
      <c r="E16" s="776">
        <f>+[68]P6!$C22</f>
        <v>51</v>
      </c>
      <c r="F16" s="776">
        <f>+[69]P6!$C22</f>
        <v>5</v>
      </c>
      <c r="G16" s="776">
        <f>+[70]P6!$C22</f>
        <v>171</v>
      </c>
      <c r="H16" s="776">
        <f>+[71]P6!$C22</f>
        <v>110</v>
      </c>
      <c r="I16" s="776">
        <f>+[72]P6!$C22</f>
        <v>249</v>
      </c>
      <c r="J16" s="776">
        <f>+[73]P6!$C22</f>
        <v>271</v>
      </c>
      <c r="K16" s="776">
        <f>+[74]P6!$C22</f>
        <v>14</v>
      </c>
      <c r="L16" s="776">
        <f>+[75]P6!$C22</f>
        <v>35</v>
      </c>
      <c r="M16" s="776">
        <f>+[76]P6!$C22</f>
        <v>106</v>
      </c>
      <c r="N16" s="776">
        <f>+[77]P6!$C22</f>
        <v>16</v>
      </c>
      <c r="O16" s="776">
        <f>+[78]P6!$C22</f>
        <v>100</v>
      </c>
      <c r="P16" s="776">
        <f>+[79]P6!$C22</f>
        <v>5</v>
      </c>
      <c r="Q16" s="776">
        <f>+[80]P6!$C22</f>
        <v>67</v>
      </c>
      <c r="R16" s="776">
        <f>+[81]P6!$C22</f>
        <v>154</v>
      </c>
      <c r="S16" s="776">
        <f>+[82]P6!$C22</f>
        <v>58</v>
      </c>
      <c r="T16" s="776">
        <f>+[83]P6!$C22</f>
        <v>6</v>
      </c>
      <c r="U16" s="776">
        <f>+[84]P6!$C78</f>
        <v>276</v>
      </c>
      <c r="V16" s="776">
        <f>+[85]P6!$C78</f>
        <v>189</v>
      </c>
      <c r="W16" s="762">
        <f t="shared" si="0"/>
        <v>2353</v>
      </c>
      <c r="Z16" s="94"/>
    </row>
    <row r="17" spans="1:26" s="6" customFormat="1" ht="18.75" customHeight="1">
      <c r="A17" s="322" t="s">
        <v>1027</v>
      </c>
      <c r="B17" s="776">
        <f>+[65]P6!$C23</f>
        <v>36</v>
      </c>
      <c r="C17" s="776">
        <f>+[66]P6!$C23</f>
        <v>5</v>
      </c>
      <c r="D17" s="776">
        <f>+[67]P6!$C23</f>
        <v>49</v>
      </c>
      <c r="E17" s="776">
        <f>+[68]P6!$C23</f>
        <v>6</v>
      </c>
      <c r="F17" s="776">
        <f>+[69]P6!$C23</f>
        <v>1</v>
      </c>
      <c r="G17" s="776">
        <f>+[70]P6!$C23</f>
        <v>21</v>
      </c>
      <c r="H17" s="776">
        <f>+[71]P6!$C23</f>
        <v>36</v>
      </c>
      <c r="I17" s="776">
        <f>+[72]P6!$C23</f>
        <v>32</v>
      </c>
      <c r="J17" s="776">
        <f>+[73]P6!$C23</f>
        <v>89</v>
      </c>
      <c r="K17" s="776">
        <f>+[74]P6!$C23</f>
        <v>0</v>
      </c>
      <c r="L17" s="776">
        <f>+[75]P6!$C23</f>
        <v>6</v>
      </c>
      <c r="M17" s="776">
        <f>+[76]P6!$C23</f>
        <v>7</v>
      </c>
      <c r="N17" s="776">
        <f>+[77]P6!$C23</f>
        <v>1</v>
      </c>
      <c r="O17" s="776">
        <f>+[78]P6!$C23</f>
        <v>23</v>
      </c>
      <c r="P17" s="776">
        <f>+[79]P6!$C23</f>
        <v>1</v>
      </c>
      <c r="Q17" s="776">
        <f>+[80]P6!$C23</f>
        <v>12</v>
      </c>
      <c r="R17" s="776">
        <f>+[81]P6!$C23</f>
        <v>36</v>
      </c>
      <c r="S17" s="776">
        <f>+[82]P6!$C23</f>
        <v>13</v>
      </c>
      <c r="T17" s="776">
        <f>+[83]P6!$C23</f>
        <v>0</v>
      </c>
      <c r="U17" s="776">
        <f>+[84]P6!$C79</f>
        <v>11</v>
      </c>
      <c r="V17" s="776">
        <f>+[85]P6!$C79</f>
        <v>80</v>
      </c>
      <c r="W17" s="762">
        <f t="shared" si="0"/>
        <v>465</v>
      </c>
      <c r="Z17" s="94"/>
    </row>
    <row r="18" spans="1:26" s="6" customFormat="1" ht="18.75" customHeight="1">
      <c r="A18" s="322" t="s">
        <v>1023</v>
      </c>
      <c r="B18" s="776">
        <f>+[65]P6!$C24</f>
        <v>3</v>
      </c>
      <c r="C18" s="776">
        <f>+[66]P6!$C24</f>
        <v>0</v>
      </c>
      <c r="D18" s="776">
        <f>+[67]P6!$C24</f>
        <v>8</v>
      </c>
      <c r="E18" s="776">
        <f>+[68]P6!$C24</f>
        <v>0</v>
      </c>
      <c r="F18" s="776">
        <f>+[69]P6!$C24</f>
        <v>0</v>
      </c>
      <c r="G18" s="776">
        <f>+[70]P6!$C24</f>
        <v>2</v>
      </c>
      <c r="H18" s="776">
        <f>+[71]P6!$C24</f>
        <v>0</v>
      </c>
      <c r="I18" s="776">
        <f>+[72]P6!$C24</f>
        <v>7</v>
      </c>
      <c r="J18" s="776">
        <f>+[73]P6!$C24</f>
        <v>0</v>
      </c>
      <c r="K18" s="776">
        <f>+[74]P6!$C24</f>
        <v>0</v>
      </c>
      <c r="L18" s="776">
        <f>+[75]P6!$C24</f>
        <v>2</v>
      </c>
      <c r="M18" s="776">
        <f>+[76]P6!$C24</f>
        <v>0</v>
      </c>
      <c r="N18" s="776">
        <f>+[77]P6!$C24</f>
        <v>0</v>
      </c>
      <c r="O18" s="776">
        <f>+[78]P6!$C24</f>
        <v>2</v>
      </c>
      <c r="P18" s="776">
        <f>+[79]P6!$C24</f>
        <v>0</v>
      </c>
      <c r="Q18" s="776">
        <f>+[80]P6!$C24</f>
        <v>0</v>
      </c>
      <c r="R18" s="776">
        <f>+[81]P6!$C24</f>
        <v>3</v>
      </c>
      <c r="S18" s="776">
        <f>+[82]P6!$C24</f>
        <v>0</v>
      </c>
      <c r="T18" s="776">
        <f>+[83]P6!$C24</f>
        <v>0</v>
      </c>
      <c r="U18" s="776">
        <f>+[84]P6!$C80</f>
        <v>0</v>
      </c>
      <c r="V18" s="776">
        <f>+[85]P6!$C80</f>
        <v>0</v>
      </c>
      <c r="W18" s="762">
        <f t="shared" ref="W18:W48" si="1">SUM(B18:V18)</f>
        <v>27</v>
      </c>
      <c r="Z18" s="94"/>
    </row>
    <row r="19" spans="1:26" s="6" customFormat="1" ht="18.75" customHeight="1">
      <c r="A19" s="322" t="s">
        <v>1024</v>
      </c>
      <c r="B19" s="776">
        <f>+[65]P6!$C25</f>
        <v>0</v>
      </c>
      <c r="C19" s="776">
        <f>+[66]P6!$C25</f>
        <v>0</v>
      </c>
      <c r="D19" s="776">
        <f>+[67]P6!$C25</f>
        <v>4</v>
      </c>
      <c r="E19" s="776">
        <f>+[68]P6!$C25</f>
        <v>0</v>
      </c>
      <c r="F19" s="776">
        <f>+[69]P6!$C25</f>
        <v>0</v>
      </c>
      <c r="G19" s="776">
        <f>+[70]P6!$C25</f>
        <v>0</v>
      </c>
      <c r="H19" s="776">
        <f>+[71]P6!$C25</f>
        <v>4</v>
      </c>
      <c r="I19" s="776">
        <f>+[72]P6!$C25</f>
        <v>3</v>
      </c>
      <c r="J19" s="776">
        <f>+[73]P6!$C25</f>
        <v>7</v>
      </c>
      <c r="K19" s="776">
        <f>+[74]P6!$C25</f>
        <v>0</v>
      </c>
      <c r="L19" s="776">
        <f>+[75]P6!$C25</f>
        <v>0</v>
      </c>
      <c r="M19" s="776">
        <f>+[76]P6!$C25</f>
        <v>0</v>
      </c>
      <c r="N19" s="776">
        <f>+[77]P6!$C25</f>
        <v>0</v>
      </c>
      <c r="O19" s="776">
        <f>+[78]P6!$C25</f>
        <v>3</v>
      </c>
      <c r="P19" s="776">
        <f>+[79]P6!$C25</f>
        <v>1</v>
      </c>
      <c r="Q19" s="776">
        <f>+[80]P6!$C25</f>
        <v>0</v>
      </c>
      <c r="R19" s="776">
        <f>+[81]P6!$C25</f>
        <v>3</v>
      </c>
      <c r="S19" s="776">
        <f>+[82]P6!$C25</f>
        <v>0</v>
      </c>
      <c r="T19" s="776">
        <f>+[83]P6!$C25</f>
        <v>0</v>
      </c>
      <c r="U19" s="776">
        <f>+[84]P6!$C81</f>
        <v>0</v>
      </c>
      <c r="V19" s="776">
        <f>+[85]P6!$C81</f>
        <v>0</v>
      </c>
      <c r="W19" s="762">
        <f t="shared" si="1"/>
        <v>25</v>
      </c>
      <c r="Z19" s="94"/>
    </row>
    <row r="20" spans="1:26" s="6" customFormat="1" ht="18.75" customHeight="1">
      <c r="A20" s="680" t="s">
        <v>1271</v>
      </c>
      <c r="B20" s="776">
        <f>+[65]P6!$C26</f>
        <v>1</v>
      </c>
      <c r="C20" s="776">
        <f>+[66]P6!$C26</f>
        <v>1</v>
      </c>
      <c r="D20" s="776">
        <f>+[67]P6!$C26</f>
        <v>11</v>
      </c>
      <c r="E20" s="776">
        <f>+[68]P6!$C26</f>
        <v>4</v>
      </c>
      <c r="F20" s="776">
        <f>+[69]P6!$C26</f>
        <v>0</v>
      </c>
      <c r="G20" s="776">
        <f>+[70]P6!$C26</f>
        <v>12</v>
      </c>
      <c r="H20" s="776">
        <f>+[71]P6!$C26</f>
        <v>9</v>
      </c>
      <c r="I20" s="776">
        <f>+[72]P6!$C26</f>
        <v>9</v>
      </c>
      <c r="J20" s="776">
        <f>+[73]P6!$C26</f>
        <v>11</v>
      </c>
      <c r="K20" s="776">
        <f>+[74]P6!$C26</f>
        <v>0</v>
      </c>
      <c r="L20" s="776">
        <f>+[75]P6!$C26</f>
        <v>0</v>
      </c>
      <c r="M20" s="776">
        <f>+[76]P6!$C26</f>
        <v>2</v>
      </c>
      <c r="N20" s="776">
        <f>+[77]P6!$C26</f>
        <v>0</v>
      </c>
      <c r="O20" s="776">
        <f>+[78]P6!$C26</f>
        <v>2</v>
      </c>
      <c r="P20" s="776">
        <f>+[79]P6!$C26</f>
        <v>1</v>
      </c>
      <c r="Q20" s="776">
        <f>+[80]P6!$C26</f>
        <v>3</v>
      </c>
      <c r="R20" s="776">
        <f>+[81]P6!$C26</f>
        <v>4</v>
      </c>
      <c r="S20" s="776">
        <f>+[82]P6!$C26</f>
        <v>0</v>
      </c>
      <c r="T20" s="776">
        <f>+[83]P6!$C26</f>
        <v>0</v>
      </c>
      <c r="U20" s="776">
        <f>+[84]P6!$C82</f>
        <v>134</v>
      </c>
      <c r="V20" s="776">
        <f>+[85]P6!$C82</f>
        <v>130</v>
      </c>
      <c r="W20" s="762">
        <f t="shared" si="1"/>
        <v>334</v>
      </c>
      <c r="Z20" s="94"/>
    </row>
    <row r="21" spans="1:26" s="6" customFormat="1" ht="18.75" customHeight="1">
      <c r="A21" s="680" t="s">
        <v>1154</v>
      </c>
      <c r="B21" s="776">
        <f>+[65]P6!$C27</f>
        <v>7</v>
      </c>
      <c r="C21" s="776">
        <f>+[66]P6!$C27</f>
        <v>1</v>
      </c>
      <c r="D21" s="776">
        <f>+[67]P6!$C27</f>
        <v>1</v>
      </c>
      <c r="E21" s="776">
        <f>+[68]P6!$C27</f>
        <v>0</v>
      </c>
      <c r="F21" s="776">
        <f>+[69]P6!$C27</f>
        <v>0</v>
      </c>
      <c r="G21" s="776">
        <f>+[70]P6!$C27</f>
        <v>8</v>
      </c>
      <c r="H21" s="776">
        <f>+[71]P6!$C27</f>
        <v>2</v>
      </c>
      <c r="I21" s="776">
        <f>+[72]P6!$C27</f>
        <v>3</v>
      </c>
      <c r="J21" s="776">
        <f>+[73]P6!$C27</f>
        <v>6</v>
      </c>
      <c r="K21" s="776">
        <f>+[74]P6!$C27</f>
        <v>0</v>
      </c>
      <c r="L21" s="776">
        <f>+[75]P6!$C27</f>
        <v>0</v>
      </c>
      <c r="M21" s="776">
        <f>+[76]P6!$C27</f>
        <v>3</v>
      </c>
      <c r="N21" s="776">
        <f>+[77]P6!$C27</f>
        <v>0</v>
      </c>
      <c r="O21" s="776">
        <f>+[78]P6!$C27</f>
        <v>2</v>
      </c>
      <c r="P21" s="776">
        <f>+[79]P6!$C27</f>
        <v>0</v>
      </c>
      <c r="Q21" s="776">
        <f>+[80]P6!$C27</f>
        <v>1</v>
      </c>
      <c r="R21" s="776">
        <f>+[81]P6!$C27</f>
        <v>1</v>
      </c>
      <c r="S21" s="776">
        <f>+[82]P6!$C27</f>
        <v>0</v>
      </c>
      <c r="T21" s="776">
        <f>+[83]P6!$C27</f>
        <v>0</v>
      </c>
      <c r="U21" s="776">
        <f>+[84]P6!$C83</f>
        <v>4</v>
      </c>
      <c r="V21" s="776">
        <f>+[85]P6!$C83</f>
        <v>8</v>
      </c>
      <c r="W21" s="762">
        <f t="shared" si="1"/>
        <v>47</v>
      </c>
      <c r="Z21" s="94"/>
    </row>
    <row r="22" spans="1:26" s="6" customFormat="1" ht="18.75" customHeight="1">
      <c r="A22" s="681" t="s">
        <v>0</v>
      </c>
      <c r="B22" s="776">
        <f>+[65]P6!$C28</f>
        <v>3</v>
      </c>
      <c r="C22" s="776">
        <f>+[66]P6!$C28</f>
        <v>0</v>
      </c>
      <c r="D22" s="776">
        <f>+[67]P6!$C28</f>
        <v>4</v>
      </c>
      <c r="E22" s="776">
        <f>+[68]P6!$C28</f>
        <v>6</v>
      </c>
      <c r="F22" s="776">
        <f>+[69]P6!$C28</f>
        <v>0</v>
      </c>
      <c r="G22" s="776">
        <f>+[70]P6!$C28</f>
        <v>5</v>
      </c>
      <c r="H22" s="776">
        <f>+[71]P6!$C28</f>
        <v>42</v>
      </c>
      <c r="I22" s="776">
        <f>+[72]P6!$C28</f>
        <v>7</v>
      </c>
      <c r="J22" s="776">
        <f>+[73]P6!$C28</f>
        <v>15</v>
      </c>
      <c r="K22" s="776">
        <f>+[74]P6!$C28</f>
        <v>0</v>
      </c>
      <c r="L22" s="776">
        <f>+[75]P6!$C28</f>
        <v>0</v>
      </c>
      <c r="M22" s="776">
        <f>+[76]P6!$C28</f>
        <v>3</v>
      </c>
      <c r="N22" s="776">
        <f>+[77]P6!$C28</f>
        <v>1</v>
      </c>
      <c r="O22" s="776">
        <f>+[78]P6!$C28</f>
        <v>2</v>
      </c>
      <c r="P22" s="776">
        <f>+[79]P6!$C28</f>
        <v>0</v>
      </c>
      <c r="Q22" s="776">
        <f>+[80]P6!$C28</f>
        <v>4</v>
      </c>
      <c r="R22" s="776">
        <f>+[81]P6!$C28</f>
        <v>3</v>
      </c>
      <c r="S22" s="776">
        <f>+[82]P6!$C28</f>
        <v>0</v>
      </c>
      <c r="T22" s="776">
        <f>+[83]P6!$C28</f>
        <v>0</v>
      </c>
      <c r="U22" s="776">
        <f>+[84]P6!$C84</f>
        <v>11</v>
      </c>
      <c r="V22" s="776">
        <f>+[85]P6!$C84</f>
        <v>0</v>
      </c>
      <c r="W22" s="762">
        <f t="shared" si="1"/>
        <v>106</v>
      </c>
      <c r="Z22" s="94"/>
    </row>
    <row r="23" spans="1:26" s="6" customFormat="1" ht="18.75" customHeight="1">
      <c r="A23" s="682" t="s">
        <v>1153</v>
      </c>
      <c r="B23" s="776">
        <f>+[65]P6!$C29</f>
        <v>4</v>
      </c>
      <c r="C23" s="776">
        <f>+[66]P6!$C29</f>
        <v>0</v>
      </c>
      <c r="D23" s="776">
        <f>+[67]P6!$C29</f>
        <v>10</v>
      </c>
      <c r="E23" s="776">
        <f>+[68]P6!$C29</f>
        <v>1</v>
      </c>
      <c r="F23" s="776">
        <f>+[69]P6!$C29</f>
        <v>1</v>
      </c>
      <c r="G23" s="776">
        <f>+[70]P6!$C29</f>
        <v>6</v>
      </c>
      <c r="H23" s="776">
        <f>+[71]P6!$C29</f>
        <v>3</v>
      </c>
      <c r="I23" s="776">
        <f>+[72]P6!$C29</f>
        <v>2</v>
      </c>
      <c r="J23" s="776">
        <f>+[73]P6!$C29</f>
        <v>3</v>
      </c>
      <c r="K23" s="776">
        <f>+[74]P6!$C29</f>
        <v>0</v>
      </c>
      <c r="L23" s="776">
        <f>+[75]P6!$C29</f>
        <v>0</v>
      </c>
      <c r="M23" s="776">
        <f>+[76]P6!$C29</f>
        <v>6</v>
      </c>
      <c r="N23" s="776">
        <f>+[77]P6!$C29</f>
        <v>2</v>
      </c>
      <c r="O23" s="776">
        <f>+[78]P6!$C29</f>
        <v>4</v>
      </c>
      <c r="P23" s="776">
        <f>+[79]P6!$C29</f>
        <v>1</v>
      </c>
      <c r="Q23" s="776">
        <f>+[80]P6!$C29</f>
        <v>0</v>
      </c>
      <c r="R23" s="776">
        <f>+[81]P6!$C29</f>
        <v>4</v>
      </c>
      <c r="S23" s="776">
        <f>+[82]P6!$C29</f>
        <v>2</v>
      </c>
      <c r="T23" s="776">
        <f>+[83]P6!$C29</f>
        <v>0</v>
      </c>
      <c r="U23" s="776">
        <f>+[84]P6!$C85</f>
        <v>1</v>
      </c>
      <c r="V23" s="776">
        <f>+[85]P6!$C85</f>
        <v>31</v>
      </c>
      <c r="W23" s="762">
        <f t="shared" si="1"/>
        <v>81</v>
      </c>
      <c r="Z23" s="94"/>
    </row>
    <row r="24" spans="1:26" s="6" customFormat="1" ht="28.5" customHeight="1">
      <c r="A24" s="679" t="s">
        <v>1152</v>
      </c>
      <c r="B24" s="776">
        <f>+[65]P6!$C30</f>
        <v>20</v>
      </c>
      <c r="C24" s="776">
        <f>+[66]P6!$C30</f>
        <v>0</v>
      </c>
      <c r="D24" s="776">
        <f>+[67]P6!$C30</f>
        <v>10</v>
      </c>
      <c r="E24" s="776">
        <f>+[68]P6!$C30</f>
        <v>1</v>
      </c>
      <c r="F24" s="776">
        <f>+[69]P6!$C30</f>
        <v>1</v>
      </c>
      <c r="G24" s="776">
        <f>+[70]P6!$C30</f>
        <v>6</v>
      </c>
      <c r="H24" s="776">
        <f>+[71]P6!$C30</f>
        <v>3</v>
      </c>
      <c r="I24" s="776">
        <f>+[72]P6!$C30</f>
        <v>2</v>
      </c>
      <c r="J24" s="776">
        <f>+[73]P6!$C30</f>
        <v>15</v>
      </c>
      <c r="K24" s="776">
        <f>+[74]P6!$C30</f>
        <v>0</v>
      </c>
      <c r="L24" s="776">
        <f>+[75]P6!$C30</f>
        <v>4</v>
      </c>
      <c r="M24" s="776">
        <f>+[76]P6!$C30</f>
        <v>2</v>
      </c>
      <c r="N24" s="776">
        <f>+[77]P6!$C30</f>
        <v>0</v>
      </c>
      <c r="O24" s="776">
        <f>+[78]P6!$C30</f>
        <v>0</v>
      </c>
      <c r="P24" s="776">
        <f>+[79]P6!$C30</f>
        <v>0</v>
      </c>
      <c r="Q24" s="776">
        <f>+[80]P6!$C30</f>
        <v>0</v>
      </c>
      <c r="R24" s="776">
        <f>+[81]P6!$C30</f>
        <v>1</v>
      </c>
      <c r="S24" s="776">
        <f>+[82]P6!$C30</f>
        <v>2</v>
      </c>
      <c r="T24" s="776">
        <f>+[83]P6!$C30</f>
        <v>0</v>
      </c>
      <c r="U24" s="776">
        <f>+[84]P6!$C86</f>
        <v>22</v>
      </c>
      <c r="V24" s="776">
        <f>+[85]P6!$C86</f>
        <v>0</v>
      </c>
      <c r="W24" s="762">
        <f t="shared" si="1"/>
        <v>89</v>
      </c>
      <c r="Z24" s="94"/>
    </row>
    <row r="25" spans="1:26" s="6" customFormat="1" ht="33.75" customHeight="1">
      <c r="A25" s="678" t="s">
        <v>1151</v>
      </c>
      <c r="B25" s="776">
        <f>+[65]P6!$C31</f>
        <v>33</v>
      </c>
      <c r="C25" s="776">
        <f>+[66]P6!$C31</f>
        <v>0</v>
      </c>
      <c r="D25" s="776">
        <f>+[67]P6!$C31</f>
        <v>48</v>
      </c>
      <c r="E25" s="776">
        <f>+[68]P6!$C31</f>
        <v>13</v>
      </c>
      <c r="F25" s="776">
        <f>+[69]P6!$C31</f>
        <v>1</v>
      </c>
      <c r="G25" s="776">
        <f>+[70]P6!$C31</f>
        <v>29</v>
      </c>
      <c r="H25" s="776">
        <f>+[71]P6!$C31</f>
        <v>13</v>
      </c>
      <c r="I25" s="776">
        <f>+[72]P6!$C31</f>
        <v>25</v>
      </c>
      <c r="J25" s="776">
        <f>+[73]P6!$C31</f>
        <v>83</v>
      </c>
      <c r="K25" s="776">
        <f>+[74]P6!$C31</f>
        <v>4</v>
      </c>
      <c r="L25" s="776">
        <f>+[75]P6!$C31</f>
        <v>2</v>
      </c>
      <c r="M25" s="776">
        <f>+[76]P6!$C31</f>
        <v>6</v>
      </c>
      <c r="N25" s="776">
        <f>+[77]P6!$C31</f>
        <v>2</v>
      </c>
      <c r="O25" s="776">
        <f>+[78]P6!$C31</f>
        <v>23</v>
      </c>
      <c r="P25" s="776">
        <f>+[79]P6!$C31</f>
        <v>3</v>
      </c>
      <c r="Q25" s="776">
        <f>+[80]P6!$C31</f>
        <v>6</v>
      </c>
      <c r="R25" s="776">
        <f>+[81]P6!$C31</f>
        <v>34</v>
      </c>
      <c r="S25" s="776">
        <f>+[82]P6!$C31</f>
        <v>31</v>
      </c>
      <c r="T25" s="776">
        <f>+[83]P6!$C31</f>
        <v>1</v>
      </c>
      <c r="U25" s="776">
        <f>+[84]P6!$C87</f>
        <v>20</v>
      </c>
      <c r="V25" s="776">
        <f>+[85]P6!$C87</f>
        <v>0</v>
      </c>
      <c r="W25" s="762">
        <f t="shared" si="1"/>
        <v>377</v>
      </c>
      <c r="Z25" s="94"/>
    </row>
    <row r="26" spans="1:26" s="6" customFormat="1" ht="36.75" customHeight="1">
      <c r="A26" s="678" t="s">
        <v>1150</v>
      </c>
      <c r="B26" s="776">
        <f>+[65]P6!$C32</f>
        <v>3</v>
      </c>
      <c r="C26" s="776">
        <f>+[66]P6!$C32</f>
        <v>0</v>
      </c>
      <c r="D26" s="776">
        <f>+[67]P6!$C32</f>
        <v>3</v>
      </c>
      <c r="E26" s="776">
        <f>+[68]P6!$C32</f>
        <v>2</v>
      </c>
      <c r="F26" s="776">
        <f>+[69]P6!$C32</f>
        <v>0</v>
      </c>
      <c r="G26" s="776">
        <f>+[70]P6!$C32</f>
        <v>2</v>
      </c>
      <c r="H26" s="776">
        <f>+[71]P6!$C32</f>
        <v>2</v>
      </c>
      <c r="I26" s="776">
        <f>+[72]P6!$C32</f>
        <v>0</v>
      </c>
      <c r="J26" s="776">
        <f>+[73]P6!$C32</f>
        <v>13</v>
      </c>
      <c r="K26" s="776">
        <f>+[74]P6!$C32</f>
        <v>3</v>
      </c>
      <c r="L26" s="776">
        <f>+[75]P6!$C32</f>
        <v>0</v>
      </c>
      <c r="M26" s="776">
        <f>+[76]P6!$C32</f>
        <v>0</v>
      </c>
      <c r="N26" s="776">
        <f>+[77]P6!$C32</f>
        <v>0</v>
      </c>
      <c r="O26" s="776">
        <f>+[78]P6!$C32</f>
        <v>1</v>
      </c>
      <c r="P26" s="776">
        <f>+[79]P6!$C32</f>
        <v>1</v>
      </c>
      <c r="Q26" s="776">
        <f>+[80]P6!$C32</f>
        <v>0</v>
      </c>
      <c r="R26" s="776">
        <f>+[81]P6!$C32</f>
        <v>4</v>
      </c>
      <c r="S26" s="776">
        <f>+[82]P6!$C32</f>
        <v>2</v>
      </c>
      <c r="T26" s="776">
        <f>+[83]P6!$C32</f>
        <v>0</v>
      </c>
      <c r="U26" s="776">
        <f>+[84]P6!$C88</f>
        <v>32</v>
      </c>
      <c r="V26" s="776">
        <f>+[85]P6!$C88</f>
        <v>1</v>
      </c>
      <c r="W26" s="762">
        <f t="shared" si="1"/>
        <v>69</v>
      </c>
      <c r="Z26" s="94"/>
    </row>
    <row r="27" spans="1:26" s="6" customFormat="1" ht="18.75" customHeight="1">
      <c r="A27" s="182" t="s">
        <v>1422</v>
      </c>
      <c r="B27" s="776">
        <f>+[65]P6!$C33</f>
        <v>0</v>
      </c>
      <c r="C27" s="776">
        <f>+[66]P6!$C33</f>
        <v>0</v>
      </c>
      <c r="D27" s="776">
        <f>+[67]P6!$C33</f>
        <v>0</v>
      </c>
      <c r="E27" s="776">
        <f>+[68]P6!$C33</f>
        <v>0</v>
      </c>
      <c r="F27" s="776">
        <f>+[69]P6!$C33</f>
        <v>0</v>
      </c>
      <c r="G27" s="776">
        <f>+[70]P6!$C33</f>
        <v>2</v>
      </c>
      <c r="H27" s="776">
        <f>+[71]P6!$C33</f>
        <v>1</v>
      </c>
      <c r="I27" s="776">
        <f>+[72]P6!$C33</f>
        <v>0</v>
      </c>
      <c r="J27" s="776">
        <f>+[73]P6!$C33</f>
        <v>6</v>
      </c>
      <c r="K27" s="776">
        <f>+[74]P6!$C33</f>
        <v>0</v>
      </c>
      <c r="L27" s="776">
        <f>+[75]P6!$C33</f>
        <v>0</v>
      </c>
      <c r="M27" s="776">
        <f>+[76]P6!$C33</f>
        <v>0</v>
      </c>
      <c r="N27" s="776">
        <f>+[77]P6!$C33</f>
        <v>0</v>
      </c>
      <c r="O27" s="776">
        <f>+[78]P6!$C33</f>
        <v>0</v>
      </c>
      <c r="P27" s="776">
        <f>+[79]P6!$C33</f>
        <v>0</v>
      </c>
      <c r="Q27" s="776">
        <f>+[80]P6!$C33</f>
        <v>4</v>
      </c>
      <c r="R27" s="776">
        <f>+[81]P6!$C33</f>
        <v>0</v>
      </c>
      <c r="S27" s="776">
        <f>+[82]P6!$C33</f>
        <v>0</v>
      </c>
      <c r="T27" s="776">
        <f>+[83]P6!$C33</f>
        <v>0</v>
      </c>
      <c r="U27" s="776">
        <f>+[84]P6!$C89</f>
        <v>13</v>
      </c>
      <c r="V27" s="776">
        <f>+[85]P6!$C89</f>
        <v>22</v>
      </c>
      <c r="W27" s="762">
        <f t="shared" si="1"/>
        <v>48</v>
      </c>
      <c r="Z27" s="94"/>
    </row>
    <row r="28" spans="1:26" s="6" customFormat="1" ht="18.75" customHeight="1">
      <c r="A28" s="182" t="s">
        <v>1423</v>
      </c>
      <c r="B28" s="776">
        <f>+[65]P6!$C34</f>
        <v>40</v>
      </c>
      <c r="C28" s="776">
        <f>+[66]P6!$C34</f>
        <v>6</v>
      </c>
      <c r="D28" s="776">
        <f>+[67]P6!$C34</f>
        <v>121</v>
      </c>
      <c r="E28" s="776">
        <f>+[68]P6!$C34</f>
        <v>0</v>
      </c>
      <c r="F28" s="776">
        <f>+[69]P6!$C34</f>
        <v>0</v>
      </c>
      <c r="G28" s="776">
        <f>+[70]P6!$C34</f>
        <v>21</v>
      </c>
      <c r="H28" s="776">
        <f>+[71]P6!$C34</f>
        <v>44</v>
      </c>
      <c r="I28" s="776">
        <f>+[72]P6!$C34</f>
        <v>128</v>
      </c>
      <c r="J28" s="776">
        <f>+[73]P6!$C34</f>
        <v>225</v>
      </c>
      <c r="K28" s="776">
        <f>+[74]P6!$C34</f>
        <v>15</v>
      </c>
      <c r="L28" s="776">
        <f>+[75]P6!$C34</f>
        <v>17</v>
      </c>
      <c r="M28" s="776">
        <f>+[76]P6!$C34</f>
        <v>16</v>
      </c>
      <c r="N28" s="776">
        <f>+[77]P6!$C34</f>
        <v>1</v>
      </c>
      <c r="O28" s="776">
        <f>+[78]P6!$C34</f>
        <v>55</v>
      </c>
      <c r="P28" s="776">
        <f>+[79]P6!$C34</f>
        <v>2</v>
      </c>
      <c r="Q28" s="776">
        <f>+[80]P6!$C34</f>
        <v>15</v>
      </c>
      <c r="R28" s="776">
        <f>+[81]P6!$C34</f>
        <v>20</v>
      </c>
      <c r="S28" s="776">
        <f>+[82]P6!$C34</f>
        <v>10</v>
      </c>
      <c r="T28" s="776">
        <f>+[83]P6!$C34</f>
        <v>0</v>
      </c>
      <c r="U28" s="776">
        <f>+[84]P6!$C90</f>
        <v>3</v>
      </c>
      <c r="V28" s="776">
        <f>+[85]P6!$C90</f>
        <v>0</v>
      </c>
      <c r="W28" s="762">
        <f t="shared" si="1"/>
        <v>739</v>
      </c>
      <c r="Z28" s="94"/>
    </row>
    <row r="29" spans="1:26" s="6" customFormat="1" ht="18.75" customHeight="1">
      <c r="A29" s="182" t="s">
        <v>1424</v>
      </c>
      <c r="B29" s="776">
        <f>+[65]P6!$C35</f>
        <v>7</v>
      </c>
      <c r="C29" s="776">
        <f>+[66]P6!$C35</f>
        <v>0</v>
      </c>
      <c r="D29" s="776">
        <f>+[67]P6!$C35</f>
        <v>11</v>
      </c>
      <c r="E29" s="776">
        <f>+[68]P6!$C35</f>
        <v>0</v>
      </c>
      <c r="F29" s="776">
        <f>+[69]P6!$C35</f>
        <v>0</v>
      </c>
      <c r="G29" s="776">
        <f>+[70]P6!$C35</f>
        <v>9</v>
      </c>
      <c r="H29" s="776">
        <f>+[71]P6!$C35</f>
        <v>3</v>
      </c>
      <c r="I29" s="776">
        <f>+[72]P6!$C35</f>
        <v>5</v>
      </c>
      <c r="J29" s="776">
        <f>+[73]P6!$C35</f>
        <v>19</v>
      </c>
      <c r="K29" s="776">
        <f>+[74]P6!$C35</f>
        <v>1</v>
      </c>
      <c r="L29" s="776">
        <f>+[75]P6!$C35</f>
        <v>0</v>
      </c>
      <c r="M29" s="776">
        <f>+[76]P6!$C35</f>
        <v>3</v>
      </c>
      <c r="N29" s="776">
        <f>+[77]P6!$C35</f>
        <v>1</v>
      </c>
      <c r="O29" s="776">
        <f>+[78]P6!$C35</f>
        <v>4</v>
      </c>
      <c r="P29" s="776">
        <f>+[79]P6!$C35</f>
        <v>1</v>
      </c>
      <c r="Q29" s="776">
        <f>+[80]P6!$C35</f>
        <v>0</v>
      </c>
      <c r="R29" s="776">
        <f>+[81]P6!$C35</f>
        <v>27</v>
      </c>
      <c r="S29" s="776">
        <f>+[82]P6!$C35</f>
        <v>2</v>
      </c>
      <c r="T29" s="776">
        <f>+[83]P6!$C35</f>
        <v>1</v>
      </c>
      <c r="U29" s="776">
        <f>+[84]P6!$C91</f>
        <v>18</v>
      </c>
      <c r="V29" s="776">
        <f>+[85]P6!$C91</f>
        <v>66</v>
      </c>
      <c r="W29" s="762">
        <f t="shared" si="1"/>
        <v>178</v>
      </c>
      <c r="Z29" s="94"/>
    </row>
    <row r="30" spans="1:26" s="6" customFormat="1" ht="18.75" customHeight="1">
      <c r="A30" s="182" t="s">
        <v>1425</v>
      </c>
      <c r="B30" s="776">
        <f>+[65]P6!$C36</f>
        <v>40</v>
      </c>
      <c r="C30" s="776">
        <f>+[66]P6!$C36</f>
        <v>10</v>
      </c>
      <c r="D30" s="776">
        <f>+[67]P6!$C36</f>
        <v>54</v>
      </c>
      <c r="E30" s="776">
        <f>+[68]P6!$C36</f>
        <v>12</v>
      </c>
      <c r="F30" s="776">
        <f>+[69]P6!$C36</f>
        <v>2</v>
      </c>
      <c r="G30" s="776">
        <f>+[70]P6!$C36</f>
        <v>85</v>
      </c>
      <c r="H30" s="776">
        <f>+[71]P6!$C36</f>
        <v>11</v>
      </c>
      <c r="I30" s="776">
        <f>+[72]P6!$C36</f>
        <v>41</v>
      </c>
      <c r="J30" s="776">
        <f>+[73]P6!$C36</f>
        <v>63</v>
      </c>
      <c r="K30" s="776">
        <f>+[74]P6!$C36</f>
        <v>15</v>
      </c>
      <c r="L30" s="776">
        <f>+[75]P6!$C36</f>
        <v>0</v>
      </c>
      <c r="M30" s="776">
        <f>+[76]P6!$C36</f>
        <v>21</v>
      </c>
      <c r="N30" s="776">
        <f>+[77]P6!$C36</f>
        <v>2</v>
      </c>
      <c r="O30" s="776">
        <f>+[78]P6!$C36</f>
        <v>25</v>
      </c>
      <c r="P30" s="776">
        <f>+[79]P6!$C36</f>
        <v>0</v>
      </c>
      <c r="Q30" s="776">
        <f>+[80]P6!$C36</f>
        <v>6</v>
      </c>
      <c r="R30" s="776">
        <f>+[81]P6!$C36</f>
        <v>37</v>
      </c>
      <c r="S30" s="776">
        <f>+[82]P6!$C36</f>
        <v>35</v>
      </c>
      <c r="T30" s="776">
        <f>+[83]P6!$C36</f>
        <v>2</v>
      </c>
      <c r="U30" s="776">
        <f>+[84]P6!$C92</f>
        <v>18</v>
      </c>
      <c r="V30" s="776">
        <f>+[85]P6!$C92</f>
        <v>21</v>
      </c>
      <c r="W30" s="762">
        <f t="shared" si="1"/>
        <v>500</v>
      </c>
      <c r="Z30" s="94"/>
    </row>
    <row r="31" spans="1:26" s="6" customFormat="1" ht="18.75" customHeight="1">
      <c r="A31" s="182" t="s">
        <v>1426</v>
      </c>
      <c r="B31" s="776">
        <f>+[65]P6!$C37</f>
        <v>4</v>
      </c>
      <c r="C31" s="776">
        <f>+[66]P6!$C37</f>
        <v>0</v>
      </c>
      <c r="D31" s="776">
        <f>+[67]P6!$C37</f>
        <v>1</v>
      </c>
      <c r="E31" s="776">
        <f>+[68]P6!$C37</f>
        <v>2</v>
      </c>
      <c r="F31" s="776">
        <f>+[69]P6!$C37</f>
        <v>0</v>
      </c>
      <c r="G31" s="776">
        <f>+[70]P6!$C37</f>
        <v>0</v>
      </c>
      <c r="H31" s="776">
        <f>+[71]P6!$C37</f>
        <v>1</v>
      </c>
      <c r="I31" s="776">
        <f>+[72]P6!$C37</f>
        <v>4</v>
      </c>
      <c r="J31" s="776">
        <f>+[73]P6!$C37</f>
        <v>9</v>
      </c>
      <c r="K31" s="776">
        <f>+[74]P6!$C37</f>
        <v>4</v>
      </c>
      <c r="L31" s="776">
        <f>+[75]P6!$C37</f>
        <v>0</v>
      </c>
      <c r="M31" s="776">
        <f>+[76]P6!$C37</f>
        <v>2</v>
      </c>
      <c r="N31" s="776">
        <f>+[77]P6!$C37</f>
        <v>0</v>
      </c>
      <c r="O31" s="776">
        <f>+[78]P6!$C37</f>
        <v>1</v>
      </c>
      <c r="P31" s="776">
        <f>+[79]P6!$C37</f>
        <v>0</v>
      </c>
      <c r="Q31" s="776">
        <f>+[80]P6!$C37</f>
        <v>0</v>
      </c>
      <c r="R31" s="776">
        <f>+[81]P6!$C37</f>
        <v>4</v>
      </c>
      <c r="S31" s="776">
        <f>+[82]P6!$C37</f>
        <v>0</v>
      </c>
      <c r="T31" s="776">
        <f>+[83]P6!$C37</f>
        <v>0</v>
      </c>
      <c r="U31" s="776">
        <f>+[84]P6!$C93</f>
        <v>4</v>
      </c>
      <c r="V31" s="776">
        <f>+[85]P6!$C93</f>
        <v>11</v>
      </c>
      <c r="W31" s="762">
        <f t="shared" si="1"/>
        <v>47</v>
      </c>
      <c r="Z31" s="94"/>
    </row>
    <row r="32" spans="1:26" s="6" customFormat="1" ht="18.75" customHeight="1">
      <c r="A32" s="182" t="s">
        <v>1427</v>
      </c>
      <c r="B32" s="776">
        <f>+[65]P6!$C38</f>
        <v>46</v>
      </c>
      <c r="C32" s="776">
        <f>+[66]P6!$C38</f>
        <v>2</v>
      </c>
      <c r="D32" s="776">
        <f>+[67]P6!$C38</f>
        <v>48</v>
      </c>
      <c r="E32" s="776">
        <f>+[68]P6!$C38</f>
        <v>19</v>
      </c>
      <c r="F32" s="776">
        <f>+[69]P6!$C38</f>
        <v>6</v>
      </c>
      <c r="G32" s="776">
        <f>+[70]P6!$C38</f>
        <v>34</v>
      </c>
      <c r="H32" s="776">
        <f>+[71]P6!$C38</f>
        <v>4</v>
      </c>
      <c r="I32" s="776">
        <f>+[72]P6!$C38</f>
        <v>40</v>
      </c>
      <c r="J32" s="776">
        <f>+[73]P6!$C38</f>
        <v>30</v>
      </c>
      <c r="K32" s="776">
        <f>+[74]P6!$C38</f>
        <v>3</v>
      </c>
      <c r="L32" s="776">
        <f>+[75]P6!$C38</f>
        <v>0</v>
      </c>
      <c r="M32" s="776">
        <f>+[76]P6!$C38</f>
        <v>48</v>
      </c>
      <c r="N32" s="776">
        <f>+[77]P6!$C38</f>
        <v>10</v>
      </c>
      <c r="O32" s="776">
        <f>+[78]P6!$C38</f>
        <v>28</v>
      </c>
      <c r="P32" s="776">
        <f>+[79]P6!$C38</f>
        <v>7</v>
      </c>
      <c r="Q32" s="776">
        <f>+[80]P6!$C38</f>
        <v>1</v>
      </c>
      <c r="R32" s="776">
        <f>+[81]P6!$C38</f>
        <v>60</v>
      </c>
      <c r="S32" s="776">
        <f>+[82]P6!$C38</f>
        <v>17</v>
      </c>
      <c r="T32" s="776">
        <f>+[83]P6!$C38</f>
        <v>3</v>
      </c>
      <c r="U32" s="776">
        <f>+[84]P6!$C94</f>
        <v>3</v>
      </c>
      <c r="V32" s="776">
        <f>+[85]P6!$C94</f>
        <v>2</v>
      </c>
      <c r="W32" s="762">
        <f t="shared" si="1"/>
        <v>411</v>
      </c>
      <c r="Z32" s="94"/>
    </row>
    <row r="33" spans="1:26" s="6" customFormat="1" ht="18.75" customHeight="1">
      <c r="A33" s="877" t="s">
        <v>1400</v>
      </c>
      <c r="B33" s="776">
        <f>+[65]P6!$C39</f>
        <v>353</v>
      </c>
      <c r="C33" s="776">
        <f>+[66]P6!$C39</f>
        <v>35</v>
      </c>
      <c r="D33" s="776">
        <f>+[67]P6!$C39</f>
        <v>479</v>
      </c>
      <c r="E33" s="776">
        <f>+[68]P6!$C39</f>
        <v>5</v>
      </c>
      <c r="F33" s="776">
        <f>+[69]P6!$C39</f>
        <v>2</v>
      </c>
      <c r="G33" s="776">
        <f>+[70]P6!$C39</f>
        <v>462</v>
      </c>
      <c r="H33" s="776">
        <f>+[71]P6!$C39</f>
        <v>306</v>
      </c>
      <c r="I33" s="776">
        <f>+[72]P6!$C39</f>
        <v>432</v>
      </c>
      <c r="J33" s="776">
        <f>+[73]P6!$C39</f>
        <v>431</v>
      </c>
      <c r="K33" s="776">
        <f>+[74]P6!$C39</f>
        <v>31</v>
      </c>
      <c r="L33" s="776">
        <f>+[75]P6!$C39</f>
        <v>232</v>
      </c>
      <c r="M33" s="776">
        <f>+[76]P6!$C39</f>
        <v>189</v>
      </c>
      <c r="N33" s="776">
        <f>+[77]P6!$C39</f>
        <v>19</v>
      </c>
      <c r="O33" s="776">
        <f>+[78]P6!$C39</f>
        <v>230</v>
      </c>
      <c r="P33" s="776">
        <f>+[79]P6!$C39</f>
        <v>73</v>
      </c>
      <c r="Q33" s="776">
        <f>+[80]P6!$C39</f>
        <v>119</v>
      </c>
      <c r="R33" s="776">
        <f>+[81]P6!$C39</f>
        <v>301</v>
      </c>
      <c r="S33" s="776">
        <f>+[82]P6!$C39</f>
        <v>148</v>
      </c>
      <c r="T33" s="776">
        <f>+[83]P6!$C39</f>
        <v>43</v>
      </c>
      <c r="U33" s="776">
        <f>+[84]P6!$C95</f>
        <v>37</v>
      </c>
      <c r="V33" s="776">
        <f>+[85]P6!$C95</f>
        <v>8</v>
      </c>
      <c r="W33" s="762">
        <f t="shared" si="1"/>
        <v>3935</v>
      </c>
    </row>
    <row r="34" spans="1:26" s="6" customFormat="1" ht="18.75" customHeight="1">
      <c r="A34" s="877" t="s">
        <v>1401</v>
      </c>
      <c r="B34" s="776">
        <f>+[65]P6!$C40</f>
        <v>5</v>
      </c>
      <c r="C34" s="776">
        <f>+[66]P6!$C40</f>
        <v>1</v>
      </c>
      <c r="D34" s="776">
        <f>+[67]P6!$C40</f>
        <v>14</v>
      </c>
      <c r="E34" s="776">
        <f>+[68]P6!$C40</f>
        <v>8</v>
      </c>
      <c r="F34" s="776">
        <f>+[69]P6!$C40</f>
        <v>0</v>
      </c>
      <c r="G34" s="776">
        <f>+[70]P6!$C40</f>
        <v>12</v>
      </c>
      <c r="H34" s="776">
        <f>+[71]P6!$C40</f>
        <v>4</v>
      </c>
      <c r="I34" s="776">
        <f>+[72]P6!$C40</f>
        <v>20</v>
      </c>
      <c r="J34" s="776">
        <f>+[73]P6!$C40</f>
        <v>10</v>
      </c>
      <c r="K34" s="776">
        <f>+[74]P6!$C40</f>
        <v>1</v>
      </c>
      <c r="L34" s="776">
        <f>+[75]P6!$C40</f>
        <v>0</v>
      </c>
      <c r="M34" s="776">
        <f>+[76]P6!$C40</f>
        <v>10</v>
      </c>
      <c r="N34" s="776">
        <f>+[77]P6!$C40</f>
        <v>1</v>
      </c>
      <c r="O34" s="776">
        <f>+[78]P6!$C40</f>
        <v>0</v>
      </c>
      <c r="P34" s="776">
        <f>+[79]P6!$C40</f>
        <v>0</v>
      </c>
      <c r="Q34" s="776">
        <f>+[80]P6!$C40</f>
        <v>1</v>
      </c>
      <c r="R34" s="776">
        <f>+[81]P6!$C40</f>
        <v>4</v>
      </c>
      <c r="S34" s="776">
        <f>+[82]P6!$C40</f>
        <v>21</v>
      </c>
      <c r="T34" s="776">
        <f>+[83]P6!$C40</f>
        <v>4</v>
      </c>
      <c r="U34" s="776">
        <f>+[84]P6!$C96</f>
        <v>44</v>
      </c>
      <c r="V34" s="776">
        <f>+[85]P6!$C96</f>
        <v>78</v>
      </c>
      <c r="W34" s="762">
        <f t="shared" si="1"/>
        <v>238</v>
      </c>
    </row>
    <row r="35" spans="1:26" s="6" customFormat="1" ht="18.75" customHeight="1">
      <c r="A35" s="876" t="s">
        <v>1402</v>
      </c>
      <c r="B35" s="776">
        <f>+[65]P6!$C41</f>
        <v>0</v>
      </c>
      <c r="C35" s="776">
        <f>+[66]P6!$C41</f>
        <v>0</v>
      </c>
      <c r="D35" s="776">
        <f>+[67]P6!$C41</f>
        <v>21</v>
      </c>
      <c r="E35" s="776">
        <f>+[68]P6!$C41</f>
        <v>0</v>
      </c>
      <c r="F35" s="776">
        <f>+[69]P6!$C41</f>
        <v>0</v>
      </c>
      <c r="G35" s="776">
        <f>+[70]P6!$C41</f>
        <v>21</v>
      </c>
      <c r="H35" s="776">
        <f>+[71]P6!$C41</f>
        <v>8</v>
      </c>
      <c r="I35" s="776">
        <f>+[72]P6!$C41</f>
        <v>25</v>
      </c>
      <c r="J35" s="776">
        <f>+[73]P6!$C41</f>
        <v>93</v>
      </c>
      <c r="K35" s="776">
        <f>+[74]P6!$C41</f>
        <v>6</v>
      </c>
      <c r="L35" s="776">
        <f>+[75]P6!$C41</f>
        <v>2</v>
      </c>
      <c r="M35" s="776">
        <f>+[76]P6!$C41</f>
        <v>7</v>
      </c>
      <c r="N35" s="776">
        <f>+[77]P6!$C41</f>
        <v>0</v>
      </c>
      <c r="O35" s="776">
        <f>+[78]P6!$C41</f>
        <v>3</v>
      </c>
      <c r="P35" s="776">
        <f>+[79]P6!$C41</f>
        <v>3</v>
      </c>
      <c r="Q35" s="776">
        <f>+[80]P6!$C41</f>
        <v>3</v>
      </c>
      <c r="R35" s="776">
        <f>+[81]P6!$C41</f>
        <v>39</v>
      </c>
      <c r="S35" s="776">
        <f>+[82]P6!$C41</f>
        <v>19</v>
      </c>
      <c r="T35" s="776">
        <f>+[83]P6!$C41</f>
        <v>3</v>
      </c>
      <c r="U35" s="776">
        <f>+[84]P6!$C97</f>
        <v>5</v>
      </c>
      <c r="V35" s="776">
        <f>+[85]P6!$C97</f>
        <v>13</v>
      </c>
      <c r="W35" s="762">
        <f t="shared" si="1"/>
        <v>271</v>
      </c>
    </row>
    <row r="36" spans="1:26" s="6" customFormat="1" ht="18.75" customHeight="1">
      <c r="A36" s="322" t="s">
        <v>1</v>
      </c>
      <c r="B36" s="776">
        <f>+[65]P6!$C42</f>
        <v>0</v>
      </c>
      <c r="C36" s="776">
        <f>+[66]P6!$C42</f>
        <v>0</v>
      </c>
      <c r="D36" s="776">
        <f>+[67]P6!$C42</f>
        <v>12</v>
      </c>
      <c r="E36" s="776">
        <f>+[68]P6!$C42</f>
        <v>0</v>
      </c>
      <c r="F36" s="776">
        <f>+[69]P6!$C42</f>
        <v>0</v>
      </c>
      <c r="G36" s="776">
        <f>+[70]P6!$C42</f>
        <v>4</v>
      </c>
      <c r="H36" s="776">
        <f>+[71]P6!$C42</f>
        <v>1</v>
      </c>
      <c r="I36" s="776">
        <f>+[72]P6!$C42</f>
        <v>7</v>
      </c>
      <c r="J36" s="776">
        <f>+[73]P6!$C42</f>
        <v>20</v>
      </c>
      <c r="K36" s="776">
        <f>+[74]P6!$C42</f>
        <v>4</v>
      </c>
      <c r="L36" s="776">
        <f>+[75]P6!$C42</f>
        <v>0</v>
      </c>
      <c r="M36" s="776">
        <f>+[76]P6!$C42</f>
        <v>2</v>
      </c>
      <c r="N36" s="776">
        <f>+[77]P6!$C42</f>
        <v>0</v>
      </c>
      <c r="O36" s="776">
        <f>+[78]P6!$C42</f>
        <v>0</v>
      </c>
      <c r="P36" s="776">
        <f>+[79]P6!$C42</f>
        <v>0</v>
      </c>
      <c r="Q36" s="776">
        <f>+[80]P6!$C42</f>
        <v>3</v>
      </c>
      <c r="R36" s="776">
        <f>+[81]P6!$C42</f>
        <v>35</v>
      </c>
      <c r="S36" s="776">
        <f>+[82]P6!$C42</f>
        <v>12</v>
      </c>
      <c r="T36" s="776">
        <f>+[83]P6!$C42</f>
        <v>0</v>
      </c>
      <c r="U36" s="776">
        <f>+[84]P6!$C98</f>
        <v>10</v>
      </c>
      <c r="V36" s="776">
        <f>+[85]P6!$C98</f>
        <v>8</v>
      </c>
      <c r="W36" s="762">
        <f t="shared" si="1"/>
        <v>118</v>
      </c>
    </row>
    <row r="37" spans="1:26" s="6" customFormat="1" ht="18.75" customHeight="1">
      <c r="A37" s="322" t="s">
        <v>257</v>
      </c>
      <c r="B37" s="776">
        <f>+[65]P6!$C43</f>
        <v>1</v>
      </c>
      <c r="C37" s="776">
        <f>+[66]P6!$C43</f>
        <v>0</v>
      </c>
      <c r="D37" s="776">
        <f>+[67]P6!$C43</f>
        <v>0</v>
      </c>
      <c r="E37" s="776">
        <f>+[68]P6!$C43</f>
        <v>3</v>
      </c>
      <c r="F37" s="776">
        <f>+[69]P6!$C43</f>
        <v>0</v>
      </c>
      <c r="G37" s="776">
        <f>+[70]P6!$C43</f>
        <v>0</v>
      </c>
      <c r="H37" s="776">
        <f>+[71]P6!$C43</f>
        <v>2</v>
      </c>
      <c r="I37" s="776">
        <f>+[72]P6!$C43</f>
        <v>3</v>
      </c>
      <c r="J37" s="776">
        <f>+[73]P6!$C43</f>
        <v>0</v>
      </c>
      <c r="K37" s="776">
        <f>+[74]P6!$C43</f>
        <v>0</v>
      </c>
      <c r="L37" s="776">
        <f>+[75]P6!$C43</f>
        <v>1</v>
      </c>
      <c r="M37" s="776">
        <f>+[76]P6!$C43</f>
        <v>1</v>
      </c>
      <c r="N37" s="776">
        <f>+[77]P6!$C43</f>
        <v>0</v>
      </c>
      <c r="O37" s="776">
        <f>+[78]P6!$C43</f>
        <v>0</v>
      </c>
      <c r="P37" s="776">
        <f>+[79]P6!$C43</f>
        <v>0</v>
      </c>
      <c r="Q37" s="776">
        <f>+[80]P6!$C43</f>
        <v>0</v>
      </c>
      <c r="R37" s="776">
        <f>+[81]P6!$C43</f>
        <v>0</v>
      </c>
      <c r="S37" s="776">
        <f>+[82]P6!$C43</f>
        <v>0</v>
      </c>
      <c r="T37" s="776">
        <f>+[83]P6!$C43</f>
        <v>0</v>
      </c>
      <c r="U37" s="776">
        <f>+[84]P6!$C99</f>
        <v>1</v>
      </c>
      <c r="V37" s="776">
        <f>+[85]P6!$C99</f>
        <v>7</v>
      </c>
      <c r="W37" s="762">
        <f t="shared" si="1"/>
        <v>19</v>
      </c>
    </row>
    <row r="38" spans="1:26" s="6" customFormat="1" ht="18.75" customHeight="1">
      <c r="A38" s="322" t="s">
        <v>2</v>
      </c>
      <c r="B38" s="776">
        <f>+[65]P6!$C44</f>
        <v>31</v>
      </c>
      <c r="C38" s="776">
        <f>+[66]P6!$C44</f>
        <v>3</v>
      </c>
      <c r="D38" s="776">
        <f>+[67]P6!$C44</f>
        <v>50</v>
      </c>
      <c r="E38" s="776">
        <f>+[68]P6!$C44</f>
        <v>6</v>
      </c>
      <c r="F38" s="776">
        <f>+[69]P6!$C44</f>
        <v>0</v>
      </c>
      <c r="G38" s="776">
        <f>+[70]P6!$C44</f>
        <v>41</v>
      </c>
      <c r="H38" s="776">
        <f>+[71]P6!$C44</f>
        <v>15</v>
      </c>
      <c r="I38" s="776">
        <f>+[72]P6!$C44</f>
        <v>139</v>
      </c>
      <c r="J38" s="776">
        <f>+[73]P6!$C44</f>
        <v>44</v>
      </c>
      <c r="K38" s="776">
        <f>+[74]P6!$C44</f>
        <v>19</v>
      </c>
      <c r="L38" s="776">
        <f>+[75]P6!$C44</f>
        <v>0</v>
      </c>
      <c r="M38" s="776">
        <f>+[76]P6!$C44</f>
        <v>75</v>
      </c>
      <c r="N38" s="776">
        <f>+[77]P6!$C44</f>
        <v>2</v>
      </c>
      <c r="O38" s="776">
        <f>+[78]P6!$C44</f>
        <v>69</v>
      </c>
      <c r="P38" s="776">
        <f>+[79]P6!$C44</f>
        <v>5</v>
      </c>
      <c r="Q38" s="776">
        <f>+[80]P6!$C44</f>
        <v>0</v>
      </c>
      <c r="R38" s="776">
        <f>+[81]P6!$C44</f>
        <v>132</v>
      </c>
      <c r="S38" s="776">
        <f>+[82]P6!$C44</f>
        <v>3</v>
      </c>
      <c r="T38" s="776">
        <f>+[83]P6!$C44</f>
        <v>0</v>
      </c>
      <c r="U38" s="776">
        <f>+[84]P6!$C100</f>
        <v>159</v>
      </c>
      <c r="V38" s="776">
        <f>+[85]P6!$C100</f>
        <v>97</v>
      </c>
      <c r="W38" s="762">
        <f t="shared" si="1"/>
        <v>890</v>
      </c>
    </row>
    <row r="39" spans="1:26" s="6" customFormat="1" ht="18.75" customHeight="1">
      <c r="A39" s="322" t="s">
        <v>3</v>
      </c>
      <c r="B39" s="776">
        <f>+[65]P6!$C45</f>
        <v>5</v>
      </c>
      <c r="C39" s="776">
        <f>+[66]P6!$C45</f>
        <v>0</v>
      </c>
      <c r="D39" s="776">
        <f>+[67]P6!$C45</f>
        <v>3</v>
      </c>
      <c r="E39" s="776">
        <f>+[68]P6!$C45</f>
        <v>0</v>
      </c>
      <c r="F39" s="776">
        <f>+[69]P6!$C45</f>
        <v>0</v>
      </c>
      <c r="G39" s="776">
        <f>+[70]P6!$C45</f>
        <v>5</v>
      </c>
      <c r="H39" s="776">
        <f>+[71]P6!$C45</f>
        <v>1</v>
      </c>
      <c r="I39" s="776">
        <f>+[72]P6!$C45</f>
        <v>12</v>
      </c>
      <c r="J39" s="776">
        <f>+[73]P6!$C45</f>
        <v>12</v>
      </c>
      <c r="K39" s="776">
        <f>+[74]P6!$C45</f>
        <v>0</v>
      </c>
      <c r="L39" s="776">
        <f>+[75]P6!$C45</f>
        <v>0</v>
      </c>
      <c r="M39" s="776">
        <f>+[76]P6!$C45</f>
        <v>4</v>
      </c>
      <c r="N39" s="776">
        <f>+[77]P6!$C45</f>
        <v>0</v>
      </c>
      <c r="O39" s="776">
        <f>+[78]P6!$C45</f>
        <v>4</v>
      </c>
      <c r="P39" s="776">
        <f>+[79]P6!$C45</f>
        <v>0</v>
      </c>
      <c r="Q39" s="776">
        <f>+[80]P6!$C45</f>
        <v>0</v>
      </c>
      <c r="R39" s="776">
        <f>+[81]P6!$C45</f>
        <v>7</v>
      </c>
      <c r="S39" s="776">
        <f>+[82]P6!$C45</f>
        <v>1</v>
      </c>
      <c r="T39" s="776">
        <f>+[83]P6!$C45</f>
        <v>0</v>
      </c>
      <c r="U39" s="776">
        <f>+[84]P6!$C101</f>
        <v>31</v>
      </c>
      <c r="V39" s="776">
        <f>+[85]P6!$C101</f>
        <v>25</v>
      </c>
      <c r="W39" s="762">
        <f t="shared" si="1"/>
        <v>110</v>
      </c>
    </row>
    <row r="40" spans="1:26" s="6" customFormat="1" ht="18.75" customHeight="1">
      <c r="A40" s="322" t="s">
        <v>4</v>
      </c>
      <c r="B40" s="776">
        <f>+[65]P6!$C46</f>
        <v>7</v>
      </c>
      <c r="C40" s="776">
        <f>+[66]P6!$C46</f>
        <v>3</v>
      </c>
      <c r="D40" s="776">
        <f>+[67]P6!$C46</f>
        <v>14</v>
      </c>
      <c r="E40" s="776">
        <f>+[68]P6!$C46</f>
        <v>1</v>
      </c>
      <c r="F40" s="776">
        <f>+[69]P6!$C46</f>
        <v>0</v>
      </c>
      <c r="G40" s="776">
        <f>+[70]P6!$C46</f>
        <v>7</v>
      </c>
      <c r="H40" s="776">
        <f>+[71]P6!$C46</f>
        <v>9</v>
      </c>
      <c r="I40" s="776">
        <f>+[72]P6!$C46</f>
        <v>8</v>
      </c>
      <c r="J40" s="776">
        <f>+[73]P6!$C46</f>
        <v>14</v>
      </c>
      <c r="K40" s="776">
        <f>+[74]P6!$C46</f>
        <v>2</v>
      </c>
      <c r="L40" s="776">
        <f>+[75]P6!$C46</f>
        <v>1</v>
      </c>
      <c r="M40" s="776">
        <f>+[76]P6!$C46</f>
        <v>4</v>
      </c>
      <c r="N40" s="776">
        <f>+[77]P6!$C46</f>
        <v>0</v>
      </c>
      <c r="O40" s="776">
        <f>+[78]P6!$C46</f>
        <v>3</v>
      </c>
      <c r="P40" s="776">
        <f>+[79]P6!$C46</f>
        <v>0</v>
      </c>
      <c r="Q40" s="776">
        <f>+[80]P6!$C46</f>
        <v>1</v>
      </c>
      <c r="R40" s="776">
        <f>+[81]P6!$C46</f>
        <v>4</v>
      </c>
      <c r="S40" s="776">
        <f>+[82]P6!$C46</f>
        <v>7</v>
      </c>
      <c r="T40" s="776">
        <f>+[83]P6!$C46</f>
        <v>0</v>
      </c>
      <c r="U40" s="776">
        <f>+[84]P6!$C102</f>
        <v>10</v>
      </c>
      <c r="V40" s="776">
        <f>+[85]P6!$C102</f>
        <v>5</v>
      </c>
      <c r="W40" s="762">
        <f t="shared" si="1"/>
        <v>100</v>
      </c>
      <c r="Z40" s="94"/>
    </row>
    <row r="41" spans="1:26" s="6" customFormat="1" ht="18.75" customHeight="1">
      <c r="A41" s="182" t="s">
        <v>1460</v>
      </c>
      <c r="B41" s="776">
        <f>+[65]P6!$C47</f>
        <v>48</v>
      </c>
      <c r="C41" s="776">
        <f>+[66]P6!$C47</f>
        <v>5</v>
      </c>
      <c r="D41" s="776">
        <f>+[67]P6!$C47</f>
        <v>25</v>
      </c>
      <c r="E41" s="776">
        <f>+[68]P6!$C47</f>
        <v>7</v>
      </c>
      <c r="F41" s="776">
        <f>+[69]P6!$C47</f>
        <v>0</v>
      </c>
      <c r="G41" s="776">
        <f>+[70]P6!$C47</f>
        <v>29</v>
      </c>
      <c r="H41" s="776">
        <f>+[71]P6!$C47</f>
        <v>21</v>
      </c>
      <c r="I41" s="776">
        <f>+[72]P6!$C47</f>
        <v>31</v>
      </c>
      <c r="J41" s="776">
        <f>+[73]P6!$C47</f>
        <v>50</v>
      </c>
      <c r="K41" s="776">
        <f>+[74]P6!$C47</f>
        <v>9</v>
      </c>
      <c r="L41" s="776">
        <f>+[75]P6!$C47</f>
        <v>5</v>
      </c>
      <c r="M41" s="776">
        <f>+[76]P6!$C47</f>
        <v>6</v>
      </c>
      <c r="N41" s="776">
        <f>+[77]P6!$C47</f>
        <v>0</v>
      </c>
      <c r="O41" s="776">
        <f>+[78]P6!$C47</f>
        <v>13</v>
      </c>
      <c r="P41" s="776">
        <f>+[79]P6!$C47</f>
        <v>4</v>
      </c>
      <c r="Q41" s="776">
        <f>+[80]P6!$C47</f>
        <v>0</v>
      </c>
      <c r="R41" s="776">
        <f>+[81]P6!$C47</f>
        <v>19</v>
      </c>
      <c r="S41" s="776">
        <f>+[82]P6!$C47</f>
        <v>38</v>
      </c>
      <c r="T41" s="776">
        <f>+[83]P6!$C47</f>
        <v>1</v>
      </c>
      <c r="U41" s="776">
        <f>+[84]P6!$C103</f>
        <v>61</v>
      </c>
      <c r="V41" s="776">
        <f>+[85]P6!$C103</f>
        <v>55</v>
      </c>
      <c r="W41" s="762">
        <f>SUM(B41:V41)</f>
        <v>427</v>
      </c>
      <c r="Z41" s="94"/>
    </row>
    <row r="42" spans="1:26" s="6" customFormat="1" ht="18.75" customHeight="1">
      <c r="A42" s="182" t="s">
        <v>1461</v>
      </c>
      <c r="B42" s="776">
        <f>+[65]P6!$C48</f>
        <v>23</v>
      </c>
      <c r="C42" s="776">
        <f>+[66]P6!$C48</f>
        <v>1</v>
      </c>
      <c r="D42" s="776">
        <f>+[67]P6!$C48</f>
        <v>10</v>
      </c>
      <c r="E42" s="776">
        <f>+[68]P6!$C48</f>
        <v>2</v>
      </c>
      <c r="F42" s="776">
        <f>+[69]P6!$C48</f>
        <v>0</v>
      </c>
      <c r="G42" s="776">
        <f>+[70]P6!$C48</f>
        <v>6</v>
      </c>
      <c r="H42" s="776">
        <f>+[71]P6!$C48</f>
        <v>1</v>
      </c>
      <c r="I42" s="776">
        <f>+[72]P6!$C48</f>
        <v>9</v>
      </c>
      <c r="J42" s="776">
        <f>+[73]P6!$C48</f>
        <v>30</v>
      </c>
      <c r="K42" s="776">
        <f>+[74]P6!$C48</f>
        <v>6</v>
      </c>
      <c r="L42" s="776">
        <f>+[75]P6!$C48</f>
        <v>4</v>
      </c>
      <c r="M42" s="776">
        <f>+[76]P6!$C48</f>
        <v>3</v>
      </c>
      <c r="N42" s="776">
        <f>+[77]P6!$C48</f>
        <v>1</v>
      </c>
      <c r="O42" s="776">
        <f>+[78]P6!$C48</f>
        <v>15</v>
      </c>
      <c r="P42" s="776">
        <f>+[79]P6!$C48</f>
        <v>1</v>
      </c>
      <c r="Q42" s="776">
        <f>+[80]P6!$C48</f>
        <v>0</v>
      </c>
      <c r="R42" s="776">
        <f>+[81]P6!$C48</f>
        <v>7</v>
      </c>
      <c r="S42" s="776">
        <f>+[82]P6!$C48</f>
        <v>24</v>
      </c>
      <c r="T42" s="776">
        <f>+[83]P6!$C48</f>
        <v>4</v>
      </c>
      <c r="U42" s="776">
        <f>+[84]P6!$C104</f>
        <v>212</v>
      </c>
      <c r="V42" s="776">
        <f>+[85]P6!$C104</f>
        <v>138</v>
      </c>
      <c r="W42" s="762">
        <f>SUM(B42:V42)</f>
        <v>497</v>
      </c>
      <c r="Z42" s="94"/>
    </row>
    <row r="43" spans="1:26" s="6" customFormat="1" ht="18.75" customHeight="1">
      <c r="A43" s="182" t="s">
        <v>1462</v>
      </c>
      <c r="B43" s="776">
        <f>+[65]P6!$C49</f>
        <v>2</v>
      </c>
      <c r="C43" s="776">
        <f>+[66]P6!$C49</f>
        <v>0</v>
      </c>
      <c r="D43" s="776">
        <f>+[67]P6!$C49</f>
        <v>0</v>
      </c>
      <c r="E43" s="776">
        <f>+[68]P6!$C49</f>
        <v>0</v>
      </c>
      <c r="F43" s="776">
        <f>+[69]P6!$C49</f>
        <v>0</v>
      </c>
      <c r="G43" s="776">
        <f>+[70]P6!$C49</f>
        <v>0</v>
      </c>
      <c r="H43" s="776">
        <f>+[71]P6!$C49</f>
        <v>0</v>
      </c>
      <c r="I43" s="776">
        <f>+[72]P6!$C49</f>
        <v>0</v>
      </c>
      <c r="J43" s="776">
        <f>+[73]P6!$C49</f>
        <v>0</v>
      </c>
      <c r="K43" s="776">
        <f>+[74]P6!$C49</f>
        <v>0</v>
      </c>
      <c r="L43" s="776">
        <f>+[75]P6!$C49</f>
        <v>0</v>
      </c>
      <c r="M43" s="776">
        <f>+[76]P6!$C49</f>
        <v>0</v>
      </c>
      <c r="N43" s="776">
        <f>+[77]P6!$C49</f>
        <v>0</v>
      </c>
      <c r="O43" s="776">
        <f>+[78]P6!$C49</f>
        <v>1</v>
      </c>
      <c r="P43" s="776">
        <f>+[79]P6!$C49</f>
        <v>0</v>
      </c>
      <c r="Q43" s="776">
        <f>+[80]P6!$C49</f>
        <v>0</v>
      </c>
      <c r="R43" s="776">
        <f>+[81]P6!$C49</f>
        <v>0</v>
      </c>
      <c r="S43" s="776">
        <f>+[82]P6!$C49</f>
        <v>8</v>
      </c>
      <c r="T43" s="776">
        <f>+[83]P6!$C49</f>
        <v>0</v>
      </c>
      <c r="U43" s="776">
        <f>+[84]P6!$C105</f>
        <v>43</v>
      </c>
      <c r="V43" s="776">
        <f>+[85]P6!$C105</f>
        <v>34</v>
      </c>
      <c r="W43" s="762">
        <f>SUM(B43:V43)</f>
        <v>88</v>
      </c>
      <c r="Z43" s="94"/>
    </row>
    <row r="44" spans="1:26" s="6" customFormat="1" ht="18.75" customHeight="1">
      <c r="A44" s="182" t="s">
        <v>1463</v>
      </c>
      <c r="B44" s="776">
        <f>+[65]P6!$C50</f>
        <v>0</v>
      </c>
      <c r="C44" s="776">
        <f>+[66]P6!$C50</f>
        <v>0</v>
      </c>
      <c r="D44" s="776">
        <f>+[67]P6!$C50</f>
        <v>0</v>
      </c>
      <c r="E44" s="776">
        <f>+[68]P6!$C50</f>
        <v>0</v>
      </c>
      <c r="F44" s="776">
        <f>+[69]P6!$C50</f>
        <v>0</v>
      </c>
      <c r="G44" s="776">
        <f>+[70]P6!$C50</f>
        <v>0</v>
      </c>
      <c r="H44" s="776">
        <f>+[71]P6!$C50</f>
        <v>0</v>
      </c>
      <c r="I44" s="776">
        <f>+[72]P6!$C50</f>
        <v>0</v>
      </c>
      <c r="J44" s="776">
        <f>+[73]P6!$C50</f>
        <v>0</v>
      </c>
      <c r="K44" s="776">
        <f>+[74]P6!$C50</f>
        <v>0</v>
      </c>
      <c r="L44" s="776">
        <f>+[75]P6!$C50</f>
        <v>0</v>
      </c>
      <c r="M44" s="776">
        <f>+[76]P6!$C50</f>
        <v>0</v>
      </c>
      <c r="N44" s="776">
        <f>+[77]P6!$C50</f>
        <v>0</v>
      </c>
      <c r="O44" s="776">
        <f>+[78]P6!$C50</f>
        <v>0</v>
      </c>
      <c r="P44" s="776">
        <f>+[79]P6!$C50</f>
        <v>0</v>
      </c>
      <c r="Q44" s="776">
        <f>+[80]P6!$C50</f>
        <v>0</v>
      </c>
      <c r="R44" s="776">
        <f>+[81]P6!$C50</f>
        <v>0</v>
      </c>
      <c r="S44" s="776">
        <f>+[82]P6!$C50</f>
        <v>0</v>
      </c>
      <c r="T44" s="776">
        <f>+[83]P6!$C50</f>
        <v>0</v>
      </c>
      <c r="U44" s="776">
        <f>+[84]P6!$C106</f>
        <v>16</v>
      </c>
      <c r="V44" s="776">
        <f>+[85]P6!$C106</f>
        <v>6</v>
      </c>
      <c r="W44" s="762">
        <f>SUM(B44:V44)</f>
        <v>22</v>
      </c>
      <c r="Z44" s="94"/>
    </row>
    <row r="45" spans="1:26" s="6" customFormat="1" ht="18.75" customHeight="1">
      <c r="A45" s="182" t="s">
        <v>1464</v>
      </c>
      <c r="B45" s="776">
        <f>+[65]P6!$C47</f>
        <v>48</v>
      </c>
      <c r="C45" s="776">
        <f>+[66]P6!$C47</f>
        <v>5</v>
      </c>
      <c r="D45" s="776">
        <f>+[67]P6!$C47</f>
        <v>25</v>
      </c>
      <c r="E45" s="776">
        <f>+[68]P6!$C47</f>
        <v>7</v>
      </c>
      <c r="F45" s="776">
        <f>+[69]P6!$C47</f>
        <v>0</v>
      </c>
      <c r="G45" s="776">
        <f>+[70]P6!$C47</f>
        <v>29</v>
      </c>
      <c r="H45" s="776">
        <f>+[71]P6!$C47</f>
        <v>21</v>
      </c>
      <c r="I45" s="776">
        <f>+[72]P6!$C47</f>
        <v>31</v>
      </c>
      <c r="J45" s="776">
        <f>+[73]P6!$C47</f>
        <v>50</v>
      </c>
      <c r="K45" s="776">
        <f>+[74]P6!$C47</f>
        <v>9</v>
      </c>
      <c r="L45" s="776">
        <f>+[75]P6!$C47</f>
        <v>5</v>
      </c>
      <c r="M45" s="776">
        <f>+[76]P6!$C47</f>
        <v>6</v>
      </c>
      <c r="N45" s="776">
        <f>+[77]P6!$C47</f>
        <v>0</v>
      </c>
      <c r="O45" s="776">
        <f>+[78]P6!$C47</f>
        <v>13</v>
      </c>
      <c r="P45" s="776">
        <f>+[79]P6!$C47</f>
        <v>4</v>
      </c>
      <c r="Q45" s="776">
        <f>+[80]P6!$C47</f>
        <v>0</v>
      </c>
      <c r="R45" s="776">
        <f>+[81]P6!$C47</f>
        <v>19</v>
      </c>
      <c r="S45" s="776">
        <f>+[82]P6!$C47</f>
        <v>38</v>
      </c>
      <c r="T45" s="776">
        <f>+[83]P6!$C47</f>
        <v>1</v>
      </c>
      <c r="U45" s="776">
        <f>+[84]P6!$C107</f>
        <v>0</v>
      </c>
      <c r="V45" s="776">
        <f>+[85]P6!$C107</f>
        <v>1</v>
      </c>
      <c r="W45" s="762">
        <f t="shared" si="1"/>
        <v>312</v>
      </c>
    </row>
    <row r="46" spans="1:26" s="6" customFormat="1" ht="18.75" customHeight="1">
      <c r="A46" s="322" t="s">
        <v>1428</v>
      </c>
      <c r="B46" s="776">
        <f>+[65]P6!$C48</f>
        <v>23</v>
      </c>
      <c r="C46" s="776">
        <f>+[66]P6!$C48</f>
        <v>1</v>
      </c>
      <c r="D46" s="776">
        <f>+[67]P6!$C48</f>
        <v>10</v>
      </c>
      <c r="E46" s="776">
        <f>+[68]P6!$C48</f>
        <v>2</v>
      </c>
      <c r="F46" s="776">
        <f>+[69]P6!$C48</f>
        <v>0</v>
      </c>
      <c r="G46" s="776">
        <f>+[70]P6!$C48</f>
        <v>6</v>
      </c>
      <c r="H46" s="776">
        <f>+[71]P6!$C48</f>
        <v>1</v>
      </c>
      <c r="I46" s="776">
        <f>+[72]P6!$C48</f>
        <v>9</v>
      </c>
      <c r="J46" s="776">
        <f>+[73]P6!$C48</f>
        <v>30</v>
      </c>
      <c r="K46" s="776">
        <f>+[74]P6!$C48</f>
        <v>6</v>
      </c>
      <c r="L46" s="776">
        <f>+[75]P6!$C48</f>
        <v>4</v>
      </c>
      <c r="M46" s="776">
        <f>+[76]P6!$C48</f>
        <v>3</v>
      </c>
      <c r="N46" s="776">
        <f>+[77]P6!$C48</f>
        <v>1</v>
      </c>
      <c r="O46" s="776">
        <f>+[78]P6!$C48</f>
        <v>15</v>
      </c>
      <c r="P46" s="776">
        <f>+[79]P6!$C48</f>
        <v>1</v>
      </c>
      <c r="Q46" s="776">
        <f>+[80]P6!$C48</f>
        <v>0</v>
      </c>
      <c r="R46" s="776">
        <f>+[81]P6!$C48</f>
        <v>7</v>
      </c>
      <c r="S46" s="776">
        <f>+[82]P6!$C48</f>
        <v>24</v>
      </c>
      <c r="T46" s="776">
        <f>+[83]P6!$C48</f>
        <v>4</v>
      </c>
      <c r="U46" s="776">
        <f>+[84]P6!$C108</f>
        <v>0</v>
      </c>
      <c r="V46" s="776">
        <f>+[85]P6!$C108</f>
        <v>0</v>
      </c>
      <c r="W46" s="762">
        <f t="shared" si="1"/>
        <v>147</v>
      </c>
    </row>
    <row r="47" spans="1:26" s="6" customFormat="1" ht="18.75" customHeight="1">
      <c r="A47" s="182" t="s">
        <v>438</v>
      </c>
      <c r="B47" s="776">
        <f>+[65]P6!$C49</f>
        <v>2</v>
      </c>
      <c r="C47" s="776">
        <f>+[66]P6!$C49</f>
        <v>0</v>
      </c>
      <c r="D47" s="776">
        <f>+[67]P6!$C49</f>
        <v>0</v>
      </c>
      <c r="E47" s="776">
        <f>+[68]P6!$C49</f>
        <v>0</v>
      </c>
      <c r="F47" s="776">
        <f>+[69]P6!$C49</f>
        <v>0</v>
      </c>
      <c r="G47" s="776">
        <f>+[70]P6!$C49</f>
        <v>0</v>
      </c>
      <c r="H47" s="776">
        <f>+[71]P6!$C49</f>
        <v>0</v>
      </c>
      <c r="I47" s="776">
        <f>+[72]P6!$C49</f>
        <v>0</v>
      </c>
      <c r="J47" s="776">
        <f>+[73]P6!$C49</f>
        <v>0</v>
      </c>
      <c r="K47" s="776">
        <f>+[74]P6!$C49</f>
        <v>0</v>
      </c>
      <c r="L47" s="776">
        <f>+[75]P6!$C49</f>
        <v>0</v>
      </c>
      <c r="M47" s="776">
        <f>+[76]P6!$C49</f>
        <v>0</v>
      </c>
      <c r="N47" s="776">
        <f>+[77]P6!$C49</f>
        <v>0</v>
      </c>
      <c r="O47" s="776">
        <f>+[78]P6!$C49</f>
        <v>1</v>
      </c>
      <c r="P47" s="776">
        <f>+[79]P6!$C49</f>
        <v>0</v>
      </c>
      <c r="Q47" s="776">
        <f>+[80]P6!$C49</f>
        <v>0</v>
      </c>
      <c r="R47" s="776">
        <f>+[81]P6!$C49</f>
        <v>0</v>
      </c>
      <c r="S47" s="776">
        <f>+[82]P6!$C49</f>
        <v>8</v>
      </c>
      <c r="T47" s="776">
        <f>+[83]P6!$C49</f>
        <v>0</v>
      </c>
      <c r="U47" s="776">
        <f>+[84]P6!$C109</f>
        <v>20</v>
      </c>
      <c r="V47" s="776">
        <f>+[85]P6!$C109</f>
        <v>9</v>
      </c>
      <c r="W47" s="762">
        <f t="shared" si="1"/>
        <v>40</v>
      </c>
    </row>
    <row r="48" spans="1:26" s="6" customFormat="1" ht="18.75" customHeight="1">
      <c r="A48" s="1269" t="s">
        <v>675</v>
      </c>
      <c r="B48" s="1373">
        <f t="shared" ref="B48:C48" si="2">SUM(B15:B47)</f>
        <v>1253</v>
      </c>
      <c r="C48" s="1373">
        <f t="shared" si="2"/>
        <v>112</v>
      </c>
      <c r="D48" s="1373">
        <f t="shared" ref="D48:V48" si="3">SUM(D15:D47)</f>
        <v>1262</v>
      </c>
      <c r="E48" s="1373">
        <f t="shared" si="3"/>
        <v>216</v>
      </c>
      <c r="F48" s="1373">
        <f t="shared" si="3"/>
        <v>36</v>
      </c>
      <c r="G48" s="1373">
        <f t="shared" si="3"/>
        <v>1074</v>
      </c>
      <c r="H48" s="1373">
        <f t="shared" si="3"/>
        <v>691</v>
      </c>
      <c r="I48" s="1373">
        <f t="shared" si="3"/>
        <v>1345</v>
      </c>
      <c r="J48" s="1373">
        <f t="shared" si="3"/>
        <v>1736</v>
      </c>
      <c r="K48" s="1373">
        <f t="shared" si="3"/>
        <v>153</v>
      </c>
      <c r="L48" s="1373">
        <f t="shared" si="3"/>
        <v>339</v>
      </c>
      <c r="M48" s="1373">
        <f t="shared" si="3"/>
        <v>590</v>
      </c>
      <c r="N48" s="1373">
        <f t="shared" si="3"/>
        <v>62</v>
      </c>
      <c r="O48" s="1373">
        <f t="shared" si="3"/>
        <v>709</v>
      </c>
      <c r="P48" s="1373">
        <f t="shared" si="3"/>
        <v>118</v>
      </c>
      <c r="Q48" s="1373">
        <f t="shared" si="3"/>
        <v>276</v>
      </c>
      <c r="R48" s="1373">
        <f t="shared" si="3"/>
        <v>1043</v>
      </c>
      <c r="S48" s="1373">
        <f t="shared" si="3"/>
        <v>556</v>
      </c>
      <c r="T48" s="1373">
        <f t="shared" si="3"/>
        <v>75</v>
      </c>
      <c r="U48" s="1373">
        <f t="shared" si="3"/>
        <v>2449</v>
      </c>
      <c r="V48" s="1373">
        <f t="shared" si="3"/>
        <v>2238</v>
      </c>
      <c r="W48" s="1374">
        <f t="shared" si="1"/>
        <v>16333</v>
      </c>
    </row>
    <row r="49" spans="1:23">
      <c r="A49" s="10" t="s">
        <v>1475</v>
      </c>
      <c r="B49" s="34"/>
      <c r="C49" s="34"/>
      <c r="D49" s="34"/>
      <c r="E49" s="34"/>
      <c r="F49" s="34"/>
      <c r="G49" s="34"/>
      <c r="H49" s="34"/>
      <c r="I49" s="34"/>
      <c r="J49" s="34"/>
      <c r="K49" s="34"/>
      <c r="L49" s="34"/>
      <c r="M49" s="34"/>
      <c r="N49" s="34"/>
      <c r="O49" s="34"/>
      <c r="P49" s="34"/>
      <c r="Q49" s="34"/>
      <c r="R49" s="34"/>
      <c r="S49" s="34"/>
      <c r="T49" s="34"/>
      <c r="U49" s="34"/>
      <c r="V49" s="34"/>
      <c r="W49" s="235"/>
    </row>
    <row r="50" spans="1:23">
      <c r="A50" s="165"/>
    </row>
    <row r="51" spans="1:23">
      <c r="A51" s="165"/>
    </row>
    <row r="52" spans="1:23">
      <c r="A52" s="165"/>
    </row>
    <row r="53" spans="1:23">
      <c r="A53" s="165"/>
    </row>
    <row r="54" spans="1:23">
      <c r="A54" s="165"/>
    </row>
    <row r="55" spans="1:23">
      <c r="A55" s="165"/>
    </row>
    <row r="56" spans="1:23">
      <c r="A56" s="165"/>
    </row>
    <row r="57" spans="1:23">
      <c r="A57" s="165"/>
    </row>
    <row r="58" spans="1:23">
      <c r="A58" s="165"/>
    </row>
  </sheetData>
  <mergeCells count="4">
    <mergeCell ref="A1:W1"/>
    <mergeCell ref="A2:W2"/>
    <mergeCell ref="A3:W3"/>
    <mergeCell ref="B6:T6"/>
  </mergeCells>
  <phoneticPr fontId="18" type="noConversion"/>
  <dataValidations count="1">
    <dataValidation allowBlank="1" showInputMessage="1" showErrorMessage="1" errorTitle="Error" error="Por favor ingrese números enteros" sqref="A20:A26" xr:uid="{00000000-0002-0000-3E00-000000000000}"/>
  </dataValidations>
  <pageMargins left="0.78740157480314965" right="0.59055118110236227" top="0.59055118110236227" bottom="0.78740157480314965" header="0" footer="0"/>
  <pageSetup paperSize="5" scale="89" orientation="landscape"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N97"/>
  <sheetViews>
    <sheetView zoomScale="75" workbookViewId="0">
      <selection activeCell="A18" sqref="A18"/>
    </sheetView>
  </sheetViews>
  <sheetFormatPr baseColWidth="10" defaultRowHeight="12.75"/>
  <cols>
    <col min="1" max="1" width="47.85546875" customWidth="1"/>
    <col min="2" max="7" width="12.7109375" style="176" customWidth="1"/>
    <col min="8" max="8" width="11.7109375" customWidth="1"/>
    <col min="9" max="10" width="11" customWidth="1"/>
    <col min="11" max="14" width="10.28515625" customWidth="1"/>
  </cols>
  <sheetData>
    <row r="1" spans="1:14" ht="24.75" customHeight="1">
      <c r="A1" s="1622" t="s">
        <v>1352</v>
      </c>
      <c r="B1" s="1623"/>
      <c r="C1" s="1623"/>
      <c r="D1" s="1623"/>
      <c r="E1" s="1623"/>
      <c r="F1" s="1623"/>
      <c r="G1" s="1623"/>
      <c r="H1" s="1623"/>
      <c r="I1" s="1623"/>
      <c r="J1" s="1623"/>
      <c r="K1" s="1623"/>
      <c r="L1" s="1623"/>
      <c r="M1" s="1623"/>
      <c r="N1" s="1623"/>
    </row>
    <row r="2" spans="1:14" ht="24.75" customHeight="1">
      <c r="A2" s="1622" t="s">
        <v>1188</v>
      </c>
      <c r="B2" s="1623"/>
      <c r="C2" s="1623"/>
      <c r="D2" s="1623"/>
      <c r="E2" s="1623"/>
      <c r="F2" s="1623"/>
      <c r="G2" s="1623"/>
      <c r="H2" s="1623"/>
      <c r="I2" s="1623"/>
      <c r="J2" s="1623"/>
      <c r="K2" s="1623"/>
      <c r="L2" s="1623"/>
      <c r="M2" s="1623"/>
      <c r="N2" s="1623"/>
    </row>
    <row r="3" spans="1:14" ht="24.75" customHeight="1">
      <c r="A3" s="700"/>
      <c r="B3" s="700"/>
      <c r="C3" s="700"/>
      <c r="D3" s="700"/>
      <c r="E3" s="700"/>
      <c r="F3" s="700"/>
      <c r="G3" s="700"/>
      <c r="H3" s="700"/>
    </row>
    <row r="4" spans="1:14" ht="22.5" customHeight="1">
      <c r="A4" s="699"/>
      <c r="B4" s="699"/>
      <c r="C4" s="699"/>
      <c r="D4" s="699"/>
      <c r="E4" s="699"/>
      <c r="F4" s="699"/>
      <c r="G4" s="757"/>
      <c r="H4" s="699"/>
    </row>
    <row r="5" spans="1:14" ht="33" customHeight="1">
      <c r="A5" s="1652"/>
      <c r="B5" s="1653">
        <v>2011</v>
      </c>
      <c r="C5" s="1653">
        <v>2012</v>
      </c>
      <c r="D5" s="1653">
        <v>2013</v>
      </c>
      <c r="E5" s="1653">
        <v>2014</v>
      </c>
      <c r="F5" s="1653">
        <v>2015</v>
      </c>
      <c r="G5" s="1653">
        <v>2016</v>
      </c>
      <c r="H5" s="1653">
        <v>2017</v>
      </c>
      <c r="I5" s="1653">
        <v>2018</v>
      </c>
      <c r="J5" s="1653">
        <v>2019</v>
      </c>
      <c r="K5" s="1653">
        <v>2020</v>
      </c>
      <c r="L5" s="1653">
        <v>2021</v>
      </c>
      <c r="M5" s="1653">
        <v>2022</v>
      </c>
      <c r="N5" s="1653">
        <v>2023</v>
      </c>
    </row>
    <row r="6" spans="1:14" ht="29.25" customHeight="1">
      <c r="A6" s="51" t="s">
        <v>1183</v>
      </c>
      <c r="B6" s="1651">
        <v>28478</v>
      </c>
      <c r="C6" s="1651">
        <v>30776</v>
      </c>
      <c r="D6" s="1651">
        <v>32019</v>
      </c>
      <c r="E6" s="1651">
        <v>33489</v>
      </c>
      <c r="F6" s="1651">
        <v>34287</v>
      </c>
      <c r="G6" s="1651">
        <v>35370</v>
      </c>
      <c r="H6" s="1651">
        <v>36201</v>
      </c>
      <c r="I6" s="1651">
        <v>36744</v>
      </c>
      <c r="J6" s="1651">
        <v>36491</v>
      </c>
      <c r="K6" s="1651">
        <v>36732</v>
      </c>
      <c r="L6" s="1651">
        <v>33708</v>
      </c>
      <c r="M6" s="1651">
        <v>36226</v>
      </c>
      <c r="N6" s="1651">
        <v>40821</v>
      </c>
    </row>
    <row r="7" spans="1:14" ht="29.25" customHeight="1">
      <c r="A7" s="772" t="s">
        <v>1178</v>
      </c>
      <c r="B7" s="1651">
        <v>24102</v>
      </c>
      <c r="C7" s="1651">
        <v>25827</v>
      </c>
      <c r="D7" s="1651">
        <v>26490</v>
      </c>
      <c r="E7" s="1651">
        <v>27894</v>
      </c>
      <c r="F7" s="1651">
        <v>28536</v>
      </c>
      <c r="G7" s="1651">
        <v>28858</v>
      </c>
      <c r="H7" s="1651">
        <v>29246</v>
      </c>
      <c r="I7" s="1651">
        <v>29298</v>
      </c>
      <c r="J7" s="1651">
        <v>30034</v>
      </c>
      <c r="K7" s="1651">
        <v>29188</v>
      </c>
      <c r="L7" s="1651">
        <v>27665</v>
      </c>
      <c r="M7" s="1651">
        <v>28727</v>
      </c>
      <c r="N7" s="1651">
        <v>32531</v>
      </c>
    </row>
    <row r="8" spans="1:14" ht="29.25" customHeight="1">
      <c r="A8" s="772" t="s">
        <v>1179</v>
      </c>
      <c r="B8" s="1651">
        <v>9055</v>
      </c>
      <c r="C8" s="1651">
        <v>9999</v>
      </c>
      <c r="D8" s="1651">
        <v>10949</v>
      </c>
      <c r="E8" s="1651">
        <v>11993</v>
      </c>
      <c r="F8" s="1651">
        <v>13059</v>
      </c>
      <c r="G8" s="1651">
        <v>13635</v>
      </c>
      <c r="H8" s="1651">
        <v>14378</v>
      </c>
      <c r="I8" s="1651">
        <v>14534</v>
      </c>
      <c r="J8" s="1651">
        <v>16047</v>
      </c>
      <c r="K8" s="1651">
        <v>15019</v>
      </c>
      <c r="L8" s="1651">
        <v>14595</v>
      </c>
      <c r="M8" s="1651">
        <v>15811</v>
      </c>
      <c r="N8" s="1651">
        <v>17711</v>
      </c>
    </row>
    <row r="9" spans="1:14" ht="29.25" customHeight="1">
      <c r="A9" s="772" t="s">
        <v>1180</v>
      </c>
      <c r="B9" s="1651">
        <v>6354</v>
      </c>
      <c r="C9" s="1651">
        <v>7624</v>
      </c>
      <c r="D9" s="1651">
        <v>8694</v>
      </c>
      <c r="E9" s="1651">
        <v>9837</v>
      </c>
      <c r="F9" s="1651">
        <v>10139</v>
      </c>
      <c r="G9" s="1651">
        <v>11213</v>
      </c>
      <c r="H9" s="1651">
        <v>13118</v>
      </c>
      <c r="I9" s="1651">
        <v>11974</v>
      </c>
      <c r="J9" s="1651">
        <v>15091</v>
      </c>
      <c r="K9" s="1651">
        <v>14807</v>
      </c>
      <c r="L9" s="1651">
        <v>15792</v>
      </c>
      <c r="M9" s="1651">
        <v>17189</v>
      </c>
      <c r="N9" s="1651">
        <v>21683</v>
      </c>
    </row>
    <row r="10" spans="1:14" ht="29.25" customHeight="1">
      <c r="A10" s="772" t="s">
        <v>1184</v>
      </c>
      <c r="B10" s="1651">
        <v>3158</v>
      </c>
      <c r="C10" s="1651">
        <v>3603</v>
      </c>
      <c r="D10" s="1651">
        <v>3321</v>
      </c>
      <c r="E10" s="1651">
        <v>4169</v>
      </c>
      <c r="F10" s="1651">
        <v>2349</v>
      </c>
      <c r="G10" s="1651">
        <v>2084</v>
      </c>
      <c r="H10" s="1651">
        <v>2610</v>
      </c>
      <c r="I10" s="1651">
        <v>2293</v>
      </c>
      <c r="J10" s="1651">
        <v>2802</v>
      </c>
      <c r="K10" s="1651">
        <v>2033</v>
      </c>
      <c r="L10" s="1651">
        <v>3251</v>
      </c>
      <c r="M10" s="1651">
        <v>3463</v>
      </c>
      <c r="N10" s="1651">
        <v>4249</v>
      </c>
    </row>
    <row r="11" spans="1:14" ht="29.25" customHeight="1">
      <c r="A11" s="772" t="s">
        <v>1185</v>
      </c>
      <c r="B11" s="1651">
        <v>9115</v>
      </c>
      <c r="C11" s="1651">
        <v>9719</v>
      </c>
      <c r="D11" s="1651">
        <v>10860</v>
      </c>
      <c r="E11" s="1651">
        <v>11496</v>
      </c>
      <c r="F11" s="1651" t="s">
        <v>1186</v>
      </c>
      <c r="G11" s="1651" t="s">
        <v>1186</v>
      </c>
      <c r="H11" s="1651" t="s">
        <v>1186</v>
      </c>
      <c r="I11" s="1651" t="s">
        <v>1186</v>
      </c>
      <c r="J11" s="1651" t="s">
        <v>1186</v>
      </c>
      <c r="K11" s="1651" t="s">
        <v>1186</v>
      </c>
      <c r="L11" s="1651" t="s">
        <v>1186</v>
      </c>
      <c r="M11" s="1651" t="s">
        <v>1186</v>
      </c>
      <c r="N11" s="1651" t="s">
        <v>1186</v>
      </c>
    </row>
    <row r="12" spans="1:14" ht="29.25" customHeight="1">
      <c r="A12" s="51" t="s">
        <v>1181</v>
      </c>
      <c r="B12" s="1651" t="s">
        <v>1186</v>
      </c>
      <c r="C12" s="1651">
        <v>386</v>
      </c>
      <c r="D12" s="1651">
        <v>458</v>
      </c>
      <c r="E12" s="1651">
        <v>752</v>
      </c>
      <c r="F12" s="1651">
        <v>562</v>
      </c>
      <c r="G12" s="1651">
        <v>870</v>
      </c>
      <c r="H12" s="1651">
        <v>1098</v>
      </c>
      <c r="I12" s="1651">
        <v>1033</v>
      </c>
      <c r="J12" s="1651">
        <v>1440</v>
      </c>
      <c r="K12" s="1651">
        <v>1621</v>
      </c>
      <c r="L12" s="1651">
        <v>1399</v>
      </c>
      <c r="M12" s="1651">
        <v>1292</v>
      </c>
      <c r="N12" s="1651">
        <v>1760</v>
      </c>
    </row>
    <row r="13" spans="1:14" ht="29.25" customHeight="1">
      <c r="A13" s="51" t="s">
        <v>1182</v>
      </c>
      <c r="B13" s="1651" t="s">
        <v>1186</v>
      </c>
      <c r="C13" s="1651">
        <v>640</v>
      </c>
      <c r="D13" s="1651">
        <v>724</v>
      </c>
      <c r="E13" s="1651">
        <v>1110</v>
      </c>
      <c r="F13" s="1651">
        <v>1143</v>
      </c>
      <c r="G13" s="1651">
        <v>1368</v>
      </c>
      <c r="H13" s="1651">
        <v>1349</v>
      </c>
      <c r="I13" s="1651">
        <v>1336</v>
      </c>
      <c r="J13" s="1651">
        <v>1663</v>
      </c>
      <c r="K13" s="1651">
        <v>1601</v>
      </c>
      <c r="L13" s="1651">
        <v>1480</v>
      </c>
      <c r="M13" s="1651">
        <v>1387</v>
      </c>
      <c r="N13" s="1651">
        <v>1747</v>
      </c>
    </row>
    <row r="14" spans="1:14" ht="18.75" customHeight="1">
      <c r="H14" s="176"/>
      <c r="I14" s="176"/>
      <c r="J14" s="176"/>
      <c r="K14" s="176"/>
      <c r="L14" s="176"/>
    </row>
    <row r="15" spans="1:14" ht="18.75" customHeight="1">
      <c r="A15" s="1655" t="s">
        <v>1187</v>
      </c>
      <c r="B15" s="1656">
        <v>197012</v>
      </c>
      <c r="C15" s="1656">
        <v>200070</v>
      </c>
      <c r="D15" s="1656">
        <v>202925</v>
      </c>
      <c r="E15" s="1656">
        <v>205748</v>
      </c>
      <c r="F15" s="1656">
        <v>208522</v>
      </c>
      <c r="G15" s="1656">
        <v>211317</v>
      </c>
      <c r="H15" s="1656">
        <v>214600</v>
      </c>
      <c r="I15" s="1656">
        <v>218295</v>
      </c>
      <c r="J15" s="1656">
        <v>221930</v>
      </c>
      <c r="K15" s="1656">
        <v>225491</v>
      </c>
      <c r="L15" s="1656">
        <v>228350</v>
      </c>
      <c r="M15" s="1656">
        <v>230865</v>
      </c>
      <c r="N15" s="1656">
        <v>230865</v>
      </c>
    </row>
    <row r="16" spans="1:14" ht="18.75" customHeight="1">
      <c r="A16" s="6"/>
      <c r="B16" s="34"/>
      <c r="C16" s="34"/>
      <c r="D16" s="34"/>
      <c r="E16" s="34"/>
      <c r="F16" s="34"/>
      <c r="G16" s="34"/>
    </row>
    <row r="17" spans="1:14" ht="18.75" customHeight="1">
      <c r="A17" s="1622" t="s">
        <v>1190</v>
      </c>
      <c r="B17" s="1623"/>
      <c r="C17" s="1623"/>
      <c r="D17" s="1623"/>
      <c r="E17" s="1623"/>
      <c r="F17" s="1623"/>
      <c r="G17" s="1623"/>
      <c r="H17" s="1623"/>
      <c r="I17" s="1623"/>
      <c r="J17" s="1623"/>
      <c r="K17" s="1623"/>
      <c r="L17" s="1623"/>
      <c r="M17" s="1623"/>
      <c r="N17" s="1623"/>
    </row>
    <row r="18" spans="1:14" ht="18.75" customHeight="1">
      <c r="A18" s="6"/>
      <c r="B18" s="34"/>
      <c r="C18" s="34"/>
      <c r="D18" s="34"/>
      <c r="E18" s="34"/>
      <c r="F18" s="34"/>
      <c r="G18" s="34"/>
    </row>
    <row r="19" spans="1:14" ht="28.5" customHeight="1">
      <c r="A19" s="51" t="s">
        <v>1183</v>
      </c>
      <c r="B19" s="1654">
        <f t="shared" ref="B19:L19" si="0">+B6/B$15*100</f>
        <v>14.45495705845329</v>
      </c>
      <c r="C19" s="1654">
        <f t="shared" si="0"/>
        <v>15.38261608437047</v>
      </c>
      <c r="D19" s="1654">
        <f t="shared" si="0"/>
        <v>15.7787359862018</v>
      </c>
      <c r="E19" s="1654">
        <f t="shared" si="0"/>
        <v>16.276707428504771</v>
      </c>
      <c r="F19" s="1654">
        <f t="shared" si="0"/>
        <v>16.442869337527934</v>
      </c>
      <c r="G19" s="1654">
        <f t="shared" si="0"/>
        <v>16.737886682093727</v>
      </c>
      <c r="H19" s="1654">
        <f t="shared" si="0"/>
        <v>16.8690587138863</v>
      </c>
      <c r="I19" s="1654">
        <f t="shared" si="0"/>
        <v>16.83226826083969</v>
      </c>
      <c r="J19" s="1654">
        <f t="shared" si="0"/>
        <v>16.442571982156537</v>
      </c>
      <c r="K19" s="1654">
        <f t="shared" si="0"/>
        <v>16.289785401634653</v>
      </c>
      <c r="L19" s="1654">
        <f t="shared" si="0"/>
        <v>14.761550251806439</v>
      </c>
      <c r="M19" s="1654">
        <f t="shared" ref="M19:N23" si="1">+M6/M$15*100</f>
        <v>15.691421393455048</v>
      </c>
      <c r="N19" s="1654">
        <f t="shared" si="1"/>
        <v>17.68176206874147</v>
      </c>
    </row>
    <row r="20" spans="1:14" ht="28.5" customHeight="1">
      <c r="A20" s="772" t="s">
        <v>1178</v>
      </c>
      <c r="B20" s="1654">
        <f t="shared" ref="B20:G24" si="2">+B7/B$15*100</f>
        <v>12.233772562077437</v>
      </c>
      <c r="C20" s="1654">
        <f t="shared" si="2"/>
        <v>12.908981856350277</v>
      </c>
      <c r="D20" s="1654">
        <f t="shared" si="2"/>
        <v>13.054084021190096</v>
      </c>
      <c r="E20" s="1654">
        <f t="shared" si="2"/>
        <v>13.557361432431907</v>
      </c>
      <c r="F20" s="1654">
        <f t="shared" si="2"/>
        <v>13.68488696636326</v>
      </c>
      <c r="G20" s="1654">
        <f t="shared" si="2"/>
        <v>13.65626049962852</v>
      </c>
      <c r="H20" s="1654">
        <f t="shared" ref="H20:L23" si="3">+H7/H$15*100</f>
        <v>13.628145386766077</v>
      </c>
      <c r="I20" s="1654">
        <f t="shared" si="3"/>
        <v>13.421287707001991</v>
      </c>
      <c r="J20" s="1654">
        <f t="shared" si="3"/>
        <v>13.533096021267967</v>
      </c>
      <c r="K20" s="1654">
        <f t="shared" si="3"/>
        <v>12.944197329383433</v>
      </c>
      <c r="L20" s="1654">
        <f t="shared" si="3"/>
        <v>12.115174074885045</v>
      </c>
      <c r="M20" s="1654">
        <f t="shared" si="1"/>
        <v>12.443202737530591</v>
      </c>
      <c r="N20" s="1654">
        <f t="shared" si="1"/>
        <v>14.090918935308514</v>
      </c>
    </row>
    <row r="21" spans="1:14" ht="28.5" customHeight="1">
      <c r="A21" s="772" t="s">
        <v>1179</v>
      </c>
      <c r="B21" s="1654">
        <f t="shared" si="2"/>
        <v>4.596166730960551</v>
      </c>
      <c r="C21" s="1654">
        <f t="shared" si="2"/>
        <v>4.9977507872244713</v>
      </c>
      <c r="D21" s="1654">
        <f t="shared" si="2"/>
        <v>5.3955895035111494</v>
      </c>
      <c r="E21" s="1654">
        <f t="shared" si="2"/>
        <v>5.8289752512782629</v>
      </c>
      <c r="F21" s="1654">
        <f t="shared" si="2"/>
        <v>6.2626485454772158</v>
      </c>
      <c r="G21" s="1654">
        <f t="shared" si="2"/>
        <v>6.45239143088346</v>
      </c>
      <c r="H21" s="1654">
        <f t="shared" si="3"/>
        <v>6.6999068033550797</v>
      </c>
      <c r="I21" s="1654">
        <f t="shared" si="3"/>
        <v>6.6579628484390394</v>
      </c>
      <c r="J21" s="1654">
        <f t="shared" si="3"/>
        <v>7.2306583156851261</v>
      </c>
      <c r="K21" s="1654">
        <f t="shared" si="3"/>
        <v>6.6605762535977036</v>
      </c>
      <c r="L21" s="1654">
        <f t="shared" si="3"/>
        <v>6.3915042697613318</v>
      </c>
      <c r="M21" s="1654">
        <f t="shared" si="1"/>
        <v>6.8485911679986131</v>
      </c>
      <c r="N21" s="1654">
        <f t="shared" si="1"/>
        <v>7.6715829597383749</v>
      </c>
    </row>
    <row r="22" spans="1:14" ht="28.5" customHeight="1">
      <c r="A22" s="772" t="s">
        <v>1180</v>
      </c>
      <c r="B22" s="1654">
        <f t="shared" si="2"/>
        <v>3.2251842527358745</v>
      </c>
      <c r="C22" s="1654">
        <f t="shared" si="2"/>
        <v>3.810666266806618</v>
      </c>
      <c r="D22" s="1654">
        <f t="shared" si="2"/>
        <v>4.2843415054823213</v>
      </c>
      <c r="E22" s="1654">
        <f t="shared" si="2"/>
        <v>4.7810914322374938</v>
      </c>
      <c r="F22" s="1654">
        <f t="shared" si="2"/>
        <v>4.8623166860091498</v>
      </c>
      <c r="G22" s="1654">
        <f t="shared" si="2"/>
        <v>5.3062460663363575</v>
      </c>
      <c r="H22" s="1654">
        <f t="shared" si="3"/>
        <v>6.1127679403541473</v>
      </c>
      <c r="I22" s="1654">
        <f t="shared" si="3"/>
        <v>5.4852378661902472</v>
      </c>
      <c r="J22" s="1654">
        <f t="shared" si="3"/>
        <v>6.7998918577929972</v>
      </c>
      <c r="K22" s="1654">
        <f t="shared" si="3"/>
        <v>6.5665591974846009</v>
      </c>
      <c r="L22" s="1654">
        <f t="shared" si="3"/>
        <v>6.9156995839719722</v>
      </c>
      <c r="M22" s="1654">
        <f t="shared" si="1"/>
        <v>7.4454767937972415</v>
      </c>
      <c r="N22" s="1654">
        <f t="shared" si="1"/>
        <v>9.3920689580490766</v>
      </c>
    </row>
    <row r="23" spans="1:14" ht="28.5" customHeight="1">
      <c r="A23" s="772" t="s">
        <v>1184</v>
      </c>
      <c r="B23" s="1654">
        <f t="shared" si="2"/>
        <v>1.6029480437739834</v>
      </c>
      <c r="C23" s="1654">
        <f t="shared" si="2"/>
        <v>1.8008696956065378</v>
      </c>
      <c r="D23" s="1654">
        <f t="shared" si="2"/>
        <v>1.6365652334606382</v>
      </c>
      <c r="E23" s="1654">
        <f t="shared" si="2"/>
        <v>2.026265139879853</v>
      </c>
      <c r="F23" s="1654">
        <f t="shared" si="2"/>
        <v>1.1264998417433174</v>
      </c>
      <c r="G23" s="1654">
        <f t="shared" si="2"/>
        <v>0.98619609401988484</v>
      </c>
      <c r="H23" s="1654">
        <f t="shared" si="3"/>
        <v>1.2162162162162162</v>
      </c>
      <c r="I23" s="1654">
        <f t="shared" si="3"/>
        <v>1.0504134313658124</v>
      </c>
      <c r="J23" s="1654">
        <f t="shared" si="3"/>
        <v>1.2625602667507774</v>
      </c>
      <c r="K23" s="1654">
        <f t="shared" si="3"/>
        <v>0.90158808999028783</v>
      </c>
      <c r="L23" s="1654">
        <f t="shared" si="3"/>
        <v>1.4236917013356689</v>
      </c>
      <c r="M23" s="1654">
        <f t="shared" si="1"/>
        <v>1.500010828839365</v>
      </c>
      <c r="N23" s="1654">
        <f t="shared" si="1"/>
        <v>1.8404695384748662</v>
      </c>
    </row>
    <row r="24" spans="1:14" ht="28.5" customHeight="1">
      <c r="A24" s="772" t="s">
        <v>1185</v>
      </c>
      <c r="B24" s="1654">
        <f t="shared" si="2"/>
        <v>4.6266217286256675</v>
      </c>
      <c r="C24" s="1654">
        <f t="shared" si="2"/>
        <v>4.8577997700804714</v>
      </c>
      <c r="D24" s="1654">
        <f t="shared" si="2"/>
        <v>5.351730935074535</v>
      </c>
      <c r="E24" s="1654">
        <f t="shared" si="2"/>
        <v>5.5874176176682155</v>
      </c>
      <c r="F24" s="1654" t="s">
        <v>1189</v>
      </c>
      <c r="G24" s="1654" t="s">
        <v>1189</v>
      </c>
      <c r="H24" s="1654" t="s">
        <v>1189</v>
      </c>
      <c r="I24" s="1654" t="s">
        <v>1189</v>
      </c>
      <c r="J24" s="1654" t="s">
        <v>1189</v>
      </c>
      <c r="K24" s="1654" t="s">
        <v>1189</v>
      </c>
      <c r="L24" s="1654" t="s">
        <v>1189</v>
      </c>
      <c r="M24" s="1654" t="s">
        <v>1189</v>
      </c>
      <c r="N24" s="1654" t="s">
        <v>1189</v>
      </c>
    </row>
    <row r="25" spans="1:14" ht="28.5" customHeight="1">
      <c r="A25" s="51" t="s">
        <v>1181</v>
      </c>
      <c r="B25" s="1654" t="s">
        <v>1189</v>
      </c>
      <c r="C25" s="1654" t="s">
        <v>1189</v>
      </c>
      <c r="D25" s="1654">
        <f t="shared" ref="D25:L25" si="4">+D12/D$15*100</f>
        <v>0.22569914993224097</v>
      </c>
      <c r="E25" s="1654">
        <f t="shared" si="4"/>
        <v>0.36549565487878377</v>
      </c>
      <c r="F25" s="1654">
        <f t="shared" si="4"/>
        <v>0.26951592637707289</v>
      </c>
      <c r="G25" s="1654">
        <f t="shared" si="4"/>
        <v>0.41170374366473117</v>
      </c>
      <c r="H25" s="1654">
        <f t="shared" si="4"/>
        <v>0.51164958061509791</v>
      </c>
      <c r="I25" s="1654">
        <f t="shared" si="4"/>
        <v>0.47321285416523512</v>
      </c>
      <c r="J25" s="1654">
        <f t="shared" si="4"/>
        <v>0.64885324201324734</v>
      </c>
      <c r="K25" s="1654">
        <f t="shared" si="4"/>
        <v>0.71887569792142481</v>
      </c>
      <c r="L25" s="1654">
        <f t="shared" si="4"/>
        <v>0.6126560105101817</v>
      </c>
      <c r="M25" s="1654">
        <f>+M12/M$15*100</f>
        <v>0.55963441838303762</v>
      </c>
      <c r="N25" s="1654">
        <f>+N12/N$15*100</f>
        <v>0.76235029129577891</v>
      </c>
    </row>
    <row r="26" spans="1:14" ht="28.5" customHeight="1">
      <c r="A26" s="51" t="s">
        <v>1182</v>
      </c>
      <c r="B26" s="1654" t="s">
        <v>1189</v>
      </c>
      <c r="C26" s="1654" t="s">
        <v>1189</v>
      </c>
      <c r="D26" s="1654">
        <f t="shared" ref="D26:L26" si="5">+D13/D$15*100</f>
        <v>0.35678206233830234</v>
      </c>
      <c r="E26" s="1654">
        <f t="shared" si="5"/>
        <v>0.53949491611097067</v>
      </c>
      <c r="F26" s="1654">
        <f t="shared" si="5"/>
        <v>0.54814360115479421</v>
      </c>
      <c r="G26" s="1654">
        <f t="shared" si="5"/>
        <v>0.64736864521074977</v>
      </c>
      <c r="H26" s="1654">
        <f t="shared" si="5"/>
        <v>0.62861136999068035</v>
      </c>
      <c r="I26" s="1654">
        <f t="shared" si="5"/>
        <v>0.61201585011108817</v>
      </c>
      <c r="J26" s="1654">
        <f t="shared" si="5"/>
        <v>0.74933537601946554</v>
      </c>
      <c r="K26" s="1654">
        <f t="shared" si="5"/>
        <v>0.71000616432584895</v>
      </c>
      <c r="L26" s="1654">
        <f t="shared" si="5"/>
        <v>0.64812787387781912</v>
      </c>
      <c r="M26" s="1654">
        <f>+M13/M$15*100</f>
        <v>0.60078400797002585</v>
      </c>
      <c r="N26" s="1654">
        <f>+N13/N$15*100</f>
        <v>0.75671929482598055</v>
      </c>
    </row>
    <row r="27" spans="1:14" ht="18.75" customHeight="1">
      <c r="A27" s="6"/>
      <c r="B27" s="34"/>
      <c r="C27" s="34"/>
      <c r="D27" s="34"/>
      <c r="E27" s="34"/>
      <c r="F27" s="34"/>
      <c r="G27" s="34"/>
    </row>
    <row r="28" spans="1:14" ht="18.75" customHeight="1">
      <c r="A28" s="6"/>
      <c r="B28" s="34"/>
      <c r="C28" s="34"/>
      <c r="D28" s="34"/>
      <c r="E28" s="34"/>
      <c r="F28" s="34"/>
      <c r="G28" s="34"/>
    </row>
    <row r="29" spans="1:14" ht="18.75" customHeight="1">
      <c r="A29" s="6"/>
      <c r="B29" s="34"/>
      <c r="C29" s="34"/>
      <c r="D29" s="34"/>
      <c r="E29" s="34"/>
      <c r="F29" s="34"/>
      <c r="G29" s="34"/>
    </row>
    <row r="30" spans="1:14" ht="18.75" customHeight="1">
      <c r="A30" s="6"/>
      <c r="B30" s="34"/>
      <c r="C30" s="34"/>
      <c r="D30" s="34"/>
      <c r="E30" s="34"/>
      <c r="F30" s="34"/>
      <c r="G30" s="34"/>
    </row>
    <row r="31" spans="1:14" ht="18.75" customHeight="1">
      <c r="A31" s="6"/>
      <c r="B31" s="34"/>
      <c r="C31" s="34"/>
      <c r="D31" s="34"/>
      <c r="E31" s="34"/>
      <c r="F31" s="34"/>
      <c r="G31" s="34"/>
    </row>
    <row r="32" spans="1:14" ht="18.75" customHeight="1">
      <c r="A32" s="6"/>
      <c r="B32" s="34"/>
      <c r="C32" s="34"/>
      <c r="D32" s="34"/>
      <c r="E32" s="34"/>
      <c r="F32" s="34"/>
      <c r="G32" s="34"/>
    </row>
    <row r="33" spans="1:7" ht="18.75" customHeight="1">
      <c r="A33" s="6"/>
      <c r="B33" s="34"/>
      <c r="C33" s="34"/>
      <c r="D33" s="34"/>
      <c r="E33" s="34"/>
      <c r="F33" s="34"/>
      <c r="G33" s="34"/>
    </row>
    <row r="34" spans="1:7" ht="18.75" customHeight="1">
      <c r="A34" s="6"/>
      <c r="B34" s="34"/>
      <c r="C34" s="34"/>
      <c r="D34" s="34"/>
      <c r="E34" s="34"/>
      <c r="F34" s="34"/>
      <c r="G34" s="34"/>
    </row>
    <row r="35" spans="1:7" ht="18.75" customHeight="1">
      <c r="A35" s="6"/>
      <c r="B35" s="34"/>
      <c r="C35" s="34"/>
      <c r="D35" s="34"/>
      <c r="E35" s="34"/>
      <c r="F35" s="34"/>
      <c r="G35" s="34"/>
    </row>
    <row r="36" spans="1:7" ht="18.75" customHeight="1"/>
    <row r="37" spans="1:7" ht="18.75" customHeight="1"/>
    <row r="48" spans="1:7">
      <c r="B48" s="34"/>
      <c r="C48" s="34"/>
      <c r="D48" s="34"/>
      <c r="E48" s="34"/>
      <c r="F48" s="34"/>
      <c r="G48" s="34"/>
    </row>
    <row r="49" spans="2:7">
      <c r="B49" s="34"/>
      <c r="C49" s="34"/>
      <c r="D49" s="34"/>
      <c r="E49" s="34"/>
      <c r="F49" s="34"/>
      <c r="G49" s="34"/>
    </row>
    <row r="50" spans="2:7">
      <c r="B50" s="34"/>
      <c r="C50" s="34"/>
      <c r="D50" s="34"/>
      <c r="E50" s="34"/>
      <c r="F50" s="34"/>
      <c r="G50" s="34"/>
    </row>
    <row r="51" spans="2:7">
      <c r="B51" s="34"/>
      <c r="C51" s="34"/>
      <c r="D51" s="34"/>
      <c r="E51" s="34"/>
      <c r="F51" s="34"/>
      <c r="G51" s="34"/>
    </row>
    <row r="52" spans="2:7">
      <c r="B52" s="34"/>
      <c r="C52" s="34"/>
      <c r="D52" s="34"/>
      <c r="E52" s="34"/>
      <c r="F52" s="34"/>
      <c r="G52" s="34"/>
    </row>
    <row r="53" spans="2:7">
      <c r="B53" s="34"/>
      <c r="C53" s="34"/>
      <c r="D53" s="34"/>
      <c r="E53" s="34"/>
      <c r="F53" s="34"/>
      <c r="G53" s="34"/>
    </row>
    <row r="70" spans="2:7">
      <c r="B70" s="34"/>
      <c r="C70" s="34"/>
      <c r="D70" s="34"/>
      <c r="E70" s="34"/>
      <c r="F70" s="34"/>
      <c r="G70"/>
    </row>
    <row r="71" spans="2:7">
      <c r="B71" s="34"/>
      <c r="C71" s="34"/>
      <c r="D71" s="34"/>
      <c r="E71" s="34"/>
      <c r="F71" s="34"/>
      <c r="G71" s="34"/>
    </row>
    <row r="72" spans="2:7">
      <c r="B72" s="34"/>
      <c r="C72" s="34"/>
      <c r="D72" s="34"/>
      <c r="E72" s="34"/>
      <c r="F72" s="34"/>
      <c r="G72" s="34"/>
    </row>
    <row r="73" spans="2:7">
      <c r="B73" s="34"/>
      <c r="C73" s="34"/>
      <c r="D73" s="34"/>
      <c r="E73" s="34"/>
      <c r="F73" s="34"/>
      <c r="G73" s="34"/>
    </row>
    <row r="74" spans="2:7">
      <c r="B74" s="34"/>
      <c r="C74" s="34"/>
      <c r="D74" s="34"/>
      <c r="E74" s="34"/>
      <c r="F74" s="34"/>
      <c r="G74" s="34"/>
    </row>
    <row r="75" spans="2:7">
      <c r="B75" s="34"/>
      <c r="C75" s="34"/>
      <c r="D75" s="34"/>
      <c r="E75" s="34"/>
      <c r="F75" s="34"/>
      <c r="G75" s="34"/>
    </row>
    <row r="92" spans="2:7">
      <c r="B92" s="34"/>
      <c r="C92" s="34"/>
      <c r="D92" s="34"/>
      <c r="E92" s="34"/>
      <c r="F92" s="34"/>
      <c r="G92"/>
    </row>
    <row r="93" spans="2:7">
      <c r="B93" s="34"/>
      <c r="C93" s="34"/>
      <c r="D93" s="34"/>
      <c r="E93" s="34"/>
      <c r="F93" s="34"/>
      <c r="G93" s="34"/>
    </row>
    <row r="94" spans="2:7">
      <c r="B94" s="34"/>
      <c r="C94" s="34"/>
      <c r="D94" s="34"/>
      <c r="E94" s="34"/>
      <c r="F94" s="34"/>
      <c r="G94" s="34"/>
    </row>
    <row r="95" spans="2:7">
      <c r="B95" s="34"/>
      <c r="C95" s="34"/>
      <c r="D95" s="34"/>
      <c r="E95" s="34"/>
      <c r="F95" s="34"/>
      <c r="G95" s="34"/>
    </row>
    <row r="96" spans="2:7">
      <c r="B96" s="34"/>
      <c r="C96" s="34"/>
      <c r="D96" s="34"/>
      <c r="E96" s="34"/>
      <c r="F96" s="34"/>
      <c r="G96" s="34"/>
    </row>
    <row r="97" spans="2:7">
      <c r="B97" s="34"/>
      <c r="C97" s="34"/>
      <c r="D97" s="34"/>
      <c r="E97" s="34"/>
      <c r="F97" s="34"/>
      <c r="G97" s="34"/>
    </row>
  </sheetData>
  <mergeCells count="3">
    <mergeCell ref="A17:N17"/>
    <mergeCell ref="A1:N1"/>
    <mergeCell ref="A2:N2"/>
  </mergeCells>
  <dataValidations count="1">
    <dataValidation allowBlank="1" showInputMessage="1" showErrorMessage="1" errorTitle="Error" error="Por favor ingrese números enteros" sqref="A1:A4 A17" xr:uid="{00000000-0002-0000-3F00-000000000000}"/>
  </dataValidations>
  <pageMargins left="0.78740157480314965" right="0.59055118110236227" top="0.59055118110236227" bottom="0.78740157480314965" header="0" footer="0"/>
  <pageSetup paperSize="5" scale="89" orientation="landscape" horizontalDpi="300" verticalDpi="300"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3:L87"/>
  <sheetViews>
    <sheetView workbookViewId="0">
      <selection activeCell="I8" sqref="I8"/>
    </sheetView>
  </sheetViews>
  <sheetFormatPr baseColWidth="10" defaultRowHeight="12.75"/>
  <cols>
    <col min="1" max="1" width="13.7109375" customWidth="1"/>
    <col min="2" max="2" width="20.28515625" customWidth="1"/>
    <col min="3" max="8" width="9.5703125" customWidth="1"/>
  </cols>
  <sheetData>
    <row r="3" spans="1:9">
      <c r="A3" t="s">
        <v>1002</v>
      </c>
    </row>
    <row r="5" spans="1:9" ht="25.5">
      <c r="A5" s="998" t="s">
        <v>1008</v>
      </c>
      <c r="B5" s="1375" t="s">
        <v>5</v>
      </c>
      <c r="C5" s="1235">
        <v>2017</v>
      </c>
      <c r="D5" s="1235">
        <v>2018</v>
      </c>
      <c r="E5" s="1235">
        <v>2019</v>
      </c>
      <c r="F5" s="1235">
        <v>2020</v>
      </c>
      <c r="G5" s="1235">
        <v>2021</v>
      </c>
      <c r="H5" s="1235">
        <v>2022</v>
      </c>
      <c r="I5" s="1235">
        <v>2023</v>
      </c>
    </row>
    <row r="6" spans="1:9">
      <c r="A6" s="394"/>
      <c r="B6" s="395"/>
      <c r="C6" s="220"/>
      <c r="D6" s="220"/>
      <c r="E6" s="220"/>
      <c r="F6" s="220"/>
      <c r="G6" s="220"/>
      <c r="H6" s="220"/>
      <c r="I6" s="220"/>
    </row>
    <row r="7" spans="1:9">
      <c r="A7" s="182" t="s">
        <v>864</v>
      </c>
      <c r="B7" s="833" t="s">
        <v>1313</v>
      </c>
      <c r="C7" s="396">
        <v>9538</v>
      </c>
      <c r="D7" s="396">
        <v>9549</v>
      </c>
      <c r="E7" s="396">
        <v>6437</v>
      </c>
      <c r="F7" s="396">
        <v>5681</v>
      </c>
      <c r="G7" s="396">
        <v>5676</v>
      </c>
      <c r="H7" s="396">
        <v>5630</v>
      </c>
      <c r="I7" s="396">
        <f>+SUM('8'!$D$11:$I$13)-I9</f>
        <v>5645.264569546076</v>
      </c>
    </row>
    <row r="8" spans="1:9">
      <c r="A8" s="182"/>
      <c r="B8" s="833" t="s">
        <v>1314</v>
      </c>
      <c r="C8" s="397">
        <v>11090</v>
      </c>
      <c r="D8" s="397">
        <v>11079</v>
      </c>
      <c r="E8" s="397">
        <v>9373</v>
      </c>
      <c r="F8" s="397">
        <v>9962</v>
      </c>
      <c r="G8" s="397">
        <v>10087</v>
      </c>
      <c r="H8" s="396">
        <v>9986</v>
      </c>
      <c r="I8" s="396">
        <f>+SUM('8'!$D$10:$I$10)+SUM('8'!$D$14:$I$14)</f>
        <v>10013.074954082971</v>
      </c>
    </row>
    <row r="9" spans="1:9">
      <c r="A9" s="182"/>
      <c r="B9" s="833" t="s">
        <v>1315</v>
      </c>
      <c r="C9" s="397">
        <v>1182</v>
      </c>
      <c r="D9" s="397">
        <v>1178</v>
      </c>
      <c r="E9" s="397">
        <v>1006</v>
      </c>
      <c r="F9" s="397">
        <v>1026</v>
      </c>
      <c r="G9" s="397">
        <v>949</v>
      </c>
      <c r="H9" s="397">
        <v>943</v>
      </c>
      <c r="I9" s="397">
        <f>SUM('8'!$D$12:$I$12)</f>
        <v>945.55674761668752</v>
      </c>
    </row>
    <row r="10" spans="1:9">
      <c r="A10" s="182" t="s">
        <v>574</v>
      </c>
      <c r="B10" s="833" t="s">
        <v>1146</v>
      </c>
      <c r="C10" s="397">
        <v>3899</v>
      </c>
      <c r="D10" s="397">
        <v>3889</v>
      </c>
      <c r="E10" s="397">
        <v>4489</v>
      </c>
      <c r="F10" s="397">
        <v>4488</v>
      </c>
      <c r="G10" s="397">
        <v>4510</v>
      </c>
      <c r="H10" s="397">
        <v>4522</v>
      </c>
      <c r="I10" s="397">
        <f>SUM('8'!$D$17:$I$17)-I11</f>
        <v>4578.8818430227084</v>
      </c>
    </row>
    <row r="11" spans="1:9">
      <c r="A11" s="182"/>
      <c r="B11" s="833" t="s">
        <v>1312</v>
      </c>
      <c r="C11" s="397">
        <v>968</v>
      </c>
      <c r="D11" s="397">
        <v>966</v>
      </c>
      <c r="E11" s="397">
        <v>1137</v>
      </c>
      <c r="F11" s="397">
        <v>1154</v>
      </c>
      <c r="G11" s="397">
        <v>1138</v>
      </c>
      <c r="H11" s="397">
        <v>1134</v>
      </c>
      <c r="I11" s="397">
        <f>SUM('8'!$D$20:$I$20)</f>
        <v>1148.264486949967</v>
      </c>
    </row>
    <row r="12" spans="1:9">
      <c r="A12" s="182" t="s">
        <v>763</v>
      </c>
      <c r="B12" s="833" t="s">
        <v>1136</v>
      </c>
      <c r="C12" s="397">
        <v>3027</v>
      </c>
      <c r="D12" s="397">
        <v>2984</v>
      </c>
      <c r="E12" s="397">
        <v>4592</v>
      </c>
      <c r="F12" s="397">
        <v>4634</v>
      </c>
      <c r="G12" s="397">
        <v>4665</v>
      </c>
      <c r="H12" s="397">
        <v>4685</v>
      </c>
      <c r="I12" s="397">
        <f>SUM('8'!$D$25:$I$25)</f>
        <v>4764.7411826636244</v>
      </c>
    </row>
    <row r="13" spans="1:9">
      <c r="A13" s="182" t="s">
        <v>575</v>
      </c>
      <c r="B13" s="833" t="s">
        <v>1137</v>
      </c>
      <c r="C13" s="397">
        <v>2256</v>
      </c>
      <c r="D13" s="397">
        <v>2252</v>
      </c>
      <c r="E13" s="397">
        <v>3178</v>
      </c>
      <c r="F13" s="397">
        <v>3201</v>
      </c>
      <c r="G13" s="397">
        <v>3223</v>
      </c>
      <c r="H13" s="397">
        <v>3243</v>
      </c>
      <c r="I13" s="397">
        <f>SUM('8'!$D$29:$I$29)</f>
        <v>3294.1628226013891</v>
      </c>
    </row>
    <row r="14" spans="1:9">
      <c r="A14" s="182" t="s">
        <v>576</v>
      </c>
      <c r="B14" s="833" t="s">
        <v>1305</v>
      </c>
      <c r="C14" s="397">
        <v>10036</v>
      </c>
      <c r="D14" s="397">
        <v>10038</v>
      </c>
      <c r="E14" s="397">
        <v>9326</v>
      </c>
      <c r="F14" s="397">
        <v>9314</v>
      </c>
      <c r="G14" s="397">
        <v>9408</v>
      </c>
      <c r="H14" s="397">
        <v>9388</v>
      </c>
      <c r="I14" s="397">
        <f>SUM('8'!$D$38:$I$38)</f>
        <v>9475.1970915914171</v>
      </c>
    </row>
    <row r="15" spans="1:9">
      <c r="A15" s="182"/>
      <c r="B15" s="833" t="s">
        <v>1144</v>
      </c>
      <c r="C15" s="396">
        <v>10852</v>
      </c>
      <c r="D15" s="396">
        <v>10863</v>
      </c>
      <c r="E15" s="396">
        <v>10080</v>
      </c>
      <c r="F15" s="396">
        <v>10067</v>
      </c>
      <c r="G15" s="396">
        <v>10020</v>
      </c>
      <c r="H15" s="396">
        <v>9985</v>
      </c>
      <c r="I15" s="397">
        <f>SUM('8'!$D$37:$I$37)-I17-I14-I16</f>
        <v>10077.742113287206</v>
      </c>
    </row>
    <row r="16" spans="1:9">
      <c r="A16" s="182"/>
      <c r="B16" s="833" t="s">
        <v>1306</v>
      </c>
      <c r="C16" s="396">
        <v>1141</v>
      </c>
      <c r="D16" s="396">
        <v>1136</v>
      </c>
      <c r="E16" s="396">
        <v>1030</v>
      </c>
      <c r="F16" s="396">
        <v>1041</v>
      </c>
      <c r="G16" s="396">
        <v>1042</v>
      </c>
      <c r="H16" s="396">
        <v>1039</v>
      </c>
      <c r="I16" s="397">
        <f>SUM('8'!$D$41:$I$41)</f>
        <v>1048.650381142254</v>
      </c>
    </row>
    <row r="17" spans="1:12">
      <c r="A17" s="182"/>
      <c r="B17" s="833" t="s">
        <v>1307</v>
      </c>
      <c r="C17" s="396">
        <v>2297</v>
      </c>
      <c r="D17" s="396">
        <v>2297</v>
      </c>
      <c r="E17" s="396">
        <v>2116</v>
      </c>
      <c r="F17" s="396">
        <v>2129</v>
      </c>
      <c r="G17" s="396">
        <v>2048</v>
      </c>
      <c r="H17" s="396">
        <v>2051</v>
      </c>
      <c r="I17" s="397">
        <f>SUM('8'!$D$40:$I$40)</f>
        <v>2070.0499824088188</v>
      </c>
    </row>
    <row r="18" spans="1:12">
      <c r="A18" s="182" t="s">
        <v>577</v>
      </c>
      <c r="B18" s="833" t="s">
        <v>1308</v>
      </c>
      <c r="C18" s="397">
        <v>5171</v>
      </c>
      <c r="D18" s="397">
        <v>5180</v>
      </c>
      <c r="E18" s="397">
        <v>4530</v>
      </c>
      <c r="F18" s="397">
        <v>4503</v>
      </c>
      <c r="G18" s="397">
        <v>4466</v>
      </c>
      <c r="H18" s="397">
        <v>4433</v>
      </c>
      <c r="I18" s="397">
        <f>SUM('8'!$D$43:$I$43)</f>
        <v>4453.5989810771471</v>
      </c>
    </row>
    <row r="19" spans="1:12">
      <c r="A19" s="182" t="s">
        <v>765</v>
      </c>
      <c r="B19" s="833" t="s">
        <v>1140</v>
      </c>
      <c r="C19" s="397">
        <v>3933</v>
      </c>
      <c r="D19" s="397">
        <v>3915</v>
      </c>
      <c r="E19" s="397">
        <v>3845</v>
      </c>
      <c r="F19" s="397">
        <v>3839</v>
      </c>
      <c r="G19" s="397">
        <v>3761</v>
      </c>
      <c r="H19" s="397">
        <v>3743</v>
      </c>
      <c r="I19" s="397">
        <f>SUM('8'!$D$56:$I$56)-I20</f>
        <v>3774.6290902553046</v>
      </c>
    </row>
    <row r="20" spans="1:12">
      <c r="A20" s="182"/>
      <c r="B20" s="833" t="s">
        <v>1309</v>
      </c>
      <c r="C20" s="397">
        <v>520</v>
      </c>
      <c r="D20" s="397">
        <v>516</v>
      </c>
      <c r="E20" s="397">
        <v>492</v>
      </c>
      <c r="F20" s="397">
        <v>491</v>
      </c>
      <c r="G20" s="397">
        <v>555</v>
      </c>
      <c r="H20" s="397">
        <v>556</v>
      </c>
      <c r="I20" s="397">
        <f>SUM('8'!$D$58:$I$58)</f>
        <v>560.69830996044595</v>
      </c>
    </row>
    <row r="21" spans="1:12">
      <c r="A21" s="182" t="s">
        <v>579</v>
      </c>
      <c r="B21" s="833" t="s">
        <v>1141</v>
      </c>
      <c r="C21" s="397">
        <v>2280</v>
      </c>
      <c r="D21" s="397">
        <v>2274</v>
      </c>
      <c r="E21" s="397">
        <v>2020</v>
      </c>
      <c r="F21" s="397">
        <v>2010</v>
      </c>
      <c r="G21" s="397">
        <v>1999</v>
      </c>
      <c r="H21" s="397">
        <v>1992</v>
      </c>
      <c r="I21" s="397">
        <f>SUM('8'!$D$61:$I$61)</f>
        <v>2004.602711426727</v>
      </c>
    </row>
    <row r="22" spans="1:12">
      <c r="A22" s="182" t="s">
        <v>580</v>
      </c>
      <c r="B22" s="833" t="s">
        <v>1310</v>
      </c>
      <c r="C22" s="397">
        <v>6696</v>
      </c>
      <c r="D22" s="397">
        <v>6644</v>
      </c>
      <c r="E22" s="397">
        <v>7095</v>
      </c>
      <c r="F22" s="397">
        <v>7074</v>
      </c>
      <c r="G22" s="397">
        <v>7035</v>
      </c>
      <c r="H22" s="397">
        <v>6997</v>
      </c>
      <c r="I22" s="397">
        <f>SUM('8'!$D$67:$I$67)</f>
        <v>7041.9224745787888</v>
      </c>
    </row>
    <row r="23" spans="1:12">
      <c r="A23" s="182" t="s">
        <v>581</v>
      </c>
      <c r="B23" s="833" t="s">
        <v>1143</v>
      </c>
      <c r="C23" s="397">
        <v>3419</v>
      </c>
      <c r="D23" s="397">
        <v>3385</v>
      </c>
      <c r="E23" s="397">
        <v>3614</v>
      </c>
      <c r="F23" s="397">
        <v>3594</v>
      </c>
      <c r="G23" s="397">
        <v>3588</v>
      </c>
      <c r="H23" s="397">
        <v>3576</v>
      </c>
      <c r="I23" s="397">
        <f>SUM('8'!$D$73:$I$73)-I24</f>
        <v>3603.2553933600311</v>
      </c>
    </row>
    <row r="24" spans="1:12">
      <c r="A24" s="182"/>
      <c r="B24" s="833" t="s">
        <v>1311</v>
      </c>
      <c r="C24" s="397">
        <v>390</v>
      </c>
      <c r="D24" s="397">
        <v>383</v>
      </c>
      <c r="E24" s="397">
        <v>397</v>
      </c>
      <c r="F24" s="397">
        <v>407</v>
      </c>
      <c r="G24" s="645">
        <v>394</v>
      </c>
      <c r="H24" s="645">
        <v>389</v>
      </c>
      <c r="I24" s="397">
        <f>SUM('8'!$D$75:$I$75)</f>
        <v>391.96486242087582</v>
      </c>
    </row>
    <row r="25" spans="1:12">
      <c r="A25" s="398" t="s">
        <v>582</v>
      </c>
      <c r="B25" s="214"/>
      <c r="C25" s="399">
        <f t="shared" ref="C25:I25" si="0">SUM(C7:C24)</f>
        <v>78695</v>
      </c>
      <c r="D25" s="399">
        <f t="shared" si="0"/>
        <v>78528</v>
      </c>
      <c r="E25" s="399">
        <f t="shared" si="0"/>
        <v>74757</v>
      </c>
      <c r="F25" s="399">
        <f t="shared" si="0"/>
        <v>74615</v>
      </c>
      <c r="G25" s="399">
        <f t="shared" si="0"/>
        <v>74564</v>
      </c>
      <c r="H25" s="399">
        <f t="shared" si="0"/>
        <v>74292</v>
      </c>
      <c r="I25" s="399">
        <f t="shared" si="0"/>
        <v>74892.257997992449</v>
      </c>
    </row>
    <row r="26" spans="1:12">
      <c r="A26" t="s">
        <v>1435</v>
      </c>
      <c r="C26" s="596"/>
      <c r="E26" s="596"/>
      <c r="G26" s="596"/>
      <c r="H26" s="596"/>
    </row>
    <row r="28" spans="1:12">
      <c r="A28" t="s">
        <v>6</v>
      </c>
    </row>
    <row r="29" spans="1:12" ht="25.5">
      <c r="A29" s="998" t="s">
        <v>1008</v>
      </c>
      <c r="B29" s="1375" t="s">
        <v>5</v>
      </c>
      <c r="C29" s="1235">
        <v>2017</v>
      </c>
      <c r="D29" s="1235">
        <v>2018</v>
      </c>
      <c r="E29" s="1235">
        <v>2019</v>
      </c>
      <c r="F29" s="1235">
        <v>2020</v>
      </c>
      <c r="G29" s="1235">
        <v>2021</v>
      </c>
      <c r="H29" s="1235">
        <v>2022</v>
      </c>
      <c r="I29" s="1235">
        <f>+I5</f>
        <v>2023</v>
      </c>
      <c r="J29" s="176"/>
    </row>
    <row r="30" spans="1:12">
      <c r="A30" s="394"/>
      <c r="B30" s="395"/>
      <c r="C30" s="220"/>
      <c r="D30" s="220"/>
      <c r="E30" s="220"/>
      <c r="F30" s="220"/>
      <c r="G30" s="220"/>
      <c r="H30" s="220"/>
      <c r="I30" s="220"/>
    </row>
    <row r="31" spans="1:12">
      <c r="A31" s="182" t="s">
        <v>864</v>
      </c>
      <c r="B31" s="833" t="s">
        <v>1313</v>
      </c>
      <c r="C31" s="1487">
        <v>8939</v>
      </c>
      <c r="D31" s="1488">
        <v>12929</v>
      </c>
      <c r="E31" s="1488">
        <v>11197</v>
      </c>
      <c r="F31" s="1488">
        <v>3025</v>
      </c>
      <c r="G31" s="1488">
        <v>7849</v>
      </c>
      <c r="H31" s="1487">
        <v>12229</v>
      </c>
      <c r="I31" s="1489">
        <f>+SUM([17]A09!$G$21:$AB$25)+SUM([19]A09!$G$21:$AB$25)</f>
        <v>14204</v>
      </c>
      <c r="J31" s="918"/>
      <c r="L31" s="400"/>
    </row>
    <row r="32" spans="1:12">
      <c r="A32" s="182"/>
      <c r="B32" s="833" t="s">
        <v>1314</v>
      </c>
      <c r="C32" s="1487">
        <v>4220</v>
      </c>
      <c r="D32" s="1488">
        <v>5198</v>
      </c>
      <c r="E32" s="1488">
        <v>4481</v>
      </c>
      <c r="F32" s="1488">
        <v>1327</v>
      </c>
      <c r="G32" s="1488">
        <v>3978</v>
      </c>
      <c r="H32" s="1487">
        <v>5714</v>
      </c>
      <c r="I32" s="1489">
        <f>+SUM([20]A09!$G$21:$AB$25)</f>
        <v>5830</v>
      </c>
      <c r="L32" s="400"/>
    </row>
    <row r="33" spans="1:12">
      <c r="A33" s="182"/>
      <c r="B33" s="833" t="s">
        <v>1315</v>
      </c>
      <c r="C33" s="1487">
        <v>1458</v>
      </c>
      <c r="D33" s="1488">
        <v>1209</v>
      </c>
      <c r="E33" s="1488">
        <v>1616</v>
      </c>
      <c r="F33" s="1488">
        <v>361</v>
      </c>
      <c r="G33" s="1488">
        <v>1070</v>
      </c>
      <c r="H33" s="1487">
        <v>1636</v>
      </c>
      <c r="I33" s="1489">
        <f>+SUM([18]A09!$G$21:$AB$25)</f>
        <v>1819</v>
      </c>
      <c r="K33" s="176"/>
    </row>
    <row r="34" spans="1:12">
      <c r="A34" s="182" t="s">
        <v>574</v>
      </c>
      <c r="B34" s="833" t="s">
        <v>1146</v>
      </c>
      <c r="C34" s="1487">
        <v>6162</v>
      </c>
      <c r="D34" s="1488">
        <v>5704</v>
      </c>
      <c r="E34" s="1488">
        <v>7807</v>
      </c>
      <c r="F34" s="1488">
        <v>964</v>
      </c>
      <c r="G34" s="1488">
        <v>2086</v>
      </c>
      <c r="H34" s="1487">
        <v>2628</v>
      </c>
      <c r="I34" s="1489">
        <f>+SUM([21]A09!$G$21:$AB$25)</f>
        <v>8054</v>
      </c>
      <c r="K34" s="400"/>
    </row>
    <row r="35" spans="1:12">
      <c r="A35" s="182"/>
      <c r="B35" s="833" t="s">
        <v>1312</v>
      </c>
      <c r="C35" s="1487">
        <v>1137</v>
      </c>
      <c r="D35" s="1488">
        <v>722</v>
      </c>
      <c r="E35" s="1488">
        <v>1616</v>
      </c>
      <c r="F35" s="1488">
        <v>361</v>
      </c>
      <c r="G35" s="1488">
        <v>743</v>
      </c>
      <c r="H35" s="1487">
        <v>901</v>
      </c>
      <c r="I35" s="1489">
        <f>+SUM([22]A09!$G$21:$AB$25)</f>
        <v>1860</v>
      </c>
      <c r="K35" s="400"/>
    </row>
    <row r="36" spans="1:12">
      <c r="A36" s="182" t="s">
        <v>763</v>
      </c>
      <c r="B36" s="833" t="s">
        <v>1136</v>
      </c>
      <c r="C36" s="1487">
        <v>6618</v>
      </c>
      <c r="D36" s="1488">
        <v>4301</v>
      </c>
      <c r="E36" s="1488">
        <v>4657</v>
      </c>
      <c r="F36" s="1488">
        <v>1576</v>
      </c>
      <c r="G36" s="1488">
        <v>5235</v>
      </c>
      <c r="H36" s="1487">
        <v>9440</v>
      </c>
      <c r="I36" s="1489">
        <f>+SUM([23]A09!$G$21:$AB$25)+SUM([24]A09!$G$21:$AB$25)</f>
        <v>7895</v>
      </c>
      <c r="K36" s="400"/>
    </row>
    <row r="37" spans="1:12">
      <c r="A37" s="182" t="s">
        <v>575</v>
      </c>
      <c r="B37" s="833" t="s">
        <v>1137</v>
      </c>
      <c r="C37" s="1487">
        <v>5445</v>
      </c>
      <c r="D37" s="1488">
        <v>5060</v>
      </c>
      <c r="E37" s="1488">
        <v>5659</v>
      </c>
      <c r="F37" s="1488">
        <v>1879</v>
      </c>
      <c r="G37" s="1488">
        <v>2114</v>
      </c>
      <c r="H37" s="1487">
        <v>5044</v>
      </c>
      <c r="I37" s="1489">
        <f>+SUM([25]A09!$G$21:$AB$25)</f>
        <v>6041</v>
      </c>
    </row>
    <row r="38" spans="1:12">
      <c r="A38" s="182" t="s">
        <v>576</v>
      </c>
      <c r="B38" s="833" t="s">
        <v>1305</v>
      </c>
      <c r="C38" s="1487">
        <v>8875</v>
      </c>
      <c r="D38" s="1488">
        <v>9745</v>
      </c>
      <c r="E38" s="1488">
        <v>10574</v>
      </c>
      <c r="F38" s="1488">
        <v>2784</v>
      </c>
      <c r="G38" s="1488">
        <v>10992</v>
      </c>
      <c r="H38" s="1487">
        <v>13341</v>
      </c>
      <c r="I38" s="1489">
        <f>+SUM([43]A09!$G$21:$AB$25)</f>
        <v>12880</v>
      </c>
    </row>
    <row r="39" spans="1:12">
      <c r="A39" s="182"/>
      <c r="B39" s="833" t="s">
        <v>1144</v>
      </c>
      <c r="C39" s="1487">
        <v>21224</v>
      </c>
      <c r="D39" s="1488">
        <v>23287</v>
      </c>
      <c r="E39" s="1488">
        <v>23611</v>
      </c>
      <c r="F39" s="1488">
        <v>5990</v>
      </c>
      <c r="G39" s="1488">
        <v>7962</v>
      </c>
      <c r="H39" s="1487">
        <v>14617</v>
      </c>
      <c r="I39" s="1489">
        <f>+SUM([44]A09!$G$21:$AB$25)</f>
        <v>20770</v>
      </c>
    </row>
    <row r="40" spans="1:12">
      <c r="A40" s="182"/>
      <c r="B40" s="833" t="s">
        <v>1306</v>
      </c>
      <c r="C40" s="1487">
        <v>1572</v>
      </c>
      <c r="D40" s="1488">
        <v>1583</v>
      </c>
      <c r="E40" s="1488">
        <v>1698</v>
      </c>
      <c r="F40" s="1488">
        <v>679</v>
      </c>
      <c r="G40" s="1488">
        <v>1251</v>
      </c>
      <c r="H40" s="1487">
        <v>1331</v>
      </c>
      <c r="I40" s="1489">
        <f>+SUM([45]A09!$G$21:$AB$25)</f>
        <v>1726</v>
      </c>
    </row>
    <row r="41" spans="1:12">
      <c r="A41" s="182"/>
      <c r="B41" s="833" t="s">
        <v>1307</v>
      </c>
      <c r="C41" s="1487">
        <v>1373</v>
      </c>
      <c r="D41" s="1488">
        <v>1021</v>
      </c>
      <c r="E41" s="1488">
        <v>1436</v>
      </c>
      <c r="F41" s="1488">
        <v>378</v>
      </c>
      <c r="G41" s="1488">
        <v>764</v>
      </c>
      <c r="H41" s="1487">
        <v>1201</v>
      </c>
      <c r="I41" s="1489">
        <f>+SUM([47]A09!$G$21:$AB$25)</f>
        <v>1263</v>
      </c>
    </row>
    <row r="42" spans="1:12">
      <c r="A42" s="182" t="s">
        <v>577</v>
      </c>
      <c r="B42" s="833" t="s">
        <v>1308</v>
      </c>
      <c r="C42" s="1487">
        <v>2731</v>
      </c>
      <c r="D42" s="1488">
        <v>2758</v>
      </c>
      <c r="E42" s="1488">
        <v>2667</v>
      </c>
      <c r="F42" s="1488">
        <v>763</v>
      </c>
      <c r="G42" s="1488">
        <v>1114</v>
      </c>
      <c r="H42" s="1487">
        <v>1669</v>
      </c>
      <c r="I42" s="1489">
        <f>+SUM([50]A09!$G$21:$AB$25)+SUM([61]A09!$G$21:$AB$25)</f>
        <v>2518</v>
      </c>
    </row>
    <row r="43" spans="1:12">
      <c r="A43" s="182" t="s">
        <v>765</v>
      </c>
      <c r="B43" s="833" t="s">
        <v>1140</v>
      </c>
      <c r="C43" s="1487">
        <v>3089</v>
      </c>
      <c r="D43" s="1488">
        <v>3125</v>
      </c>
      <c r="E43" s="1488">
        <v>3667</v>
      </c>
      <c r="F43" s="1488">
        <v>885</v>
      </c>
      <c r="G43" s="1488">
        <v>2175</v>
      </c>
      <c r="H43" s="1487">
        <v>4889</v>
      </c>
      <c r="I43" s="1489">
        <f>+SUM([52]A09!$G$21:$AB$25)+SUM([62]A09!$G$21:$AB$25)</f>
        <v>6151</v>
      </c>
    </row>
    <row r="44" spans="1:12">
      <c r="A44" s="182"/>
      <c r="B44" s="833" t="s">
        <v>1309</v>
      </c>
      <c r="C44" s="1487">
        <v>1351</v>
      </c>
      <c r="D44" s="1488">
        <v>1514</v>
      </c>
      <c r="E44" s="1488">
        <v>962</v>
      </c>
      <c r="F44" s="1488">
        <v>381</v>
      </c>
      <c r="G44" s="1488">
        <v>479</v>
      </c>
      <c r="H44" s="1487">
        <v>818</v>
      </c>
      <c r="I44" s="1489">
        <f>+SUM([63]A09!$G$21:$AB$25)</f>
        <v>1650</v>
      </c>
    </row>
    <row r="45" spans="1:12">
      <c r="A45" s="182" t="s">
        <v>579</v>
      </c>
      <c r="B45" s="833" t="s">
        <v>1141</v>
      </c>
      <c r="C45" s="1487">
        <v>2974</v>
      </c>
      <c r="D45" s="1488">
        <v>3959</v>
      </c>
      <c r="E45" s="1488">
        <v>3222</v>
      </c>
      <c r="F45" s="1488">
        <v>627</v>
      </c>
      <c r="G45" s="1488">
        <v>1873</v>
      </c>
      <c r="H45" s="1487">
        <v>2205</v>
      </c>
      <c r="I45" s="1489">
        <f>+SUM([64]A09!$G$21:$AB$25)</f>
        <v>4022</v>
      </c>
      <c r="J45" s="400"/>
      <c r="K45" s="176"/>
      <c r="L45" s="400"/>
    </row>
    <row r="46" spans="1:12">
      <c r="A46" s="182" t="s">
        <v>580</v>
      </c>
      <c r="B46" s="833" t="s">
        <v>1310</v>
      </c>
      <c r="C46" s="1487">
        <v>7085</v>
      </c>
      <c r="D46" s="1488">
        <v>8760</v>
      </c>
      <c r="E46" s="1488">
        <v>9431</v>
      </c>
      <c r="F46" s="1488">
        <v>1941</v>
      </c>
      <c r="G46" s="1488">
        <v>4072</v>
      </c>
      <c r="H46" s="1487">
        <v>9345</v>
      </c>
      <c r="I46" s="1489">
        <f>+SUM([54]A09!$G$21:$AB$25)</f>
        <v>7188</v>
      </c>
      <c r="J46" s="400"/>
      <c r="K46" s="176"/>
      <c r="L46" s="400"/>
    </row>
    <row r="47" spans="1:12">
      <c r="A47" s="182" t="s">
        <v>581</v>
      </c>
      <c r="B47" s="833" t="s">
        <v>1143</v>
      </c>
      <c r="C47" s="1487">
        <v>6615</v>
      </c>
      <c r="D47" s="1488">
        <v>7346</v>
      </c>
      <c r="E47" s="1488">
        <v>10278</v>
      </c>
      <c r="F47" s="1488">
        <v>2365</v>
      </c>
      <c r="G47" s="1488">
        <v>4392</v>
      </c>
      <c r="H47" s="1487">
        <v>4958</v>
      </c>
      <c r="I47" s="1489">
        <f>+SUM([55]A09!$G$21:$AB$25)</f>
        <v>6266</v>
      </c>
    </row>
    <row r="48" spans="1:12">
      <c r="A48" s="182"/>
      <c r="B48" s="833" t="s">
        <v>1311</v>
      </c>
      <c r="C48" s="1487">
        <v>325</v>
      </c>
      <c r="D48" s="1488">
        <v>708</v>
      </c>
      <c r="E48" s="1487">
        <v>792</v>
      </c>
      <c r="F48" s="1487">
        <v>559</v>
      </c>
      <c r="G48" s="1488">
        <v>681</v>
      </c>
      <c r="H48" s="1487">
        <v>820</v>
      </c>
      <c r="I48" s="1489">
        <f>+SUM([86]A09!$G$21:$AB$25)</f>
        <v>820</v>
      </c>
      <c r="K48" s="400"/>
    </row>
    <row r="49" spans="1:12">
      <c r="A49" s="398" t="s">
        <v>582</v>
      </c>
      <c r="B49" s="214"/>
      <c r="C49" s="1490">
        <f t="shared" ref="C49:I49" si="1">SUM(C31:C48)</f>
        <v>91193</v>
      </c>
      <c r="D49" s="1490">
        <f t="shared" si="1"/>
        <v>98929</v>
      </c>
      <c r="E49" s="1490">
        <f t="shared" si="1"/>
        <v>105371</v>
      </c>
      <c r="F49" s="1490">
        <f t="shared" si="1"/>
        <v>26845</v>
      </c>
      <c r="G49" s="1490">
        <f t="shared" si="1"/>
        <v>58830</v>
      </c>
      <c r="H49" s="1490">
        <f t="shared" si="1"/>
        <v>92786</v>
      </c>
      <c r="I49" s="1490">
        <f t="shared" si="1"/>
        <v>110957</v>
      </c>
      <c r="J49" s="661"/>
      <c r="K49" s="88"/>
      <c r="L49" s="88"/>
    </row>
    <row r="51" spans="1:12" ht="27.75" customHeight="1">
      <c r="A51" s="1624" t="s">
        <v>1429</v>
      </c>
      <c r="B51" s="1624"/>
      <c r="C51" s="1624"/>
      <c r="D51" s="1624"/>
      <c r="E51" s="1624"/>
      <c r="F51" s="1624"/>
      <c r="G51" s="1624"/>
      <c r="H51" s="1624"/>
      <c r="I51" s="1624"/>
    </row>
    <row r="52" spans="1:12">
      <c r="A52" s="1615" t="s">
        <v>7</v>
      </c>
      <c r="B52" s="1615"/>
      <c r="C52" s="1615"/>
      <c r="D52" s="1615"/>
      <c r="E52" s="1615"/>
      <c r="F52" s="1615"/>
      <c r="G52" s="1615"/>
      <c r="H52" s="1615"/>
      <c r="I52" s="1615"/>
    </row>
    <row r="53" spans="1:12">
      <c r="A53" s="1616" t="s">
        <v>1479</v>
      </c>
      <c r="B53" s="1616"/>
      <c r="C53" s="1616"/>
      <c r="D53" s="1616"/>
      <c r="E53" s="1616"/>
      <c r="F53" s="1616"/>
      <c r="G53" s="1616"/>
      <c r="H53" s="1616"/>
      <c r="I53" s="1616"/>
    </row>
    <row r="54" spans="1:12">
      <c r="A54" s="1"/>
      <c r="B54" s="1"/>
      <c r="C54" s="1"/>
    </row>
    <row r="55" spans="1:12">
      <c r="A55" s="1"/>
      <c r="B55" s="1"/>
      <c r="C55" s="1"/>
    </row>
    <row r="56" spans="1:12">
      <c r="A56" s="1"/>
      <c r="B56" s="1"/>
      <c r="C56" s="1"/>
    </row>
    <row r="57" spans="1:12">
      <c r="A57" s="1"/>
      <c r="B57" s="1"/>
      <c r="C57" s="1"/>
    </row>
    <row r="60" spans="1:12" ht="31.5" customHeight="1">
      <c r="A60" s="998" t="s">
        <v>1008</v>
      </c>
      <c r="B60" s="1375" t="s">
        <v>8</v>
      </c>
      <c r="C60" s="1235">
        <f t="shared" ref="C60:H60" si="2">+D29</f>
        <v>2018</v>
      </c>
      <c r="D60" s="1235">
        <f t="shared" si="2"/>
        <v>2019</v>
      </c>
      <c r="E60" s="1235">
        <f t="shared" si="2"/>
        <v>2020</v>
      </c>
      <c r="F60" s="1235">
        <f t="shared" si="2"/>
        <v>2021</v>
      </c>
      <c r="G60" s="1235">
        <f t="shared" si="2"/>
        <v>2022</v>
      </c>
      <c r="H60" s="1235">
        <f t="shared" si="2"/>
        <v>2023</v>
      </c>
    </row>
    <row r="61" spans="1:12" s="6" customFormat="1" ht="27.75" customHeight="1">
      <c r="A61" s="182" t="s">
        <v>864</v>
      </c>
      <c r="B61" s="211" t="s">
        <v>1134</v>
      </c>
      <c r="C61" s="401">
        <f t="shared" ref="C61:H70" si="3">+D31/D7</f>
        <v>1.3539637658393548</v>
      </c>
      <c r="D61" s="401">
        <f t="shared" si="3"/>
        <v>1.7394749106726737</v>
      </c>
      <c r="E61" s="401">
        <f t="shared" si="3"/>
        <v>0.53247667664143639</v>
      </c>
      <c r="F61" s="401">
        <f t="shared" si="3"/>
        <v>1.3828400281888653</v>
      </c>
      <c r="G61" s="401">
        <f t="shared" si="3"/>
        <v>2.1721136767317941</v>
      </c>
      <c r="H61" s="401">
        <f t="shared" si="3"/>
        <v>2.5160911105255983</v>
      </c>
    </row>
    <row r="62" spans="1:12" s="6" customFormat="1" ht="27.75" customHeight="1">
      <c r="A62" s="182"/>
      <c r="B62" s="211" t="s">
        <v>1135</v>
      </c>
      <c r="C62" s="401">
        <f t="shared" si="3"/>
        <v>0.4691759184041881</v>
      </c>
      <c r="D62" s="401">
        <f t="shared" si="3"/>
        <v>0.47807532273551689</v>
      </c>
      <c r="E62" s="401">
        <f t="shared" si="3"/>
        <v>0.13320618349728969</v>
      </c>
      <c r="F62" s="401">
        <f t="shared" si="3"/>
        <v>0.39436898978883711</v>
      </c>
      <c r="G62" s="401">
        <f t="shared" si="3"/>
        <v>0.57220108151411975</v>
      </c>
      <c r="H62" s="401">
        <f t="shared" si="3"/>
        <v>0.58223872553982392</v>
      </c>
    </row>
    <row r="63" spans="1:12" s="6" customFormat="1" ht="27.75" customHeight="1">
      <c r="A63" s="182"/>
      <c r="B63" s="211" t="s">
        <v>339</v>
      </c>
      <c r="C63" s="401">
        <f t="shared" si="3"/>
        <v>1.0263157894736843</v>
      </c>
      <c r="D63" s="401">
        <f t="shared" si="3"/>
        <v>1.606361829025845</v>
      </c>
      <c r="E63" s="401">
        <f t="shared" si="3"/>
        <v>0.35185185185185186</v>
      </c>
      <c r="F63" s="401">
        <f t="shared" si="3"/>
        <v>1.1275026343519494</v>
      </c>
      <c r="G63" s="401">
        <f t="shared" si="3"/>
        <v>1.7348886532343584</v>
      </c>
      <c r="H63" s="401">
        <f t="shared" si="3"/>
        <v>1.923734355008158</v>
      </c>
    </row>
    <row r="64" spans="1:12" s="6" customFormat="1" ht="27.75" customHeight="1">
      <c r="A64" s="182" t="s">
        <v>574</v>
      </c>
      <c r="B64" s="211" t="s">
        <v>1146</v>
      </c>
      <c r="C64" s="401">
        <f t="shared" si="3"/>
        <v>1.4667009514013885</v>
      </c>
      <c r="D64" s="401">
        <f t="shared" si="3"/>
        <v>1.7391401202940522</v>
      </c>
      <c r="E64" s="401">
        <f t="shared" si="3"/>
        <v>0.21479500891265596</v>
      </c>
      <c r="F64" s="401">
        <f t="shared" si="3"/>
        <v>0.46252771618625277</v>
      </c>
      <c r="G64" s="401">
        <f t="shared" si="3"/>
        <v>0.58115877930119419</v>
      </c>
      <c r="H64" s="401">
        <f t="shared" si="3"/>
        <v>1.7589447109828069</v>
      </c>
    </row>
    <row r="65" spans="1:8" s="6" customFormat="1" ht="27.75" customHeight="1">
      <c r="A65" s="182"/>
      <c r="B65" s="211" t="s">
        <v>1038</v>
      </c>
      <c r="C65" s="401">
        <f t="shared" si="3"/>
        <v>0.7474120082815735</v>
      </c>
      <c r="D65" s="401">
        <f t="shared" si="3"/>
        <v>1.4212840809146878</v>
      </c>
      <c r="E65" s="401">
        <f t="shared" si="3"/>
        <v>0.3128249566724437</v>
      </c>
      <c r="F65" s="401">
        <f t="shared" si="3"/>
        <v>0.65289982425307558</v>
      </c>
      <c r="G65" s="401">
        <f t="shared" si="3"/>
        <v>0.79453262786596124</v>
      </c>
      <c r="H65" s="401">
        <f t="shared" si="3"/>
        <v>1.6198358663347265</v>
      </c>
    </row>
    <row r="66" spans="1:8" s="6" customFormat="1" ht="27.75" customHeight="1">
      <c r="A66" s="182" t="s">
        <v>763</v>
      </c>
      <c r="B66" s="211" t="s">
        <v>1136</v>
      </c>
      <c r="C66" s="401">
        <f t="shared" si="3"/>
        <v>1.4413538873994638</v>
      </c>
      <c r="D66" s="401">
        <f t="shared" si="3"/>
        <v>1.0141550522648084</v>
      </c>
      <c r="E66" s="401">
        <f t="shared" si="3"/>
        <v>0.34009495036685367</v>
      </c>
      <c r="F66" s="401">
        <f t="shared" si="3"/>
        <v>1.1221864951768488</v>
      </c>
      <c r="G66" s="401">
        <f t="shared" si="3"/>
        <v>2.014941302027748</v>
      </c>
      <c r="H66" s="401">
        <f t="shared" si="3"/>
        <v>1.6569630326880573</v>
      </c>
    </row>
    <row r="67" spans="1:8" s="6" customFormat="1" ht="27.75" customHeight="1">
      <c r="A67" s="182" t="s">
        <v>575</v>
      </c>
      <c r="B67" s="211" t="s">
        <v>1137</v>
      </c>
      <c r="C67" s="401">
        <f t="shared" si="3"/>
        <v>2.2468916518650088</v>
      </c>
      <c r="D67" s="401">
        <f t="shared" si="3"/>
        <v>1.7806796727501573</v>
      </c>
      <c r="E67" s="401">
        <f t="shared" si="3"/>
        <v>0.58700406123086535</v>
      </c>
      <c r="F67" s="401">
        <f t="shared" si="3"/>
        <v>0.65591064225876516</v>
      </c>
      <c r="G67" s="401">
        <f t="shared" si="3"/>
        <v>1.555349984582177</v>
      </c>
      <c r="H67" s="401">
        <f t="shared" si="3"/>
        <v>1.8338498505758265</v>
      </c>
    </row>
    <row r="68" spans="1:8" s="6" customFormat="1" ht="27.75" customHeight="1">
      <c r="A68" s="182" t="s">
        <v>576</v>
      </c>
      <c r="B68" s="211" t="s">
        <v>1145</v>
      </c>
      <c r="C68" s="401">
        <f t="shared" si="3"/>
        <v>0.97081091850966328</v>
      </c>
      <c r="D68" s="401">
        <f t="shared" si="3"/>
        <v>1.1338194295517907</v>
      </c>
      <c r="E68" s="401">
        <f t="shared" si="3"/>
        <v>0.29890487438264979</v>
      </c>
      <c r="F68" s="401">
        <f t="shared" si="3"/>
        <v>1.1683673469387754</v>
      </c>
      <c r="G68" s="401">
        <f t="shared" si="3"/>
        <v>1.4210694503621644</v>
      </c>
      <c r="H68" s="401">
        <f t="shared" si="3"/>
        <v>1.359338478714085</v>
      </c>
    </row>
    <row r="69" spans="1:8" s="6" customFormat="1" ht="27.75" customHeight="1">
      <c r="A69" s="182"/>
      <c r="B69" s="211" t="s">
        <v>1144</v>
      </c>
      <c r="C69" s="401">
        <f t="shared" si="3"/>
        <v>2.1436987940716192</v>
      </c>
      <c r="D69" s="401">
        <f t="shared" si="3"/>
        <v>2.3423611111111109</v>
      </c>
      <c r="E69" s="401">
        <f t="shared" si="3"/>
        <v>0.59501341015198173</v>
      </c>
      <c r="F69" s="401">
        <f t="shared" si="3"/>
        <v>0.79461077844311379</v>
      </c>
      <c r="G69" s="401">
        <f t="shared" si="3"/>
        <v>1.4638958437656484</v>
      </c>
      <c r="H69" s="401">
        <f t="shared" si="3"/>
        <v>2.0609775251755416</v>
      </c>
    </row>
    <row r="70" spans="1:8" s="6" customFormat="1" ht="27.75" customHeight="1">
      <c r="A70" s="182"/>
      <c r="B70" s="211" t="s">
        <v>1068</v>
      </c>
      <c r="C70" s="401">
        <f t="shared" si="3"/>
        <v>1.3934859154929577</v>
      </c>
      <c r="D70" s="401">
        <f t="shared" si="3"/>
        <v>1.6485436893203884</v>
      </c>
      <c r="E70" s="401">
        <f t="shared" si="3"/>
        <v>0.65225744476464942</v>
      </c>
      <c r="F70" s="401">
        <f t="shared" si="3"/>
        <v>1.2005758157389634</v>
      </c>
      <c r="G70" s="401">
        <f t="shared" si="3"/>
        <v>1.2810394610202118</v>
      </c>
      <c r="H70" s="401">
        <f t="shared" si="3"/>
        <v>1.6459251157854302</v>
      </c>
    </row>
    <row r="71" spans="1:8" s="6" customFormat="1" ht="27.75" customHeight="1">
      <c r="A71" s="182"/>
      <c r="B71" s="211" t="s">
        <v>1138</v>
      </c>
      <c r="C71" s="401">
        <f t="shared" ref="C71:H79" si="4">+D41/D17</f>
        <v>0.44449281671745755</v>
      </c>
      <c r="D71" s="401">
        <f t="shared" si="4"/>
        <v>0.67863894139886582</v>
      </c>
      <c r="E71" s="401">
        <f t="shared" si="4"/>
        <v>0.17754814466885863</v>
      </c>
      <c r="F71" s="401">
        <f t="shared" si="4"/>
        <v>0.373046875</v>
      </c>
      <c r="G71" s="401">
        <f t="shared" si="4"/>
        <v>0.58556801560214533</v>
      </c>
      <c r="H71" s="401">
        <f t="shared" si="4"/>
        <v>0.61013019527688261</v>
      </c>
    </row>
    <row r="72" spans="1:8" s="6" customFormat="1" ht="27.75" customHeight="1">
      <c r="A72" s="182" t="s">
        <v>577</v>
      </c>
      <c r="B72" s="211" t="s">
        <v>1139</v>
      </c>
      <c r="C72" s="401">
        <f t="shared" si="4"/>
        <v>0.53243243243243243</v>
      </c>
      <c r="D72" s="401">
        <f t="shared" si="4"/>
        <v>0.58874172185430462</v>
      </c>
      <c r="E72" s="401">
        <f t="shared" si="4"/>
        <v>0.169442593826338</v>
      </c>
      <c r="F72" s="401">
        <f t="shared" si="4"/>
        <v>0.24944021495745633</v>
      </c>
      <c r="G72" s="401">
        <f t="shared" si="4"/>
        <v>0.37649447326866681</v>
      </c>
      <c r="H72" s="401">
        <f t="shared" si="4"/>
        <v>0.5653854356215513</v>
      </c>
    </row>
    <row r="73" spans="1:8" s="6" customFormat="1" ht="27.75" customHeight="1">
      <c r="A73" s="182" t="s">
        <v>765</v>
      </c>
      <c r="B73" s="211" t="s">
        <v>1140</v>
      </c>
      <c r="C73" s="401">
        <f t="shared" si="4"/>
        <v>0.79821200510855683</v>
      </c>
      <c r="D73" s="401">
        <f t="shared" si="4"/>
        <v>0.95370611183355003</v>
      </c>
      <c r="E73" s="401">
        <f t="shared" si="4"/>
        <v>0.23052878353737952</v>
      </c>
      <c r="F73" s="401">
        <f t="shared" si="4"/>
        <v>0.57830364264823186</v>
      </c>
      <c r="G73" s="401">
        <f t="shared" si="4"/>
        <v>1.3061715201709858</v>
      </c>
      <c r="H73" s="401">
        <f t="shared" si="4"/>
        <v>1.6295640850857653</v>
      </c>
    </row>
    <row r="74" spans="1:8" s="6" customFormat="1" ht="27.75" customHeight="1">
      <c r="A74" s="182"/>
      <c r="B74" s="211" t="s">
        <v>340</v>
      </c>
      <c r="C74" s="401">
        <f t="shared" si="4"/>
        <v>2.9341085271317828</v>
      </c>
      <c r="D74" s="401">
        <f t="shared" si="4"/>
        <v>1.9552845528455285</v>
      </c>
      <c r="E74" s="401">
        <f t="shared" si="4"/>
        <v>0.77596741344195519</v>
      </c>
      <c r="F74" s="401">
        <f t="shared" si="4"/>
        <v>0.86306306306306302</v>
      </c>
      <c r="G74" s="401">
        <f t="shared" si="4"/>
        <v>1.4712230215827338</v>
      </c>
      <c r="H74" s="401">
        <f t="shared" si="4"/>
        <v>2.9427590037080691</v>
      </c>
    </row>
    <row r="75" spans="1:8" s="6" customFormat="1" ht="27.75" customHeight="1">
      <c r="A75" s="182" t="s">
        <v>579</v>
      </c>
      <c r="B75" s="211" t="s">
        <v>1141</v>
      </c>
      <c r="C75" s="401">
        <f t="shared" si="4"/>
        <v>1.7409850483729112</v>
      </c>
      <c r="D75" s="401">
        <f t="shared" si="4"/>
        <v>1.5950495049504951</v>
      </c>
      <c r="E75" s="401">
        <f t="shared" si="4"/>
        <v>0.31194029850746269</v>
      </c>
      <c r="F75" s="401">
        <f t="shared" si="4"/>
        <v>0.93696848424212109</v>
      </c>
      <c r="G75" s="401">
        <f t="shared" si="4"/>
        <v>1.1069277108433735</v>
      </c>
      <c r="H75" s="401">
        <f t="shared" si="4"/>
        <v>2.0063825999404341</v>
      </c>
    </row>
    <row r="76" spans="1:8" s="6" customFormat="1" ht="27.75" customHeight="1">
      <c r="A76" s="182" t="s">
        <v>580</v>
      </c>
      <c r="B76" s="211" t="s">
        <v>1142</v>
      </c>
      <c r="C76" s="401">
        <f t="shared" si="4"/>
        <v>1.3184828416616496</v>
      </c>
      <c r="D76" s="401">
        <f t="shared" si="4"/>
        <v>1.3292459478505989</v>
      </c>
      <c r="E76" s="401">
        <f t="shared" si="4"/>
        <v>0.27438507209499574</v>
      </c>
      <c r="F76" s="401">
        <f t="shared" si="4"/>
        <v>0.57882018479033404</v>
      </c>
      <c r="G76" s="401">
        <f t="shared" si="4"/>
        <v>1.335572388166357</v>
      </c>
      <c r="H76" s="401">
        <f t="shared" si="4"/>
        <v>1.0207439837556502</v>
      </c>
    </row>
    <row r="77" spans="1:8" s="6" customFormat="1" ht="27.75" customHeight="1">
      <c r="A77" s="182" t="s">
        <v>581</v>
      </c>
      <c r="B77" s="211" t="s">
        <v>1143</v>
      </c>
      <c r="C77" s="401">
        <f t="shared" si="4"/>
        <v>2.1701624815361891</v>
      </c>
      <c r="D77" s="401">
        <f t="shared" si="4"/>
        <v>2.8439402324294409</v>
      </c>
      <c r="E77" s="401">
        <f t="shared" si="4"/>
        <v>0.65804117974401777</v>
      </c>
      <c r="F77" s="401">
        <f t="shared" si="4"/>
        <v>1.2240802675585285</v>
      </c>
      <c r="G77" s="401">
        <f t="shared" si="4"/>
        <v>1.3864653243847875</v>
      </c>
      <c r="H77" s="401">
        <f t="shared" si="4"/>
        <v>1.7389830350484712</v>
      </c>
    </row>
    <row r="78" spans="1:8" s="6" customFormat="1" ht="27.75" customHeight="1">
      <c r="A78" s="182"/>
      <c r="B78" s="211" t="s">
        <v>1039</v>
      </c>
      <c r="C78" s="401">
        <f t="shared" si="4"/>
        <v>1.8485639686684072</v>
      </c>
      <c r="D78" s="401">
        <f t="shared" si="4"/>
        <v>1.9949622166246852</v>
      </c>
      <c r="E78" s="401">
        <f t="shared" si="4"/>
        <v>1.3734643734643734</v>
      </c>
      <c r="F78" s="401">
        <f t="shared" si="4"/>
        <v>1.7284263959390862</v>
      </c>
      <c r="G78" s="401">
        <f t="shared" si="4"/>
        <v>2.1079691516709511</v>
      </c>
      <c r="H78" s="401">
        <f t="shared" si="4"/>
        <v>2.0920242568057481</v>
      </c>
    </row>
    <row r="79" spans="1:8" s="6" customFormat="1" ht="27.75" customHeight="1">
      <c r="A79" s="214" t="s">
        <v>582</v>
      </c>
      <c r="B79" s="214"/>
      <c r="C79" s="402">
        <f t="shared" si="4"/>
        <v>1.2597926854115729</v>
      </c>
      <c r="D79" s="402">
        <f t="shared" si="4"/>
        <v>1.4095134903754831</v>
      </c>
      <c r="E79" s="402">
        <f t="shared" si="4"/>
        <v>0.35978020505260339</v>
      </c>
      <c r="F79" s="402">
        <f t="shared" si="4"/>
        <v>0.78898664234751359</v>
      </c>
      <c r="G79" s="402">
        <f t="shared" si="4"/>
        <v>1.2489366284391321</v>
      </c>
      <c r="H79" s="402">
        <f t="shared" si="4"/>
        <v>1.4815550093705854</v>
      </c>
    </row>
    <row r="80" spans="1:8">
      <c r="A80" s="10" t="s">
        <v>9</v>
      </c>
    </row>
    <row r="81" spans="1:1">
      <c r="A81" s="10" t="s">
        <v>1316</v>
      </c>
    </row>
    <row r="82" spans="1:1" ht="12.75" customHeight="1">
      <c r="A82" s="10" t="s">
        <v>10</v>
      </c>
    </row>
    <row r="83" spans="1:1" ht="12.75" customHeight="1">
      <c r="A83" s="10" t="s">
        <v>11</v>
      </c>
    </row>
    <row r="84" spans="1:1" ht="12.75" customHeight="1">
      <c r="A84" s="10" t="s">
        <v>12</v>
      </c>
    </row>
    <row r="85" spans="1:1" ht="12.75" customHeight="1">
      <c r="A85" s="10" t="s">
        <v>1303</v>
      </c>
    </row>
    <row r="86" spans="1:1">
      <c r="A86" s="10" t="s">
        <v>1304</v>
      </c>
    </row>
    <row r="87" spans="1:1">
      <c r="A87" s="10"/>
    </row>
  </sheetData>
  <mergeCells count="3">
    <mergeCell ref="A51:I51"/>
    <mergeCell ref="A52:I52"/>
    <mergeCell ref="A53:I53"/>
  </mergeCells>
  <phoneticPr fontId="18" type="noConversion"/>
  <pageMargins left="1.1811023622047245" right="0.39370078740157483" top="0.98425196850393704" bottom="0.98425196850393704" header="0.51181102362204722" footer="0.51181102362204722"/>
  <pageSetup paperSize="5" scale="90" orientation="portrait"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92"/>
  <sheetViews>
    <sheetView zoomScale="75" workbookViewId="0">
      <selection activeCell="C39" sqref="C39"/>
    </sheetView>
  </sheetViews>
  <sheetFormatPr baseColWidth="10" defaultRowHeight="12.75"/>
  <cols>
    <col min="1" max="1" width="16" customWidth="1"/>
    <col min="2" max="2" width="14.5703125" customWidth="1"/>
    <col min="3" max="3" width="11.28515625" customWidth="1"/>
    <col min="4" max="4" width="10.42578125" customWidth="1"/>
    <col min="5" max="6" width="10.5703125" customWidth="1"/>
    <col min="7" max="7" width="10.7109375" customWidth="1"/>
    <col min="8" max="10" width="9" customWidth="1"/>
    <col min="11" max="11" width="12.7109375" bestFit="1" customWidth="1"/>
    <col min="12" max="12" width="9.7109375" customWidth="1"/>
  </cols>
  <sheetData>
    <row r="1" spans="1:16">
      <c r="A1" s="63" t="s">
        <v>13</v>
      </c>
      <c r="B1" s="86"/>
      <c r="C1" s="86"/>
      <c r="D1" s="86"/>
      <c r="E1" s="86"/>
      <c r="F1" s="86"/>
      <c r="G1" s="86"/>
      <c r="H1" s="86"/>
      <c r="I1" s="86"/>
      <c r="J1" s="86"/>
      <c r="K1" s="86"/>
      <c r="L1" s="1"/>
    </row>
    <row r="2" spans="1:16">
      <c r="A2" s="63"/>
      <c r="B2" s="86"/>
      <c r="C2" s="86"/>
      <c r="D2" s="86"/>
      <c r="E2" s="86"/>
      <c r="F2" s="86"/>
      <c r="G2" s="86"/>
      <c r="H2" s="86"/>
      <c r="I2" s="86"/>
      <c r="J2" s="86"/>
      <c r="K2" s="86"/>
      <c r="L2" s="1"/>
    </row>
    <row r="3" spans="1:16">
      <c r="A3" s="3" t="s">
        <v>1554</v>
      </c>
      <c r="B3" s="86"/>
      <c r="C3" s="86"/>
      <c r="D3" s="86"/>
      <c r="E3" s="86"/>
      <c r="F3" s="86"/>
      <c r="G3" s="86"/>
      <c r="H3" s="86"/>
      <c r="I3" s="86"/>
      <c r="J3" s="86"/>
      <c r="K3" s="86"/>
      <c r="L3" s="1"/>
    </row>
    <row r="6" spans="1:16" ht="19.5" customHeight="1">
      <c r="A6" s="1090"/>
      <c r="B6" s="1090"/>
      <c r="C6" s="1075" t="s">
        <v>14</v>
      </c>
      <c r="D6" s="1075"/>
      <c r="E6" s="1075"/>
      <c r="F6" s="1075"/>
      <c r="G6" s="1075"/>
      <c r="H6" s="1075"/>
      <c r="I6" s="1075"/>
      <c r="J6" s="1075"/>
      <c r="K6" s="1075"/>
      <c r="L6" s="1060"/>
    </row>
    <row r="7" spans="1:16" ht="23.25" customHeight="1">
      <c r="A7" s="1376" t="s">
        <v>15</v>
      </c>
      <c r="B7" s="1376" t="s">
        <v>16</v>
      </c>
      <c r="C7" s="1377" t="s">
        <v>17</v>
      </c>
      <c r="D7" s="1378" t="s">
        <v>18</v>
      </c>
      <c r="E7" s="1379" t="s">
        <v>19</v>
      </c>
      <c r="F7" s="1378" t="s">
        <v>20</v>
      </c>
      <c r="G7" s="1379" t="s">
        <v>352</v>
      </c>
      <c r="H7" s="1380" t="s">
        <v>21</v>
      </c>
      <c r="I7" s="1380" t="s">
        <v>1459</v>
      </c>
      <c r="J7" s="1380" t="s">
        <v>22</v>
      </c>
      <c r="K7" s="1381" t="s">
        <v>1078</v>
      </c>
      <c r="L7" s="1382" t="s">
        <v>594</v>
      </c>
    </row>
    <row r="8" spans="1:16" ht="16.5" customHeight="1">
      <c r="A8" s="395"/>
      <c r="B8" s="394" t="s">
        <v>23</v>
      </c>
      <c r="C8" s="404">
        <f>+SUM([42]A08!$E$12:$H$12)</f>
        <v>14004</v>
      </c>
      <c r="D8" s="404">
        <f>+SUM([40]A08!$E$12:$H$12)</f>
        <v>11152</v>
      </c>
      <c r="E8" s="404">
        <f>+SUM([53]A08!$E$30:$H$30)</f>
        <v>6428</v>
      </c>
      <c r="F8" s="404">
        <f>+SUM([49]A08!$E$30:$H$30)</f>
        <v>2966</v>
      </c>
      <c r="G8" s="404">
        <f>+SUM([51]A08!$E$12:$H$12)</f>
        <v>0</v>
      </c>
      <c r="H8" s="404">
        <f>+SUM([87]A08!$E$20:$H$20)</f>
        <v>4789</v>
      </c>
      <c r="I8" s="404">
        <f>+SUM([87]A08!$E$20:$H$20)</f>
        <v>4789</v>
      </c>
      <c r="J8" s="404">
        <f>+SUM([88]A08!$E$20:$H$20)</f>
        <v>5731</v>
      </c>
      <c r="K8" s="404">
        <f>+SUM([89]A08!$E$50:$H$50)+SUM([89]A08!$E$20:$H$20)</f>
        <v>19089</v>
      </c>
      <c r="L8" s="406">
        <f>SUM(C8:K8)</f>
        <v>68948</v>
      </c>
      <c r="N8" s="88"/>
      <c r="O8" s="88"/>
    </row>
    <row r="9" spans="1:16" ht="16.5" customHeight="1">
      <c r="A9" s="211" t="s">
        <v>799</v>
      </c>
      <c r="B9" s="182" t="s">
        <v>24</v>
      </c>
      <c r="C9" s="124">
        <f>+SUM([42]A08!$I$12:$L$12)</f>
        <v>6507</v>
      </c>
      <c r="D9" s="124">
        <f>+SUM([40]A08!$I$12:$L$12)</f>
        <v>8668</v>
      </c>
      <c r="E9" s="124">
        <f>+SUM([53]A08!$I$30:$L$30)</f>
        <v>5040</v>
      </c>
      <c r="F9" s="124">
        <f>+SUM([49]A08!$I$30:$L$30)</f>
        <v>2855</v>
      </c>
      <c r="G9" s="124">
        <f>+SUM([51]A08!$I$12:$L$12)</f>
        <v>927</v>
      </c>
      <c r="H9" s="124">
        <f>+SUM([87]A08!$I$20:$L$20)</f>
        <v>4263</v>
      </c>
      <c r="I9" s="124">
        <f>+SUM([87]A08!$I$20:$L$20)</f>
        <v>4263</v>
      </c>
      <c r="J9" s="124">
        <f>+SUM([88]A08!$I$20:$L$20)</f>
        <v>3936</v>
      </c>
      <c r="K9" s="124">
        <f>+SUM([89]A08!$I$50:$L$50)+SUM([89]A08!$I$20:$L$20)</f>
        <v>13798</v>
      </c>
      <c r="L9" s="125">
        <f>SUM(C9:K9)</f>
        <v>50257</v>
      </c>
      <c r="N9" s="88"/>
      <c r="O9" s="88"/>
    </row>
    <row r="10" spans="1:16" ht="16.5" customHeight="1">
      <c r="A10" s="145"/>
      <c r="B10" s="182" t="s">
        <v>25</v>
      </c>
      <c r="C10" s="124">
        <f>+[42]A08!$B$13</f>
        <v>5973</v>
      </c>
      <c r="D10" s="124">
        <f>+[40]A08!$B$13</f>
        <v>5696</v>
      </c>
      <c r="E10" s="124"/>
      <c r="F10" s="124"/>
      <c r="G10" s="124">
        <f>+[51]A08!$B$13</f>
        <v>0</v>
      </c>
      <c r="H10" s="124"/>
      <c r="I10" s="124"/>
      <c r="J10" s="124"/>
      <c r="K10" s="124"/>
      <c r="L10" s="125">
        <f>SUM(C10:K10)</f>
        <v>11669</v>
      </c>
      <c r="N10" s="910"/>
      <c r="O10" s="88"/>
    </row>
    <row r="11" spans="1:16" ht="16.5" customHeight="1">
      <c r="A11" s="211"/>
      <c r="B11" s="182" t="s">
        <v>26</v>
      </c>
      <c r="C11" s="124">
        <f>+SUM([42]A08!$M$12:$AD$12)</f>
        <v>23008</v>
      </c>
      <c r="D11" s="124">
        <f>+SUM([40]A08!$M$12:$AD$12)</f>
        <v>26436</v>
      </c>
      <c r="E11" s="124">
        <f>+SUM([53]A08!$M$30:$AD$30)</f>
        <v>19741</v>
      </c>
      <c r="F11" s="124">
        <f>+SUM([49]A08!$M$30:$AD$30)</f>
        <v>10802</v>
      </c>
      <c r="G11" s="124">
        <f>+SUM([51]A08!$M$12:$AD$12)</f>
        <v>4195</v>
      </c>
      <c r="H11" s="124">
        <f>+SUM([87]A08!$M$20:$AD$20)</f>
        <v>14100</v>
      </c>
      <c r="I11" s="124">
        <f>+SUM([87]A08!$M$20:$AD$20)</f>
        <v>14100</v>
      </c>
      <c r="J11" s="124">
        <f>+SUM([88]A08!$M$20:$AD$20)</f>
        <v>11424</v>
      </c>
      <c r="K11" s="124">
        <f>+SUM([89]A08!$M$50:$AD$50)+SUM([89]A08!$M$20:$AD$20)</f>
        <v>41509</v>
      </c>
      <c r="L11" s="125">
        <f>SUM(C11:K11)</f>
        <v>165315</v>
      </c>
      <c r="N11" s="88"/>
      <c r="O11" s="88"/>
    </row>
    <row r="12" spans="1:16" ht="16.5" customHeight="1">
      <c r="A12" s="211"/>
      <c r="B12" s="182" t="s">
        <v>27</v>
      </c>
      <c r="C12" s="124">
        <f>+SUM([42]A08!$AE$12:$AL$12)</f>
        <v>9358</v>
      </c>
      <c r="D12" s="124">
        <f>+SUM([40]A08!$AE$12:$AL$12)</f>
        <v>10957</v>
      </c>
      <c r="E12" s="124">
        <f>+SUM([53]A08!$AE$30:$AL$30)</f>
        <v>5731</v>
      </c>
      <c r="F12" s="124">
        <f>+SUM([49]A08!$AE$30:$AL$30)</f>
        <v>3731</v>
      </c>
      <c r="G12" s="124">
        <f>+SUM([51]A08!$AE$12:$AL$12)</f>
        <v>276</v>
      </c>
      <c r="H12" s="124">
        <f>+SUM([87]A08!$AE$20:$AL$20)</f>
        <v>3193</v>
      </c>
      <c r="I12" s="124">
        <f>+SUM([87]A08!$AE$20:$AL$20)</f>
        <v>3193</v>
      </c>
      <c r="J12" s="124">
        <f>+SUM([88]A08!$AE$20:$AL$20)</f>
        <v>2415</v>
      </c>
      <c r="K12" s="124">
        <f>+SUM([89]A08!$AE$50:$AL$50)+SUM([89]A08!$AE$20:$AL$20)</f>
        <v>9851</v>
      </c>
      <c r="L12" s="125">
        <f>SUM(C12:K12)</f>
        <v>48705</v>
      </c>
      <c r="N12" s="88"/>
      <c r="O12" s="88"/>
    </row>
    <row r="13" spans="1:16" ht="16.5" customHeight="1">
      <c r="A13" s="214"/>
      <c r="B13" s="398" t="s">
        <v>675</v>
      </c>
      <c r="C13" s="128">
        <f t="shared" ref="C13:L13" si="0">SUM(C8:C12)</f>
        <v>58850</v>
      </c>
      <c r="D13" s="128">
        <f t="shared" si="0"/>
        <v>62909</v>
      </c>
      <c r="E13" s="128">
        <f t="shared" si="0"/>
        <v>36940</v>
      </c>
      <c r="F13" s="128">
        <f t="shared" si="0"/>
        <v>20354</v>
      </c>
      <c r="G13" s="128">
        <f t="shared" si="0"/>
        <v>5398</v>
      </c>
      <c r="H13" s="408">
        <f t="shared" si="0"/>
        <v>26345</v>
      </c>
      <c r="I13" s="408">
        <f t="shared" si="0"/>
        <v>26345</v>
      </c>
      <c r="J13" s="408">
        <f t="shared" si="0"/>
        <v>23506</v>
      </c>
      <c r="K13" s="128">
        <f t="shared" si="0"/>
        <v>84247</v>
      </c>
      <c r="L13" s="128">
        <f t="shared" si="0"/>
        <v>344894</v>
      </c>
      <c r="N13" s="88"/>
      <c r="P13" s="88"/>
    </row>
    <row r="14" spans="1:16" ht="16.5" customHeight="1">
      <c r="A14" s="182"/>
      <c r="B14" s="211" t="s">
        <v>23</v>
      </c>
      <c r="C14" s="686"/>
      <c r="D14" s="911"/>
      <c r="E14" s="686"/>
      <c r="F14" s="911"/>
      <c r="G14" s="686"/>
      <c r="H14" s="912"/>
      <c r="I14" s="912"/>
      <c r="J14" s="912"/>
      <c r="K14" s="404">
        <f>+SUM([89]A08!$E$49:$H$49)+SUM([89]A08!$E$39:$H$39)+SUM([89]A08!$E$21:$H$21)</f>
        <v>37</v>
      </c>
      <c r="L14" s="125">
        <f>SUM(C14:K14)</f>
        <v>37</v>
      </c>
    </row>
    <row r="15" spans="1:16" ht="16.5" customHeight="1">
      <c r="A15" s="182"/>
      <c r="B15" s="211" t="s">
        <v>24</v>
      </c>
      <c r="C15" s="123"/>
      <c r="D15" s="124"/>
      <c r="E15" s="123"/>
      <c r="F15" s="124"/>
      <c r="G15" s="123"/>
      <c r="H15" s="407"/>
      <c r="I15" s="407"/>
      <c r="J15" s="407"/>
      <c r="K15" s="124">
        <f>+SUM([89]A08!$I$49:$L$49)+SUM([89]A08!$I$39:$L$39)+SUM([89]A08!$I$21:$L$21)</f>
        <v>55</v>
      </c>
      <c r="L15" s="125">
        <f>SUM(C15:K15)</f>
        <v>55</v>
      </c>
    </row>
    <row r="16" spans="1:16" ht="16.5" customHeight="1">
      <c r="A16" s="182" t="s">
        <v>28</v>
      </c>
      <c r="B16" s="211" t="s">
        <v>25</v>
      </c>
      <c r="C16" s="123"/>
      <c r="D16" s="124"/>
      <c r="E16" s="123"/>
      <c r="F16" s="124"/>
      <c r="G16" s="123"/>
      <c r="H16" s="407"/>
      <c r="I16" s="407"/>
      <c r="J16" s="407"/>
      <c r="K16" s="124"/>
      <c r="L16" s="125">
        <f>SUM(C16:K16)</f>
        <v>0</v>
      </c>
    </row>
    <row r="17" spans="1:12" ht="16.5" customHeight="1">
      <c r="A17" s="182"/>
      <c r="B17" s="211" t="s">
        <v>26</v>
      </c>
      <c r="C17" s="123"/>
      <c r="D17" s="124"/>
      <c r="E17" s="123"/>
      <c r="F17" s="124"/>
      <c r="G17" s="123"/>
      <c r="H17" s="407"/>
      <c r="I17" s="407"/>
      <c r="J17" s="407"/>
      <c r="K17" s="124">
        <f>+SUM([89]A08!$M$49:$AD$49)+SUM([89]A08!$M$39:$AD$39)+SUM([89]A08!$M$21:$AD$21)</f>
        <v>192</v>
      </c>
      <c r="L17" s="125">
        <f>SUM(C17:K17)</f>
        <v>192</v>
      </c>
    </row>
    <row r="18" spans="1:12" ht="16.5" customHeight="1">
      <c r="A18" s="182"/>
      <c r="B18" s="211" t="s">
        <v>27</v>
      </c>
      <c r="C18" s="123"/>
      <c r="D18" s="124"/>
      <c r="E18" s="123"/>
      <c r="F18" s="124"/>
      <c r="G18" s="123"/>
      <c r="H18" s="407"/>
      <c r="I18" s="407"/>
      <c r="J18" s="407"/>
      <c r="K18" s="124">
        <f>+SUM([89]A08!$AE$49:$AL$49)+SUM([89]A08!$AE$39:$AL$39)+SUM([89]A08!$AE$21:$AL$21)</f>
        <v>22</v>
      </c>
      <c r="L18" s="125">
        <f>SUM(C18:K18)</f>
        <v>22</v>
      </c>
    </row>
    <row r="19" spans="1:12" ht="16.5" customHeight="1">
      <c r="A19" s="182"/>
      <c r="B19" s="214" t="s">
        <v>675</v>
      </c>
      <c r="C19" s="128">
        <f t="shared" ref="C19:L19" si="1">SUM(C14:C18)</f>
        <v>0</v>
      </c>
      <c r="D19" s="128">
        <f>SUM(D14:D18)</f>
        <v>0</v>
      </c>
      <c r="E19" s="128">
        <f>SUM(E14:E18)</f>
        <v>0</v>
      </c>
      <c r="F19" s="128">
        <f>SUM(F14:F18)</f>
        <v>0</v>
      </c>
      <c r="G19" s="408">
        <f>SUM(G14:G18)</f>
        <v>0</v>
      </c>
      <c r="H19" s="408">
        <f t="shared" si="1"/>
        <v>0</v>
      </c>
      <c r="I19" s="408"/>
      <c r="J19" s="408">
        <f t="shared" si="1"/>
        <v>0</v>
      </c>
      <c r="K19" s="128">
        <f t="shared" si="1"/>
        <v>306</v>
      </c>
      <c r="L19" s="128">
        <f t="shared" si="1"/>
        <v>306</v>
      </c>
    </row>
    <row r="20" spans="1:12" ht="16.5" customHeight="1">
      <c r="A20" s="394"/>
      <c r="B20" s="395" t="s">
        <v>23</v>
      </c>
      <c r="C20" s="403"/>
      <c r="D20" s="404"/>
      <c r="E20" s="403"/>
      <c r="F20" s="404"/>
      <c r="G20" s="403"/>
      <c r="H20" s="405"/>
      <c r="I20" s="405"/>
      <c r="J20" s="405"/>
      <c r="K20" s="404">
        <v>0</v>
      </c>
      <c r="L20" s="406">
        <f>SUM(C20:K20)</f>
        <v>0</v>
      </c>
    </row>
    <row r="21" spans="1:12" ht="16.5" customHeight="1">
      <c r="A21" s="182"/>
      <c r="B21" s="211" t="s">
        <v>24</v>
      </c>
      <c r="C21" s="123"/>
      <c r="D21" s="124"/>
      <c r="E21" s="123"/>
      <c r="F21" s="124"/>
      <c r="G21" s="123"/>
      <c r="H21" s="407"/>
      <c r="I21" s="407"/>
      <c r="J21" s="407"/>
      <c r="K21" s="124">
        <v>0</v>
      </c>
      <c r="L21" s="125">
        <f>SUM(C21:K21)</f>
        <v>0</v>
      </c>
    </row>
    <row r="22" spans="1:12" ht="16.5" customHeight="1">
      <c r="A22" s="182" t="s">
        <v>29</v>
      </c>
      <c r="B22" s="211" t="s">
        <v>25</v>
      </c>
      <c r="C22" s="123"/>
      <c r="D22" s="124"/>
      <c r="E22" s="123"/>
      <c r="F22" s="124"/>
      <c r="G22" s="123"/>
      <c r="H22" s="407"/>
      <c r="I22" s="407"/>
      <c r="J22" s="407"/>
      <c r="K22" s="124">
        <v>0</v>
      </c>
      <c r="L22" s="125">
        <f>SUM(C22:K22)</f>
        <v>0</v>
      </c>
    </row>
    <row r="23" spans="1:12" ht="16.5" customHeight="1">
      <c r="A23" s="182"/>
      <c r="B23" s="211" t="s">
        <v>26</v>
      </c>
      <c r="C23" s="123"/>
      <c r="D23" s="124"/>
      <c r="E23" s="123"/>
      <c r="F23" s="124"/>
      <c r="G23" s="123"/>
      <c r="H23" s="407"/>
      <c r="I23" s="407"/>
      <c r="J23" s="407"/>
      <c r="K23" s="124">
        <v>0</v>
      </c>
      <c r="L23" s="125">
        <f>SUM(C23:K23)</f>
        <v>0</v>
      </c>
    </row>
    <row r="24" spans="1:12" ht="16.5" customHeight="1">
      <c r="A24" s="182"/>
      <c r="B24" s="211" t="s">
        <v>27</v>
      </c>
      <c r="C24" s="123"/>
      <c r="D24" s="124"/>
      <c r="E24" s="123"/>
      <c r="F24" s="124"/>
      <c r="G24" s="123"/>
      <c r="H24" s="407"/>
      <c r="I24" s="407"/>
      <c r="J24" s="407"/>
      <c r="K24" s="124">
        <v>0</v>
      </c>
      <c r="L24" s="125">
        <f>SUM(C24:K24)</f>
        <v>0</v>
      </c>
    </row>
    <row r="25" spans="1:12" ht="16.5" customHeight="1">
      <c r="A25" s="398"/>
      <c r="B25" s="214" t="s">
        <v>675</v>
      </c>
      <c r="C25" s="128">
        <f t="shared" ref="C25:L25" si="2">SUM(C20:C24)</f>
        <v>0</v>
      </c>
      <c r="D25" s="128">
        <f>SUM(D20:D24)</f>
        <v>0</v>
      </c>
      <c r="E25" s="128">
        <f>SUM(E20:E24)</f>
        <v>0</v>
      </c>
      <c r="F25" s="128">
        <f>SUM(F20:F24)</f>
        <v>0</v>
      </c>
      <c r="G25" s="408">
        <f>SUM(G20:G24)</f>
        <v>0</v>
      </c>
      <c r="H25" s="408">
        <f t="shared" si="2"/>
        <v>0</v>
      </c>
      <c r="I25" s="408"/>
      <c r="J25" s="408">
        <f t="shared" si="2"/>
        <v>0</v>
      </c>
      <c r="K25" s="128">
        <f t="shared" si="2"/>
        <v>0</v>
      </c>
      <c r="L25" s="128">
        <f t="shared" si="2"/>
        <v>0</v>
      </c>
    </row>
    <row r="26" spans="1:12" ht="16.5" customHeight="1">
      <c r="A26" s="394"/>
      <c r="B26" s="395" t="s">
        <v>23</v>
      </c>
      <c r="C26" s="403"/>
      <c r="D26" s="404"/>
      <c r="E26" s="403"/>
      <c r="F26" s="404"/>
      <c r="G26" s="403"/>
      <c r="H26" s="405"/>
      <c r="I26" s="405"/>
      <c r="J26" s="405"/>
      <c r="K26" s="404">
        <f>+SUM([89]A08!$E$23:$H$23)</f>
        <v>91</v>
      </c>
      <c r="L26" s="406">
        <f>SUM(C26:K26)</f>
        <v>91</v>
      </c>
    </row>
    <row r="27" spans="1:12" ht="16.5" customHeight="1">
      <c r="A27" s="182"/>
      <c r="B27" s="211" t="s">
        <v>24</v>
      </c>
      <c r="C27" s="123"/>
      <c r="D27" s="124"/>
      <c r="E27" s="123"/>
      <c r="F27" s="124"/>
      <c r="G27" s="123"/>
      <c r="H27" s="407"/>
      <c r="I27" s="407"/>
      <c r="J27" s="407"/>
      <c r="K27" s="124">
        <f>+SUM([89]A08!$I$23:$L$23)</f>
        <v>188</v>
      </c>
      <c r="L27" s="125">
        <f>SUM(C27:K27)</f>
        <v>188</v>
      </c>
    </row>
    <row r="28" spans="1:12" ht="16.5" customHeight="1">
      <c r="A28" s="182" t="s">
        <v>1046</v>
      </c>
      <c r="B28" s="211" t="s">
        <v>25</v>
      </c>
      <c r="C28" s="123"/>
      <c r="D28" s="124"/>
      <c r="E28" s="123"/>
      <c r="F28" s="124"/>
      <c r="G28" s="123"/>
      <c r="H28" s="407"/>
      <c r="I28" s="407"/>
      <c r="J28" s="407"/>
      <c r="K28" s="124"/>
      <c r="L28" s="125">
        <f>SUM(C28:K28)</f>
        <v>0</v>
      </c>
    </row>
    <row r="29" spans="1:12" ht="16.5" customHeight="1">
      <c r="A29" s="182"/>
      <c r="B29" s="211" t="s">
        <v>26</v>
      </c>
      <c r="C29" s="123"/>
      <c r="D29" s="124"/>
      <c r="E29" s="123"/>
      <c r="F29" s="124"/>
      <c r="G29" s="123"/>
      <c r="H29" s="407"/>
      <c r="I29" s="407"/>
      <c r="J29" s="407"/>
      <c r="K29" s="124">
        <f>+SUM([89]A08!$M$23:$AD$23)</f>
        <v>470</v>
      </c>
      <c r="L29" s="125">
        <f>SUM(C29:K29)</f>
        <v>470</v>
      </c>
    </row>
    <row r="30" spans="1:12" ht="16.5" customHeight="1">
      <c r="A30" s="182"/>
      <c r="B30" s="211" t="s">
        <v>27</v>
      </c>
      <c r="C30" s="123"/>
      <c r="D30" s="124"/>
      <c r="E30" s="123"/>
      <c r="F30" s="124"/>
      <c r="G30" s="123"/>
      <c r="H30" s="407"/>
      <c r="I30" s="407"/>
      <c r="J30" s="407"/>
      <c r="K30" s="124">
        <f>+SUM([89]A08!$AE$23:$AL$23)</f>
        <v>40</v>
      </c>
      <c r="L30" s="125">
        <f>SUM(C30:K30)</f>
        <v>40</v>
      </c>
    </row>
    <row r="31" spans="1:12" ht="16.5" customHeight="1">
      <c r="A31" s="398"/>
      <c r="B31" s="214" t="s">
        <v>675</v>
      </c>
      <c r="C31" s="128">
        <f t="shared" ref="C31:L31" si="3">SUM(C26:C30)</f>
        <v>0</v>
      </c>
      <c r="D31" s="128">
        <f>SUM(D26:D30)</f>
        <v>0</v>
      </c>
      <c r="E31" s="128">
        <f>SUM(E26:E30)</f>
        <v>0</v>
      </c>
      <c r="F31" s="128">
        <f>SUM(F26:F30)</f>
        <v>0</v>
      </c>
      <c r="G31" s="408">
        <f>SUM(G26:G30)</f>
        <v>0</v>
      </c>
      <c r="H31" s="408">
        <f t="shared" si="3"/>
        <v>0</v>
      </c>
      <c r="I31" s="408"/>
      <c r="J31" s="408">
        <f t="shared" si="3"/>
        <v>0</v>
      </c>
      <c r="K31" s="128">
        <f t="shared" si="3"/>
        <v>789</v>
      </c>
      <c r="L31" s="128">
        <f t="shared" si="3"/>
        <v>789</v>
      </c>
    </row>
    <row r="32" spans="1:12" ht="16.5" customHeight="1">
      <c r="A32" s="182"/>
      <c r="B32" s="211" t="s">
        <v>23</v>
      </c>
      <c r="C32" s="123"/>
      <c r="D32" s="124"/>
      <c r="E32" s="123"/>
      <c r="F32" s="124"/>
      <c r="G32" s="123"/>
      <c r="H32" s="407"/>
      <c r="I32" s="407"/>
      <c r="J32" s="407"/>
      <c r="K32" s="404"/>
      <c r="L32" s="125">
        <f>SUM(C32:K32)</f>
        <v>0</v>
      </c>
    </row>
    <row r="33" spans="1:15" ht="16.5" customHeight="1">
      <c r="A33" s="182"/>
      <c r="B33" s="211" t="s">
        <v>24</v>
      </c>
      <c r="C33" s="123"/>
      <c r="D33" s="124"/>
      <c r="E33" s="123"/>
      <c r="F33" s="124"/>
      <c r="G33" s="123"/>
      <c r="H33" s="407"/>
      <c r="I33" s="407"/>
      <c r="J33" s="407"/>
      <c r="K33" s="124"/>
      <c r="L33" s="125">
        <f>SUM(C33:K33)</f>
        <v>0</v>
      </c>
    </row>
    <row r="34" spans="1:15" ht="16.5" customHeight="1">
      <c r="A34" s="182" t="s">
        <v>30</v>
      </c>
      <c r="B34" s="211" t="s">
        <v>25</v>
      </c>
      <c r="C34" s="123"/>
      <c r="D34" s="124"/>
      <c r="E34" s="123"/>
      <c r="F34" s="124"/>
      <c r="G34" s="123"/>
      <c r="H34" s="407"/>
      <c r="I34" s="407"/>
      <c r="J34" s="407"/>
      <c r="K34" s="124"/>
      <c r="L34" s="125">
        <f>SUM(C34:K34)</f>
        <v>0</v>
      </c>
    </row>
    <row r="35" spans="1:15" ht="16.5" customHeight="1">
      <c r="A35" s="182"/>
      <c r="B35" s="211" t="s">
        <v>26</v>
      </c>
      <c r="C35" s="123"/>
      <c r="D35" s="124"/>
      <c r="E35" s="123"/>
      <c r="F35" s="124"/>
      <c r="G35" s="123"/>
      <c r="H35" s="407"/>
      <c r="I35" s="407"/>
      <c r="J35" s="407"/>
      <c r="K35" s="124"/>
      <c r="L35" s="125">
        <f>SUM(C35:K35)</f>
        <v>0</v>
      </c>
    </row>
    <row r="36" spans="1:15" ht="16.5" customHeight="1">
      <c r="A36" s="182"/>
      <c r="B36" s="211" t="s">
        <v>27</v>
      </c>
      <c r="C36" s="123"/>
      <c r="D36" s="124"/>
      <c r="E36" s="123"/>
      <c r="F36" s="124"/>
      <c r="G36" s="123"/>
      <c r="H36" s="407"/>
      <c r="I36" s="407"/>
      <c r="J36" s="407"/>
      <c r="K36" s="124"/>
      <c r="L36" s="125">
        <f>SUM(C36:K36)</f>
        <v>0</v>
      </c>
    </row>
    <row r="37" spans="1:15" ht="16.5" customHeight="1">
      <c r="A37" s="182"/>
      <c r="B37" s="214" t="s">
        <v>675</v>
      </c>
      <c r="C37" s="128">
        <f t="shared" ref="C37:L37" si="4">SUM(C32:C36)</f>
        <v>0</v>
      </c>
      <c r="D37" s="128">
        <f>SUM(D32:D36)</f>
        <v>0</v>
      </c>
      <c r="E37" s="128">
        <f>SUM(E32:E36)</f>
        <v>0</v>
      </c>
      <c r="F37" s="128">
        <f>SUM(F32:F36)</f>
        <v>0</v>
      </c>
      <c r="G37" s="408">
        <f>SUM(G32:G36)</f>
        <v>0</v>
      </c>
      <c r="H37" s="408">
        <f t="shared" si="4"/>
        <v>0</v>
      </c>
      <c r="I37" s="408"/>
      <c r="J37" s="408">
        <f t="shared" si="4"/>
        <v>0</v>
      </c>
      <c r="K37" s="128">
        <f t="shared" si="4"/>
        <v>0</v>
      </c>
      <c r="L37" s="128">
        <f t="shared" si="4"/>
        <v>0</v>
      </c>
    </row>
    <row r="38" spans="1:15" ht="16.5" customHeight="1">
      <c r="A38" s="394"/>
      <c r="B38" s="395" t="s">
        <v>23</v>
      </c>
      <c r="C38" s="404">
        <f>+C32+C20+C14+C8</f>
        <v>14004</v>
      </c>
      <c r="D38" s="404">
        <f t="shared" ref="D38:G42" si="5">+D32+D20+D14+D8</f>
        <v>11152</v>
      </c>
      <c r="E38" s="403">
        <f t="shared" si="5"/>
        <v>6428</v>
      </c>
      <c r="F38" s="404">
        <f t="shared" si="5"/>
        <v>2966</v>
      </c>
      <c r="G38" s="405">
        <f t="shared" si="5"/>
        <v>0</v>
      </c>
      <c r="H38" s="405">
        <f t="shared" ref="H38:J39" si="6">+H32+H20+H14+H8+H26</f>
        <v>4789</v>
      </c>
      <c r="I38" s="405">
        <f t="shared" si="6"/>
        <v>4789</v>
      </c>
      <c r="J38" s="404">
        <f t="shared" si="6"/>
        <v>5731</v>
      </c>
      <c r="K38" s="409">
        <f>+K32+K20+K14+K8</f>
        <v>19126</v>
      </c>
      <c r="L38" s="406">
        <f>SUM(C38:K38)</f>
        <v>68985</v>
      </c>
      <c r="O38" s="121"/>
    </row>
    <row r="39" spans="1:15" ht="16.5" customHeight="1">
      <c r="A39" s="182"/>
      <c r="B39" s="211" t="s">
        <v>24</v>
      </c>
      <c r="C39" s="124">
        <f>+C33+C21+C15+C9</f>
        <v>6507</v>
      </c>
      <c r="D39" s="124">
        <f t="shared" si="5"/>
        <v>8668</v>
      </c>
      <c r="E39" s="123">
        <f t="shared" si="5"/>
        <v>5040</v>
      </c>
      <c r="F39" s="124">
        <f t="shared" si="5"/>
        <v>2855</v>
      </c>
      <c r="G39" s="407">
        <f t="shared" si="5"/>
        <v>927</v>
      </c>
      <c r="H39" s="124">
        <f t="shared" si="6"/>
        <v>4263</v>
      </c>
      <c r="I39" s="124">
        <f t="shared" si="6"/>
        <v>4263</v>
      </c>
      <c r="J39" s="124">
        <f t="shared" si="6"/>
        <v>3936</v>
      </c>
      <c r="K39" s="126">
        <f>+K33+K21+K15+K9</f>
        <v>13853</v>
      </c>
      <c r="L39" s="125">
        <f>SUM(C39:K39)</f>
        <v>50312</v>
      </c>
      <c r="O39" s="121"/>
    </row>
    <row r="40" spans="1:15" ht="16.5" customHeight="1">
      <c r="A40" s="182" t="s">
        <v>767</v>
      </c>
      <c r="B40" s="211" t="s">
        <v>25</v>
      </c>
      <c r="C40" s="124">
        <f>+C34+C22+C16+C10</f>
        <v>5973</v>
      </c>
      <c r="D40" s="124">
        <f t="shared" si="5"/>
        <v>5696</v>
      </c>
      <c r="E40" s="123">
        <f t="shared" si="5"/>
        <v>0</v>
      </c>
      <c r="F40" s="124">
        <f t="shared" si="5"/>
        <v>0</v>
      </c>
      <c r="G40" s="123">
        <f t="shared" si="5"/>
        <v>0</v>
      </c>
      <c r="H40" s="124"/>
      <c r="I40" s="124"/>
      <c r="J40" s="124">
        <f>+J34+J22+J16+J10+J28</f>
        <v>0</v>
      </c>
      <c r="K40" s="126">
        <f>+K34+K22+K16+K10</f>
        <v>0</v>
      </c>
      <c r="L40" s="125">
        <f>SUM(C40:K40)</f>
        <v>11669</v>
      </c>
      <c r="O40" s="121"/>
    </row>
    <row r="41" spans="1:15" ht="16.5" customHeight="1">
      <c r="A41" s="182"/>
      <c r="B41" s="211" t="s">
        <v>26</v>
      </c>
      <c r="C41" s="124">
        <f>+C35+C23+C17+C11</f>
        <v>23008</v>
      </c>
      <c r="D41" s="124">
        <f t="shared" si="5"/>
        <v>26436</v>
      </c>
      <c r="E41" s="123">
        <f t="shared" si="5"/>
        <v>19741</v>
      </c>
      <c r="F41" s="124">
        <f t="shared" si="5"/>
        <v>10802</v>
      </c>
      <c r="G41" s="123">
        <f t="shared" si="5"/>
        <v>4195</v>
      </c>
      <c r="H41" s="124">
        <f>+H35+H23+H17+H11</f>
        <v>14100</v>
      </c>
      <c r="I41" s="124">
        <f>+I35+I23+I17+I11</f>
        <v>14100</v>
      </c>
      <c r="J41" s="124">
        <f>+J35+J23+J17+J11+J29</f>
        <v>11424</v>
      </c>
      <c r="K41" s="126">
        <f>+K35+K23+K17+K11</f>
        <v>41701</v>
      </c>
      <c r="L41" s="125">
        <f>SUM(C41:K41)</f>
        <v>165507</v>
      </c>
      <c r="O41" s="121"/>
    </row>
    <row r="42" spans="1:15" ht="16.5" customHeight="1">
      <c r="A42" s="182"/>
      <c r="B42" s="211" t="s">
        <v>27</v>
      </c>
      <c r="C42" s="124">
        <f>+C36+C24+C18+C12</f>
        <v>9358</v>
      </c>
      <c r="D42" s="124">
        <f t="shared" si="5"/>
        <v>10957</v>
      </c>
      <c r="E42" s="124">
        <f t="shared" si="5"/>
        <v>5731</v>
      </c>
      <c r="F42" s="124">
        <f t="shared" si="5"/>
        <v>3731</v>
      </c>
      <c r="G42" s="407">
        <f t="shared" si="5"/>
        <v>276</v>
      </c>
      <c r="H42" s="124">
        <f>+H36+H24+H18+H12</f>
        <v>3193</v>
      </c>
      <c r="I42" s="124">
        <f>+I36+I24+I18+I12</f>
        <v>3193</v>
      </c>
      <c r="J42" s="124">
        <f>+J36+J24+J18+J12+J30</f>
        <v>2415</v>
      </c>
      <c r="K42" s="126">
        <f>+K36+K24+K18+K12</f>
        <v>9873</v>
      </c>
      <c r="L42" s="125">
        <f>SUM(C42:K42)</f>
        <v>48727</v>
      </c>
      <c r="O42" s="121"/>
    </row>
    <row r="43" spans="1:15" ht="16.5" customHeight="1" thickBot="1">
      <c r="A43" s="632"/>
      <c r="B43" s="633" t="s">
        <v>675</v>
      </c>
      <c r="C43" s="634">
        <f t="shared" ref="C43:L43" si="7">SUM(C38:C42)</f>
        <v>58850</v>
      </c>
      <c r="D43" s="634">
        <f t="shared" si="7"/>
        <v>62909</v>
      </c>
      <c r="E43" s="634">
        <f t="shared" si="7"/>
        <v>36940</v>
      </c>
      <c r="F43" s="634">
        <f t="shared" si="7"/>
        <v>20354</v>
      </c>
      <c r="G43" s="634">
        <f t="shared" si="7"/>
        <v>5398</v>
      </c>
      <c r="H43" s="634">
        <f t="shared" si="7"/>
        <v>26345</v>
      </c>
      <c r="I43" s="634">
        <f>SUM(I38:I42)</f>
        <v>26345</v>
      </c>
      <c r="J43" s="634">
        <f t="shared" si="7"/>
        <v>23506</v>
      </c>
      <c r="K43" s="635">
        <f t="shared" si="7"/>
        <v>84553</v>
      </c>
      <c r="L43" s="634">
        <f t="shared" si="7"/>
        <v>345200</v>
      </c>
    </row>
    <row r="44" spans="1:15" ht="16.5" customHeight="1">
      <c r="A44" s="182"/>
      <c r="B44" s="391" t="s">
        <v>1072</v>
      </c>
      <c r="C44" s="124">
        <f>+[42]A08!$B60</f>
        <v>398</v>
      </c>
      <c r="D44" s="124">
        <f>+[40]A08!$B60</f>
        <v>313</v>
      </c>
      <c r="E44" s="124">
        <f>+[53]A08!$B60</f>
        <v>16</v>
      </c>
      <c r="F44" s="124">
        <f>+[49]A08!$B60</f>
        <v>2</v>
      </c>
      <c r="G44" s="124">
        <f>+[51]A08!$B60</f>
        <v>1</v>
      </c>
      <c r="H44" s="407"/>
      <c r="I44" s="407"/>
      <c r="J44" s="124"/>
      <c r="K44" s="126"/>
      <c r="L44" s="125">
        <f t="shared" ref="L44:L49" si="8">SUM(C44:K44)</f>
        <v>730</v>
      </c>
    </row>
    <row r="45" spans="1:15">
      <c r="A45" s="182"/>
      <c r="B45" s="391" t="s">
        <v>1073</v>
      </c>
      <c r="C45" s="124">
        <f>+[42]A08!$B61</f>
        <v>3572</v>
      </c>
      <c r="D45" s="124">
        <f>+[40]A08!$B61</f>
        <v>2811</v>
      </c>
      <c r="E45" s="124">
        <f>+[53]A08!$B61</f>
        <v>228</v>
      </c>
      <c r="F45" s="124">
        <f>+[49]A08!$B61</f>
        <v>78</v>
      </c>
      <c r="G45" s="124">
        <f>+[51]A08!$B61</f>
        <v>15</v>
      </c>
      <c r="H45" s="124"/>
      <c r="I45" s="124"/>
      <c r="J45" s="124"/>
      <c r="K45" s="126"/>
      <c r="L45" s="125">
        <f t="shared" si="8"/>
        <v>6704</v>
      </c>
    </row>
    <row r="46" spans="1:15">
      <c r="A46" s="182" t="s">
        <v>1071</v>
      </c>
      <c r="B46" s="391" t="s">
        <v>1074</v>
      </c>
      <c r="C46" s="124">
        <f>+[42]A08!$B62</f>
        <v>30124</v>
      </c>
      <c r="D46" s="124">
        <f>+[40]A08!$B62</f>
        <v>29773</v>
      </c>
      <c r="E46" s="124">
        <f>+[53]A08!$B62</f>
        <v>12749</v>
      </c>
      <c r="F46" s="124">
        <f>+[49]A08!$B62</f>
        <v>6391</v>
      </c>
      <c r="G46" s="124">
        <f>+[51]A08!$B62</f>
        <v>1328</v>
      </c>
      <c r="H46" s="124"/>
      <c r="I46" s="124"/>
      <c r="J46" s="124"/>
      <c r="K46" s="126"/>
      <c r="L46" s="125">
        <f t="shared" si="8"/>
        <v>80365</v>
      </c>
      <c r="M46" s="410"/>
    </row>
    <row r="47" spans="1:15">
      <c r="A47" s="182"/>
      <c r="B47" s="391" t="s">
        <v>1075</v>
      </c>
      <c r="C47" s="124">
        <f>+[42]A08!$B63</f>
        <v>18602</v>
      </c>
      <c r="D47" s="124">
        <f>+[40]A08!$B63</f>
        <v>21705</v>
      </c>
      <c r="E47" s="124">
        <f>+[53]A08!$B63</f>
        <v>22247</v>
      </c>
      <c r="F47" s="124">
        <f>+[49]A08!$B63</f>
        <v>13413</v>
      </c>
      <c r="G47" s="124">
        <f>+[51]A08!$B63</f>
        <v>4018</v>
      </c>
      <c r="H47" s="124"/>
      <c r="I47" s="124"/>
      <c r="J47" s="124"/>
      <c r="K47" s="126"/>
      <c r="L47" s="125">
        <f t="shared" si="8"/>
        <v>79985</v>
      </c>
    </row>
    <row r="48" spans="1:15">
      <c r="A48" s="182"/>
      <c r="B48" s="391" t="s">
        <v>1076</v>
      </c>
      <c r="C48" s="124">
        <f>+[42]A08!$B64</f>
        <v>175</v>
      </c>
      <c r="D48" s="124">
        <f>+[40]A08!$B64</f>
        <v>2611</v>
      </c>
      <c r="E48" s="124">
        <f>+[53]A08!$B64</f>
        <v>1641</v>
      </c>
      <c r="F48" s="124">
        <f>+[49]A08!$B64</f>
        <v>458</v>
      </c>
      <c r="G48" s="124">
        <f>+[51]A08!$B64</f>
        <v>36</v>
      </c>
      <c r="H48" s="124"/>
      <c r="I48" s="124"/>
      <c r="J48" s="124"/>
      <c r="K48" s="126"/>
      <c r="L48" s="125">
        <f t="shared" si="8"/>
        <v>4921</v>
      </c>
    </row>
    <row r="49" spans="1:12">
      <c r="A49" s="182"/>
      <c r="B49" s="391" t="s">
        <v>1077</v>
      </c>
      <c r="C49" s="124">
        <f>+[42]A08!$B65</f>
        <v>6</v>
      </c>
      <c r="D49" s="124">
        <f>+[40]A08!$B65</f>
        <v>0</v>
      </c>
      <c r="E49" s="124">
        <f>+[53]A08!$B65</f>
        <v>59</v>
      </c>
      <c r="F49" s="124">
        <f>+[49]A08!$B65</f>
        <v>12</v>
      </c>
      <c r="G49" s="124">
        <f>+[51]A08!$B65</f>
        <v>0</v>
      </c>
      <c r="H49" s="124"/>
      <c r="I49" s="124"/>
      <c r="J49" s="124"/>
      <c r="K49" s="126"/>
      <c r="L49" s="125">
        <f t="shared" si="8"/>
        <v>77</v>
      </c>
    </row>
    <row r="50" spans="1:12" ht="18.75" customHeight="1">
      <c r="A50" s="398"/>
      <c r="B50" s="156" t="s">
        <v>675</v>
      </c>
      <c r="C50" s="408">
        <f>SUM(C44:C49)</f>
        <v>52877</v>
      </c>
      <c r="D50" s="128">
        <f>SUM(D44:D49)</f>
        <v>57213</v>
      </c>
      <c r="E50" s="868">
        <f>SUM(E44:E49)</f>
        <v>36940</v>
      </c>
      <c r="F50" s="128">
        <f>SUM(F44:F49)</f>
        <v>20354</v>
      </c>
      <c r="G50" s="868">
        <f>SUM(G44:G49)</f>
        <v>5398</v>
      </c>
      <c r="H50" s="128">
        <f>SUM(H44:H48)</f>
        <v>0</v>
      </c>
      <c r="I50" s="128"/>
      <c r="J50" s="128">
        <f>SUM(J44:J48)</f>
        <v>0</v>
      </c>
      <c r="K50" s="127">
        <f>SUM(K44:K48)</f>
        <v>0</v>
      </c>
      <c r="L50" s="128">
        <f>SUM(L44:L49)</f>
        <v>172782</v>
      </c>
    </row>
    <row r="51" spans="1:12">
      <c r="A51" s="6" t="s">
        <v>1095</v>
      </c>
      <c r="B51" s="6"/>
      <c r="C51" s="6"/>
      <c r="D51" s="6"/>
      <c r="E51" s="6"/>
      <c r="F51" s="6"/>
      <c r="G51" s="6"/>
      <c r="H51" s="6"/>
      <c r="I51" s="6"/>
      <c r="J51" s="6"/>
      <c r="K51" s="6"/>
      <c r="L51" s="6"/>
    </row>
    <row r="52" spans="1:12">
      <c r="A52" s="6"/>
      <c r="B52" s="6"/>
      <c r="C52" s="6"/>
      <c r="D52" s="6"/>
      <c r="E52" s="6"/>
      <c r="F52" s="6"/>
      <c r="G52" s="6"/>
      <c r="H52" s="6"/>
      <c r="I52" s="6"/>
      <c r="J52" s="6"/>
      <c r="K52" s="6"/>
      <c r="L52" s="6"/>
    </row>
    <row r="53" spans="1:12">
      <c r="A53" s="6"/>
      <c r="B53" s="6"/>
      <c r="C53" s="6"/>
      <c r="D53" s="6"/>
      <c r="E53" s="6"/>
      <c r="F53" s="6"/>
      <c r="G53" s="6"/>
      <c r="H53" s="6"/>
      <c r="I53" s="6"/>
      <c r="J53" s="6"/>
      <c r="K53" s="6"/>
      <c r="L53" s="6"/>
    </row>
    <row r="54" spans="1:12">
      <c r="A54" s="6"/>
      <c r="B54" s="6"/>
      <c r="C54" s="6"/>
      <c r="D54" s="6"/>
      <c r="E54" s="6"/>
      <c r="F54" s="6"/>
      <c r="G54" s="6"/>
      <c r="H54" s="6"/>
      <c r="I54" s="6"/>
      <c r="J54" s="6"/>
      <c r="K54" s="6"/>
      <c r="L54" s="6"/>
    </row>
    <row r="55" spans="1:12">
      <c r="A55" s="6"/>
      <c r="B55" s="6"/>
      <c r="C55" s="6"/>
      <c r="D55" s="6"/>
      <c r="E55" s="6"/>
      <c r="F55" s="6"/>
      <c r="G55" s="6"/>
      <c r="H55" s="6"/>
      <c r="I55" s="6"/>
      <c r="J55" s="6"/>
      <c r="K55" s="6"/>
      <c r="L55" s="6"/>
    </row>
    <row r="56" spans="1:12">
      <c r="A56" s="6"/>
      <c r="B56" s="6"/>
      <c r="C56" s="6"/>
      <c r="D56" s="6"/>
      <c r="E56" s="6"/>
      <c r="F56" s="6"/>
      <c r="G56" s="6"/>
      <c r="H56" s="6"/>
      <c r="I56" s="6"/>
      <c r="J56" s="6"/>
      <c r="K56" s="6"/>
      <c r="L56" s="6"/>
    </row>
    <row r="57" spans="1:12">
      <c r="A57" s="6"/>
      <c r="B57" s="6"/>
      <c r="C57" s="6"/>
      <c r="D57" s="6"/>
      <c r="E57" s="6"/>
      <c r="F57" s="6"/>
      <c r="G57" s="6"/>
      <c r="H57" s="6"/>
      <c r="I57" s="6"/>
      <c r="J57" s="6"/>
      <c r="K57" s="6"/>
      <c r="L57" s="6"/>
    </row>
    <row r="58" spans="1:12">
      <c r="A58" s="6"/>
      <c r="B58" s="6"/>
      <c r="C58" s="6"/>
      <c r="D58" s="6"/>
      <c r="E58" s="6"/>
      <c r="F58" s="6"/>
      <c r="G58" s="6"/>
      <c r="H58" s="6"/>
      <c r="I58" s="6"/>
      <c r="J58" s="6"/>
      <c r="K58" s="6"/>
      <c r="L58" s="6"/>
    </row>
    <row r="59" spans="1:12">
      <c r="A59" s="6"/>
      <c r="B59" s="6"/>
      <c r="C59" s="6"/>
      <c r="D59" s="6"/>
      <c r="E59" s="6"/>
      <c r="F59" s="6"/>
      <c r="G59" s="6"/>
      <c r="H59" s="6"/>
      <c r="I59" s="6"/>
      <c r="J59" s="6"/>
      <c r="K59" s="6"/>
      <c r="L59" s="6"/>
    </row>
    <row r="60" spans="1:12">
      <c r="A60" s="6"/>
      <c r="B60" s="6"/>
      <c r="C60" s="6"/>
      <c r="D60" s="6"/>
      <c r="E60" s="6"/>
      <c r="F60" s="6"/>
      <c r="G60" s="6"/>
      <c r="H60" s="6"/>
      <c r="I60" s="6"/>
      <c r="J60" s="6"/>
      <c r="K60" s="6"/>
      <c r="L60" s="6"/>
    </row>
    <row r="61" spans="1:12">
      <c r="A61" s="6"/>
      <c r="B61" s="6"/>
      <c r="C61" s="6"/>
      <c r="D61" s="6"/>
      <c r="E61" s="6"/>
      <c r="F61" s="6"/>
      <c r="G61" s="6"/>
      <c r="H61" s="6"/>
      <c r="I61" s="6"/>
      <c r="J61" s="6"/>
      <c r="K61" s="6"/>
      <c r="L61" s="6"/>
    </row>
    <row r="62" spans="1:12">
      <c r="A62" s="6"/>
      <c r="B62" s="6"/>
      <c r="C62" s="6"/>
      <c r="D62" s="6"/>
      <c r="E62" s="6"/>
      <c r="F62" s="6"/>
      <c r="G62" s="6"/>
      <c r="H62" s="6"/>
      <c r="I62" s="6"/>
      <c r="J62" s="6"/>
      <c r="K62" s="6"/>
      <c r="L62" s="6"/>
    </row>
    <row r="63" spans="1:12">
      <c r="A63" s="6"/>
      <c r="B63" s="6"/>
      <c r="C63" s="6"/>
      <c r="D63" s="6"/>
      <c r="E63" s="6"/>
      <c r="F63" s="6"/>
      <c r="G63" s="6"/>
      <c r="H63" s="6"/>
      <c r="I63" s="6"/>
      <c r="J63" s="6"/>
      <c r="K63" s="6"/>
      <c r="L63" s="6"/>
    </row>
    <row r="64" spans="1:12">
      <c r="A64" s="6"/>
      <c r="B64" s="6"/>
      <c r="C64" s="6"/>
      <c r="D64" s="6"/>
      <c r="E64" s="6"/>
      <c r="F64" s="6"/>
      <c r="G64" s="6"/>
      <c r="H64" s="6"/>
      <c r="I64" s="6"/>
      <c r="J64" s="6"/>
      <c r="K64" s="6"/>
      <c r="L64" s="6"/>
    </row>
    <row r="65" spans="1:12">
      <c r="A65" s="6"/>
      <c r="B65" s="6"/>
      <c r="C65" s="6"/>
      <c r="D65" s="6"/>
      <c r="E65" s="6"/>
      <c r="F65" s="6"/>
      <c r="G65" s="6"/>
      <c r="H65" s="6"/>
      <c r="I65" s="6"/>
      <c r="J65" s="6"/>
      <c r="K65" s="6"/>
      <c r="L65" s="6"/>
    </row>
    <row r="66" spans="1:12">
      <c r="A66" s="6"/>
      <c r="B66" s="6"/>
      <c r="C66" s="6" t="s">
        <v>1273</v>
      </c>
      <c r="D66" s="6"/>
      <c r="E66" s="6"/>
      <c r="F66" s="6"/>
      <c r="G66" s="6"/>
      <c r="H66" s="6"/>
      <c r="I66" s="6"/>
      <c r="J66" s="6"/>
      <c r="K66" s="6"/>
      <c r="L66" s="6"/>
    </row>
    <row r="69" spans="1:12">
      <c r="H69">
        <v>2014</v>
      </c>
      <c r="J69">
        <v>2015</v>
      </c>
      <c r="K69">
        <v>2016</v>
      </c>
    </row>
    <row r="70" spans="1:12">
      <c r="B70" s="391" t="s">
        <v>1072</v>
      </c>
      <c r="K70">
        <v>263</v>
      </c>
    </row>
    <row r="71" spans="1:12">
      <c r="B71" s="391" t="s">
        <v>1073</v>
      </c>
      <c r="K71">
        <v>1601</v>
      </c>
    </row>
    <row r="72" spans="1:12">
      <c r="B72" s="391" t="s">
        <v>1074</v>
      </c>
      <c r="K72">
        <v>57253</v>
      </c>
    </row>
    <row r="73" spans="1:12">
      <c r="B73" s="391" t="s">
        <v>1075</v>
      </c>
      <c r="K73">
        <v>78759</v>
      </c>
    </row>
    <row r="74" spans="1:12">
      <c r="B74" s="391" t="s">
        <v>1076</v>
      </c>
      <c r="K74">
        <v>3065</v>
      </c>
    </row>
    <row r="75" spans="1:12">
      <c r="B75" s="391" t="s">
        <v>1077</v>
      </c>
      <c r="K75">
        <v>2</v>
      </c>
    </row>
    <row r="76" spans="1:12">
      <c r="B76" s="156" t="s">
        <v>675</v>
      </c>
      <c r="K76">
        <v>140943</v>
      </c>
    </row>
    <row r="79" spans="1:12">
      <c r="B79" s="189" t="s">
        <v>1274</v>
      </c>
      <c r="K79" s="170">
        <f>+SUM(K73:K75)/K76*100</f>
        <v>58.05609359812123</v>
      </c>
    </row>
    <row r="87" spans="2:11">
      <c r="B87" s="176" t="s">
        <v>468</v>
      </c>
      <c r="K87" s="775">
        <f t="shared" ref="K87:K92" si="9">+L44/L$50</f>
        <v>4.2249771388223308E-3</v>
      </c>
    </row>
    <row r="88" spans="2:11">
      <c r="K88" s="775">
        <f t="shared" si="9"/>
        <v>3.8800337998171106E-2</v>
      </c>
    </row>
    <row r="89" spans="2:11">
      <c r="K89" s="775">
        <f t="shared" si="9"/>
        <v>0.46512368186500908</v>
      </c>
    </row>
    <row r="90" spans="2:11">
      <c r="K90" s="775">
        <f t="shared" si="9"/>
        <v>0.46292437869685499</v>
      </c>
    </row>
    <row r="91" spans="2:11">
      <c r="K91" s="775">
        <f t="shared" si="9"/>
        <v>2.8480976027595466E-2</v>
      </c>
    </row>
    <row r="92" spans="2:11">
      <c r="K92" s="775">
        <f t="shared" si="9"/>
        <v>4.4564827354701299E-4</v>
      </c>
    </row>
  </sheetData>
  <phoneticPr fontId="18" type="noConversion"/>
  <pageMargins left="0.78740157480314965" right="0.19685039370078741" top="0.78740157480314965" bottom="0.98425196850393704" header="0.51181102362204722" footer="0.51181102362204722"/>
  <pageSetup paperSize="5" scale="75" orientation="portrait" horizontalDpi="300" verticalDpi="300" r:id="rId1"/>
  <headerFooter alignWithMargins="0">
    <oddHeader xml:space="preserve">&amp;R
</oddHeader>
  </headerFooter>
  <ignoredErrors>
    <ignoredError sqref="L13 L19:L37 J41:L43" formula="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42"/>
  <sheetViews>
    <sheetView zoomScale="75" workbookViewId="0">
      <selection activeCell="U32" sqref="U32"/>
    </sheetView>
  </sheetViews>
  <sheetFormatPr baseColWidth="10" defaultRowHeight="12.75"/>
  <cols>
    <col min="1" max="1" width="16" customWidth="1"/>
    <col min="2" max="12" width="9" customWidth="1"/>
  </cols>
  <sheetData>
    <row r="1" spans="1:13" ht="15.75" customHeight="1">
      <c r="A1" s="1383" t="s">
        <v>31</v>
      </c>
      <c r="B1" s="950"/>
      <c r="C1" s="950"/>
      <c r="D1" s="950"/>
      <c r="E1" s="950"/>
      <c r="F1" s="950"/>
      <c r="G1" s="950"/>
      <c r="H1" s="950"/>
      <c r="I1" s="1"/>
      <c r="J1" s="1"/>
      <c r="K1" s="1"/>
      <c r="L1" s="1"/>
    </row>
    <row r="2" spans="1:13" ht="15.75" customHeight="1">
      <c r="A2" s="949" t="s">
        <v>32</v>
      </c>
      <c r="B2" s="950"/>
      <c r="C2" s="950"/>
      <c r="D2" s="950"/>
      <c r="E2" s="950"/>
      <c r="F2" s="950"/>
      <c r="G2" s="950"/>
      <c r="H2" s="950"/>
      <c r="I2" s="1"/>
      <c r="J2" s="1"/>
      <c r="K2" s="1"/>
      <c r="L2" s="1"/>
    </row>
    <row r="3" spans="1:13" ht="15.75" customHeight="1">
      <c r="A3" s="1383" t="s">
        <v>1564</v>
      </c>
      <c r="B3" s="950"/>
      <c r="C3" s="950"/>
      <c r="D3" s="950"/>
      <c r="E3" s="950"/>
      <c r="F3" s="950"/>
      <c r="G3" s="950"/>
      <c r="H3" s="950"/>
      <c r="I3" s="1"/>
      <c r="J3" s="1"/>
      <c r="K3" s="1"/>
      <c r="L3" s="1"/>
    </row>
    <row r="4" spans="1:13" ht="15.75" customHeight="1">
      <c r="A4" s="4"/>
      <c r="B4" s="86"/>
      <c r="C4" s="86"/>
      <c r="D4" s="86"/>
      <c r="E4" s="86"/>
      <c r="F4" s="1"/>
      <c r="G4" s="1"/>
      <c r="H4" s="1"/>
      <c r="I4" s="1"/>
      <c r="J4" s="1"/>
      <c r="K4" s="1"/>
      <c r="L4" s="1"/>
    </row>
    <row r="5" spans="1:13" ht="9.75" customHeight="1"/>
    <row r="6" spans="1:13" ht="22.5" customHeight="1">
      <c r="A6" s="1090"/>
      <c r="B6" s="1075" t="s">
        <v>33</v>
      </c>
      <c r="C6" s="1075"/>
      <c r="D6" s="1075"/>
      <c r="E6" s="1075"/>
      <c r="F6" s="1059" t="s">
        <v>1002</v>
      </c>
      <c r="G6" s="1075"/>
      <c r="H6" s="1075"/>
      <c r="I6" s="1075"/>
      <c r="J6" s="1059" t="s">
        <v>34</v>
      </c>
      <c r="K6" s="1060"/>
      <c r="L6" s="1060"/>
      <c r="M6" s="1060"/>
    </row>
    <row r="7" spans="1:13" ht="22.5" customHeight="1">
      <c r="A7" s="1092" t="s">
        <v>16</v>
      </c>
      <c r="B7" s="1235">
        <v>2020</v>
      </c>
      <c r="C7" s="1235">
        <v>2021</v>
      </c>
      <c r="D7" s="1235">
        <v>2022</v>
      </c>
      <c r="E7" s="1235">
        <v>2023</v>
      </c>
      <c r="F7" s="1235">
        <f>+B7</f>
        <v>2020</v>
      </c>
      <c r="G7" s="1235">
        <f>+C7</f>
        <v>2021</v>
      </c>
      <c r="H7" s="1001">
        <f>+D7</f>
        <v>2022</v>
      </c>
      <c r="I7" s="1235">
        <v>2023</v>
      </c>
      <c r="J7" s="1235">
        <f t="shared" ref="J7:L7" si="0">+F7</f>
        <v>2020</v>
      </c>
      <c r="K7" s="1235">
        <f t="shared" si="0"/>
        <v>2021</v>
      </c>
      <c r="L7" s="1235">
        <f t="shared" si="0"/>
        <v>2022</v>
      </c>
      <c r="M7" s="1235">
        <v>2023</v>
      </c>
    </row>
    <row r="8" spans="1:13" ht="22.5" customHeight="1">
      <c r="A8" s="241" t="s">
        <v>23</v>
      </c>
      <c r="B8" s="411">
        <v>23620</v>
      </c>
      <c r="C8" s="411">
        <v>28085</v>
      </c>
      <c r="D8" s="411">
        <v>64035</v>
      </c>
      <c r="E8" s="123">
        <f>+'67'!L8</f>
        <v>68948</v>
      </c>
      <c r="F8" s="405">
        <v>38378</v>
      </c>
      <c r="G8" s="404">
        <v>38054</v>
      </c>
      <c r="H8">
        <v>37637</v>
      </c>
      <c r="I8" s="404">
        <f>SUM('8'!D87:G87)</f>
        <v>37941.32514489178</v>
      </c>
      <c r="J8" s="412">
        <f t="shared" ref="J8:M9" si="1">+B8/F8</f>
        <v>0.61545677210902083</v>
      </c>
      <c r="K8" s="412">
        <f t="shared" si="1"/>
        <v>0.7380301676564881</v>
      </c>
      <c r="L8" s="412">
        <f t="shared" si="1"/>
        <v>1.7013842761112734</v>
      </c>
      <c r="M8" s="412">
        <f t="shared" si="1"/>
        <v>1.8172269876367984</v>
      </c>
    </row>
    <row r="9" spans="1:13" ht="22.5" customHeight="1">
      <c r="A9" s="67" t="s">
        <v>24</v>
      </c>
      <c r="B9" s="413">
        <v>17241</v>
      </c>
      <c r="C9" s="413">
        <v>20983</v>
      </c>
      <c r="D9" s="413">
        <v>45704</v>
      </c>
      <c r="E9" s="123">
        <f>+'67'!L9</f>
        <v>50257</v>
      </c>
      <c r="F9" s="407">
        <v>37486</v>
      </c>
      <c r="G9" s="124">
        <v>37553</v>
      </c>
      <c r="H9">
        <v>37689</v>
      </c>
      <c r="I9" s="124">
        <f>SUM('8'!H87:I87)</f>
        <v>37987.736328218001</v>
      </c>
      <c r="J9" s="414">
        <f t="shared" si="1"/>
        <v>0.45993170783759268</v>
      </c>
      <c r="K9" s="414">
        <f t="shared" si="1"/>
        <v>0.55875695683434079</v>
      </c>
      <c r="L9" s="414">
        <f t="shared" si="1"/>
        <v>1.2126615192761814</v>
      </c>
      <c r="M9" s="414">
        <f t="shared" si="1"/>
        <v>1.3229795944084239</v>
      </c>
    </row>
    <row r="10" spans="1:13" ht="22.5" customHeight="1">
      <c r="A10" s="67" t="s">
        <v>25</v>
      </c>
      <c r="B10" s="413">
        <v>10406</v>
      </c>
      <c r="C10" s="413">
        <v>10969</v>
      </c>
      <c r="D10" s="413">
        <v>12637</v>
      </c>
      <c r="E10" s="123">
        <f>+'67'!L10</f>
        <v>11669</v>
      </c>
      <c r="F10" s="407"/>
      <c r="G10" s="124"/>
      <c r="I10" s="124"/>
      <c r="J10" s="414"/>
      <c r="K10" s="415"/>
      <c r="L10" s="415"/>
      <c r="M10" s="415"/>
    </row>
    <row r="11" spans="1:13" ht="22.5" customHeight="1">
      <c r="A11" s="67" t="s">
        <v>26</v>
      </c>
      <c r="B11" s="413">
        <v>105915</v>
      </c>
      <c r="C11" s="413">
        <v>121766</v>
      </c>
      <c r="D11" s="413">
        <v>158128</v>
      </c>
      <c r="E11" s="123">
        <f>+'67'!L11</f>
        <v>165315</v>
      </c>
      <c r="F11" s="407">
        <v>170444</v>
      </c>
      <c r="G11" s="124">
        <v>171955</v>
      </c>
      <c r="H11">
        <v>172990</v>
      </c>
      <c r="I11" s="124">
        <f>SUM('8'!J87:K87)</f>
        <v>174359.15057154759</v>
      </c>
      <c r="J11" s="414">
        <f t="shared" ref="J11:M13" si="2">+B11/F11</f>
        <v>0.62140644434535686</v>
      </c>
      <c r="K11" s="414">
        <f t="shared" si="2"/>
        <v>0.7081271262830392</v>
      </c>
      <c r="L11" s="414">
        <f t="shared" si="2"/>
        <v>0.91408751950979827</v>
      </c>
      <c r="M11" s="414">
        <f t="shared" si="2"/>
        <v>0.9481291888501352</v>
      </c>
    </row>
    <row r="12" spans="1:13" ht="22.5" customHeight="1">
      <c r="A12" s="67" t="s">
        <v>27</v>
      </c>
      <c r="B12" s="413">
        <v>29283</v>
      </c>
      <c r="C12" s="413">
        <v>32596</v>
      </c>
      <c r="D12" s="413">
        <v>42136</v>
      </c>
      <c r="E12" s="123">
        <f>+'67'!L12</f>
        <v>48705</v>
      </c>
      <c r="F12" s="407">
        <v>37058</v>
      </c>
      <c r="G12" s="124">
        <v>38632</v>
      </c>
      <c r="H12">
        <v>40263</v>
      </c>
      <c r="I12" s="124">
        <f>+'8'!L87</f>
        <v>40574.787955342625</v>
      </c>
      <c r="J12" s="414">
        <f t="shared" si="2"/>
        <v>0.7901937503373091</v>
      </c>
      <c r="K12" s="414">
        <f t="shared" si="2"/>
        <v>0.84375647131911369</v>
      </c>
      <c r="L12" s="414">
        <f t="shared" si="2"/>
        <v>1.0465191366763529</v>
      </c>
      <c r="M12" s="414">
        <f t="shared" si="2"/>
        <v>1.2003759589232021</v>
      </c>
    </row>
    <row r="13" spans="1:13" ht="22.5" customHeight="1">
      <c r="A13" s="14" t="s">
        <v>675</v>
      </c>
      <c r="B13" s="416">
        <f>SUM(B8:B12)</f>
        <v>186465</v>
      </c>
      <c r="C13" s="416">
        <f>SUM(C8:C12)</f>
        <v>214399</v>
      </c>
      <c r="D13" s="416">
        <f>SUM(D8:D12)</f>
        <v>322640</v>
      </c>
      <c r="E13" s="417">
        <f>SUM(E8:E12)</f>
        <v>344894</v>
      </c>
      <c r="F13" s="128">
        <f>SUM(F8:F12)-F10</f>
        <v>283366</v>
      </c>
      <c r="G13" s="416">
        <f>SUM(G8:G12)-G10</f>
        <v>286194</v>
      </c>
      <c r="H13" s="127">
        <f>SUM(H8:H12)-H10</f>
        <v>288579</v>
      </c>
      <c r="I13" s="128">
        <f>SUM(I8:I12)-I10</f>
        <v>290863</v>
      </c>
      <c r="J13" s="418">
        <f t="shared" si="2"/>
        <v>0.65803589703775334</v>
      </c>
      <c r="K13" s="418">
        <f t="shared" si="2"/>
        <v>0.74913869612919903</v>
      </c>
      <c r="L13" s="418">
        <f t="shared" si="2"/>
        <v>1.1180300714882234</v>
      </c>
      <c r="M13" s="418">
        <f t="shared" si="2"/>
        <v>1.185760994007488</v>
      </c>
    </row>
    <row r="14" spans="1:13" ht="17.25" customHeight="1">
      <c r="A14" s="10"/>
      <c r="B14" s="68"/>
      <c r="C14" s="68"/>
      <c r="D14" s="68"/>
      <c r="E14" s="68"/>
      <c r="F14" s="68"/>
      <c r="G14" s="68"/>
      <c r="H14" s="68"/>
      <c r="I14" s="68"/>
      <c r="J14" s="419"/>
      <c r="K14" s="419"/>
      <c r="L14" s="419"/>
    </row>
    <row r="15" spans="1:13" ht="18" customHeight="1">
      <c r="A15" s="10"/>
      <c r="B15" s="68"/>
      <c r="C15" s="68"/>
      <c r="D15" s="68"/>
      <c r="E15" s="68"/>
      <c r="F15" s="68"/>
      <c r="G15" s="68"/>
      <c r="H15" s="68"/>
      <c r="I15" s="68"/>
      <c r="J15" s="419"/>
      <c r="K15" s="419"/>
      <c r="L15" s="419"/>
    </row>
    <row r="16" spans="1:13" ht="16.5" customHeight="1"/>
    <row r="17" spans="1:5">
      <c r="A17" s="6"/>
      <c r="B17" s="6"/>
      <c r="C17" s="6"/>
      <c r="D17" s="6"/>
      <c r="E17" s="6"/>
    </row>
    <row r="18" spans="1:5">
      <c r="A18" s="6"/>
      <c r="B18" s="6"/>
      <c r="C18" s="6"/>
      <c r="D18" s="6"/>
      <c r="E18" s="6"/>
    </row>
    <row r="19" spans="1:5">
      <c r="A19" s="6"/>
      <c r="B19" s="6"/>
      <c r="C19" s="6"/>
      <c r="D19" s="6"/>
      <c r="E19" s="6"/>
    </row>
    <row r="20" spans="1:5">
      <c r="A20" s="6"/>
      <c r="B20" s="6"/>
      <c r="C20" s="6"/>
      <c r="D20" s="6"/>
      <c r="E20" s="6"/>
    </row>
    <row r="21" spans="1:5">
      <c r="A21" s="6"/>
      <c r="B21" s="6"/>
      <c r="C21" s="6"/>
      <c r="D21" s="6"/>
      <c r="E21" s="6"/>
    </row>
    <row r="22" spans="1:5">
      <c r="A22" s="6"/>
      <c r="B22" s="6"/>
      <c r="C22" s="6"/>
      <c r="D22" s="6"/>
      <c r="E22" s="6"/>
    </row>
    <row r="23" spans="1:5">
      <c r="A23" s="6"/>
      <c r="B23" s="6"/>
      <c r="C23" s="6"/>
      <c r="D23" s="6"/>
      <c r="E23" s="6"/>
    </row>
    <row r="24" spans="1:5">
      <c r="A24" s="6"/>
      <c r="B24" s="6"/>
      <c r="C24" s="6"/>
      <c r="D24" s="6"/>
      <c r="E24" s="6"/>
    </row>
    <row r="25" spans="1:5">
      <c r="A25" s="6"/>
      <c r="B25" s="6"/>
      <c r="C25" s="6"/>
      <c r="D25" s="6"/>
      <c r="E25" s="6"/>
    </row>
    <row r="26" spans="1:5">
      <c r="A26" s="6"/>
      <c r="B26" s="6"/>
      <c r="C26" s="6"/>
      <c r="D26" s="6"/>
      <c r="E26" s="6"/>
    </row>
    <row r="27" spans="1:5">
      <c r="A27" s="6"/>
      <c r="B27" s="6"/>
      <c r="C27" s="6"/>
      <c r="D27" s="6"/>
      <c r="E27" s="6"/>
    </row>
    <row r="28" spans="1:5">
      <c r="A28" s="6"/>
      <c r="B28" s="6"/>
      <c r="C28" s="6"/>
      <c r="D28" s="6"/>
      <c r="E28" s="6"/>
    </row>
    <row r="29" spans="1:5">
      <c r="A29" s="6"/>
      <c r="B29" s="6"/>
      <c r="C29" s="6"/>
      <c r="D29" s="6"/>
      <c r="E29" s="6"/>
    </row>
    <row r="30" spans="1:5">
      <c r="A30" s="6"/>
      <c r="B30" s="6"/>
      <c r="C30" s="6"/>
      <c r="D30" s="6"/>
      <c r="E30" s="6"/>
    </row>
    <row r="31" spans="1:5">
      <c r="A31" s="6"/>
      <c r="B31" s="6"/>
      <c r="C31" s="6"/>
      <c r="D31" s="6"/>
      <c r="E31" s="6"/>
    </row>
    <row r="32" spans="1:5">
      <c r="A32" s="6"/>
      <c r="B32" s="6"/>
      <c r="C32" s="6"/>
      <c r="D32" s="6"/>
      <c r="E32" s="6"/>
    </row>
    <row r="33" spans="1:5">
      <c r="A33" s="6"/>
      <c r="B33" s="6"/>
      <c r="C33" s="6"/>
      <c r="D33" s="6"/>
      <c r="E33" s="6"/>
    </row>
    <row r="34" spans="1:5">
      <c r="A34" s="6"/>
      <c r="B34" s="6"/>
      <c r="C34" s="6"/>
      <c r="D34" s="6"/>
      <c r="E34" s="6"/>
    </row>
    <row r="35" spans="1:5">
      <c r="A35" s="6"/>
      <c r="B35" s="6"/>
      <c r="C35" s="6"/>
      <c r="D35" s="6"/>
      <c r="E35" s="6"/>
    </row>
    <row r="36" spans="1:5">
      <c r="A36" s="6"/>
      <c r="B36" s="6"/>
      <c r="C36" s="6"/>
      <c r="D36" s="6"/>
      <c r="E36" s="6"/>
    </row>
    <row r="37" spans="1:5">
      <c r="A37" s="6"/>
      <c r="B37" s="6"/>
      <c r="C37" s="6"/>
      <c r="D37" s="6"/>
      <c r="E37" s="6"/>
    </row>
    <row r="38" spans="1:5">
      <c r="A38" s="6"/>
      <c r="B38" s="6"/>
      <c r="C38" s="6"/>
      <c r="D38" s="6"/>
      <c r="E38" s="6"/>
    </row>
    <row r="39" spans="1:5">
      <c r="A39" s="6"/>
      <c r="B39" s="6"/>
      <c r="C39" s="6"/>
      <c r="D39" s="6"/>
      <c r="E39" s="6"/>
    </row>
    <row r="40" spans="1:5">
      <c r="A40" s="6"/>
      <c r="B40" s="6"/>
      <c r="C40" s="6"/>
      <c r="D40" s="6"/>
      <c r="E40" s="6"/>
    </row>
    <row r="41" spans="1:5">
      <c r="A41" s="6"/>
      <c r="B41" s="6"/>
      <c r="C41" s="6"/>
      <c r="D41" s="6"/>
      <c r="E41" s="6"/>
    </row>
    <row r="42" spans="1:5">
      <c r="A42" s="6"/>
      <c r="B42" s="6"/>
      <c r="C42" s="6"/>
      <c r="D42" s="6"/>
      <c r="E42" s="6"/>
    </row>
  </sheetData>
  <phoneticPr fontId="18" type="noConversion"/>
  <pageMargins left="1.9685039370078741" right="0.19685039370078741" top="0.59055118110236227" bottom="0.59055118110236227" header="0.51181102362204722" footer="0.51181102362204722"/>
  <pageSetup paperSize="5" scale="85" orientation="landscape" horizontalDpi="300" verticalDpi="30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L43"/>
  <sheetViews>
    <sheetView workbookViewId="0">
      <selection activeCell="L14" sqref="L14"/>
    </sheetView>
  </sheetViews>
  <sheetFormatPr baseColWidth="10" defaultRowHeight="12.75"/>
  <cols>
    <col min="1" max="1" width="23" customWidth="1"/>
    <col min="2" max="5" width="8" style="176" customWidth="1"/>
    <col min="6" max="7" width="7.7109375" style="176" customWidth="1"/>
    <col min="8" max="8" width="7.7109375" customWidth="1"/>
    <col min="10" max="12" width="11.42578125" style="1511"/>
  </cols>
  <sheetData>
    <row r="1" spans="1:12">
      <c r="A1" s="1517" t="s">
        <v>35</v>
      </c>
      <c r="B1" s="1517"/>
      <c r="C1" s="1517"/>
      <c r="D1" s="1517"/>
      <c r="E1" s="1517"/>
      <c r="F1" s="1517"/>
      <c r="G1" s="1517"/>
      <c r="H1" s="1517"/>
    </row>
    <row r="2" spans="1:12">
      <c r="A2" s="949"/>
      <c r="B2" s="1385"/>
      <c r="C2" s="1385"/>
      <c r="D2" s="1385"/>
      <c r="E2" s="1385"/>
      <c r="F2" s="1385"/>
      <c r="G2" s="1385"/>
      <c r="H2" s="1069"/>
    </row>
    <row r="3" spans="1:12">
      <c r="A3" s="1517" t="s">
        <v>32</v>
      </c>
      <c r="B3" s="1517"/>
      <c r="C3" s="1517"/>
      <c r="D3" s="1517"/>
      <c r="E3" s="1517"/>
      <c r="F3" s="1517"/>
      <c r="G3" s="1517"/>
      <c r="H3" s="1517"/>
    </row>
    <row r="4" spans="1:12">
      <c r="A4" s="86"/>
      <c r="B4" s="420"/>
      <c r="C4" s="420"/>
      <c r="D4" s="420"/>
      <c r="E4" s="420"/>
      <c r="F4" s="420"/>
      <c r="G4" s="420"/>
    </row>
    <row r="5" spans="1:12">
      <c r="A5" s="86"/>
      <c r="B5" s="420"/>
      <c r="C5" s="420"/>
      <c r="D5" s="420"/>
      <c r="E5" s="420"/>
      <c r="F5" s="420"/>
      <c r="G5" s="420"/>
    </row>
    <row r="6" spans="1:12">
      <c r="A6" s="86"/>
      <c r="B6" s="420"/>
      <c r="C6" s="420"/>
      <c r="D6" s="420"/>
      <c r="E6" s="420"/>
      <c r="F6" s="420"/>
      <c r="G6" s="420"/>
    </row>
    <row r="7" spans="1:12" ht="21" customHeight="1">
      <c r="A7" s="1234" t="s">
        <v>770</v>
      </c>
      <c r="B7" s="1261">
        <v>2017</v>
      </c>
      <c r="C7" s="1261">
        <v>2018</v>
      </c>
      <c r="D7" s="1261">
        <v>2019</v>
      </c>
      <c r="E7" s="1261">
        <v>2020</v>
      </c>
      <c r="F7" s="1261">
        <v>2021</v>
      </c>
      <c r="G7" s="1261">
        <v>2022</v>
      </c>
      <c r="H7" s="1261">
        <v>2023</v>
      </c>
    </row>
    <row r="8" spans="1:12" ht="21" customHeight="1">
      <c r="A8" s="51" t="s">
        <v>36</v>
      </c>
      <c r="B8" s="55">
        <v>70255</v>
      </c>
      <c r="C8" s="55">
        <v>66809</v>
      </c>
      <c r="D8" s="55">
        <v>64708</v>
      </c>
      <c r="E8" s="55">
        <v>46078</v>
      </c>
      <c r="F8" s="55">
        <v>53900</v>
      </c>
      <c r="G8" s="55">
        <v>72890</v>
      </c>
      <c r="H8" s="55">
        <f>+'67'!C13</f>
        <v>58850</v>
      </c>
      <c r="J8" s="1511" t="s">
        <v>37</v>
      </c>
      <c r="L8" s="1512">
        <f>+H8/$H$16*100</f>
        <v>17.063213625055816</v>
      </c>
    </row>
    <row r="9" spans="1:12" ht="21" customHeight="1">
      <c r="A9" s="51" t="s">
        <v>38</v>
      </c>
      <c r="B9" s="55">
        <v>81437</v>
      </c>
      <c r="C9" s="55">
        <v>74629</v>
      </c>
      <c r="D9" s="55">
        <v>73920</v>
      </c>
      <c r="E9" s="55">
        <v>49680</v>
      </c>
      <c r="F9" s="55">
        <v>53935</v>
      </c>
      <c r="G9" s="55">
        <v>69128</v>
      </c>
      <c r="H9" s="55">
        <f>+'67'!D13</f>
        <v>62909</v>
      </c>
      <c r="J9" s="1511" t="s">
        <v>39</v>
      </c>
      <c r="L9" s="1512">
        <f>+H9/$H$16*100</f>
        <v>18.240096957326017</v>
      </c>
    </row>
    <row r="10" spans="1:12" ht="21" customHeight="1">
      <c r="A10" s="51" t="s">
        <v>40</v>
      </c>
      <c r="B10" s="55">
        <v>49677</v>
      </c>
      <c r="C10" s="55">
        <v>50155</v>
      </c>
      <c r="D10" s="55">
        <v>44541</v>
      </c>
      <c r="E10" s="55">
        <v>27280</v>
      </c>
      <c r="F10" s="55">
        <v>27806</v>
      </c>
      <c r="G10" s="55">
        <v>38170</v>
      </c>
      <c r="H10" s="55">
        <f>+'67'!E13</f>
        <v>36940</v>
      </c>
      <c r="J10" s="1511" t="s">
        <v>41</v>
      </c>
      <c r="L10" s="1512">
        <f t="shared" ref="L10:L15" si="0">+H10/$H$16*100</f>
        <v>10.710537150544805</v>
      </c>
    </row>
    <row r="11" spans="1:12" ht="21" customHeight="1">
      <c r="A11" s="51" t="s">
        <v>42</v>
      </c>
      <c r="B11" s="55">
        <v>4910</v>
      </c>
      <c r="C11" s="55">
        <v>5315</v>
      </c>
      <c r="D11" s="55">
        <v>5996</v>
      </c>
      <c r="E11" s="55">
        <v>4991</v>
      </c>
      <c r="F11" s="55">
        <v>5391</v>
      </c>
      <c r="G11" s="55">
        <v>5950</v>
      </c>
      <c r="H11" s="55">
        <f>+'67'!G13</f>
        <v>5398</v>
      </c>
      <c r="J11" s="1511" t="s">
        <v>43</v>
      </c>
      <c r="L11" s="1512">
        <f t="shared" si="0"/>
        <v>1.5651185581656974</v>
      </c>
    </row>
    <row r="12" spans="1:12" ht="21" customHeight="1">
      <c r="A12" s="51" t="s">
        <v>44</v>
      </c>
      <c r="B12" s="55">
        <v>21867</v>
      </c>
      <c r="C12" s="55">
        <v>21584</v>
      </c>
      <c r="D12" s="55">
        <v>21693</v>
      </c>
      <c r="E12" s="55">
        <v>15703</v>
      </c>
      <c r="F12" s="55">
        <v>17811</v>
      </c>
      <c r="G12" s="55">
        <v>22273</v>
      </c>
      <c r="H12" s="55">
        <f>+'67'!F13</f>
        <v>20354</v>
      </c>
      <c r="J12" s="1511" t="s">
        <v>392</v>
      </c>
      <c r="L12" s="1512">
        <f t="shared" si="0"/>
        <v>5.9015233665995934</v>
      </c>
    </row>
    <row r="13" spans="1:12" ht="21" customHeight="1">
      <c r="A13" s="51" t="s">
        <v>45</v>
      </c>
      <c r="B13" s="55">
        <v>28549</v>
      </c>
      <c r="C13" s="55">
        <v>29320</v>
      </c>
      <c r="D13" s="55">
        <v>28600</v>
      </c>
      <c r="E13" s="55">
        <v>15408</v>
      </c>
      <c r="F13" s="55">
        <v>17511</v>
      </c>
      <c r="G13" s="55">
        <v>25913</v>
      </c>
      <c r="H13" s="55">
        <f>+'67'!J13</f>
        <v>23506</v>
      </c>
      <c r="J13" s="1511" t="s">
        <v>46</v>
      </c>
      <c r="L13" s="1512">
        <f t="shared" si="0"/>
        <v>6.8154273486926416</v>
      </c>
    </row>
    <row r="14" spans="1:12" ht="21" customHeight="1">
      <c r="A14" s="51" t="s">
        <v>1474</v>
      </c>
      <c r="B14" s="55">
        <v>21949</v>
      </c>
      <c r="C14" s="55">
        <v>21707</v>
      </c>
      <c r="D14" s="55">
        <v>21590</v>
      </c>
      <c r="E14" s="55">
        <v>10963</v>
      </c>
      <c r="F14" s="55">
        <v>18590</v>
      </c>
      <c r="G14" s="55">
        <v>56182</v>
      </c>
      <c r="H14" s="55">
        <f>+'67'!H13+'67'!I13</f>
        <v>52690</v>
      </c>
      <c r="J14" s="1511" t="s">
        <v>47</v>
      </c>
      <c r="L14" s="1512">
        <f t="shared" si="0"/>
        <v>15.277157619442495</v>
      </c>
    </row>
    <row r="15" spans="1:12" ht="21" customHeight="1">
      <c r="A15" s="51" t="s">
        <v>48</v>
      </c>
      <c r="B15" s="55">
        <v>29844</v>
      </c>
      <c r="C15" s="55">
        <v>30919</v>
      </c>
      <c r="D15" s="55">
        <v>33067</v>
      </c>
      <c r="E15" s="55">
        <v>16362</v>
      </c>
      <c r="F15" s="55">
        <v>19455</v>
      </c>
      <c r="G15" s="55">
        <v>32134</v>
      </c>
      <c r="H15" s="55">
        <f>+'67'!K13</f>
        <v>84247</v>
      </c>
      <c r="J15" s="1511" t="s">
        <v>49</v>
      </c>
      <c r="L15" s="1512">
        <f t="shared" si="0"/>
        <v>24.426925374172935</v>
      </c>
    </row>
    <row r="16" spans="1:12" ht="21" customHeight="1">
      <c r="A16" s="1234" t="s">
        <v>474</v>
      </c>
      <c r="B16" s="1384">
        <f t="shared" ref="B16:H16" si="1">SUM(B8:B15)</f>
        <v>308488</v>
      </c>
      <c r="C16" s="1384">
        <f t="shared" si="1"/>
        <v>300438</v>
      </c>
      <c r="D16" s="1384">
        <f t="shared" si="1"/>
        <v>294115</v>
      </c>
      <c r="E16" s="1384">
        <f t="shared" si="1"/>
        <v>186465</v>
      </c>
      <c r="F16" s="1384">
        <f t="shared" si="1"/>
        <v>214399</v>
      </c>
      <c r="G16" s="1384">
        <f t="shared" si="1"/>
        <v>322640</v>
      </c>
      <c r="H16" s="1384">
        <f t="shared" si="1"/>
        <v>344894</v>
      </c>
    </row>
    <row r="17" spans="1:8">
      <c r="A17" s="6"/>
      <c r="B17" s="34"/>
      <c r="C17" s="34"/>
      <c r="D17" s="34"/>
      <c r="E17" s="34"/>
      <c r="F17" s="34"/>
      <c r="G17" s="34"/>
      <c r="H17">
        <f>+H16/G16*100-100</f>
        <v>6.8974708653607593</v>
      </c>
    </row>
    <row r="18" spans="1:8">
      <c r="A18" s="6"/>
      <c r="B18" s="34"/>
      <c r="C18" s="34"/>
      <c r="D18" s="34"/>
      <c r="E18" s="34"/>
      <c r="F18" s="34"/>
      <c r="G18" s="34"/>
    </row>
    <row r="19" spans="1:8">
      <c r="A19" s="6"/>
      <c r="B19" s="34"/>
      <c r="C19" s="34"/>
      <c r="D19" s="34"/>
      <c r="E19" s="34"/>
      <c r="F19" s="34"/>
      <c r="G19" s="34"/>
    </row>
    <row r="20" spans="1:8">
      <c r="A20" s="6"/>
      <c r="B20" s="34"/>
      <c r="C20" s="34"/>
      <c r="D20" s="34"/>
      <c r="E20" s="34"/>
      <c r="F20" s="34"/>
      <c r="G20" s="34"/>
    </row>
    <row r="21" spans="1:8">
      <c r="A21" s="6"/>
      <c r="B21" s="34"/>
      <c r="C21" s="34"/>
      <c r="D21" s="34"/>
      <c r="E21" s="34"/>
      <c r="F21" s="34"/>
      <c r="G21" s="34"/>
    </row>
    <row r="22" spans="1:8">
      <c r="A22" s="6"/>
      <c r="B22" s="34"/>
      <c r="C22" s="34"/>
      <c r="D22" s="34"/>
      <c r="E22" s="34"/>
      <c r="F22" s="34"/>
      <c r="G22" s="34"/>
    </row>
    <row r="23" spans="1:8">
      <c r="A23" s="6"/>
      <c r="B23" s="34"/>
      <c r="C23" s="34"/>
      <c r="D23" s="34"/>
      <c r="E23" s="34"/>
      <c r="F23" s="34"/>
      <c r="G23" s="34"/>
    </row>
    <row r="24" spans="1:8">
      <c r="A24" s="6"/>
      <c r="B24" s="34"/>
      <c r="C24" s="34"/>
      <c r="D24" s="34"/>
      <c r="E24" s="34"/>
      <c r="F24" s="34"/>
      <c r="G24" s="34"/>
    </row>
    <row r="25" spans="1:8">
      <c r="A25" s="6"/>
      <c r="B25" s="34"/>
      <c r="C25" s="34"/>
      <c r="D25" s="34"/>
      <c r="E25" s="34"/>
      <c r="F25" s="34"/>
      <c r="G25" s="34"/>
    </row>
    <row r="26" spans="1:8">
      <c r="A26" s="6"/>
      <c r="B26" s="34"/>
      <c r="C26" s="34"/>
      <c r="D26" s="34"/>
      <c r="E26" s="34"/>
      <c r="F26" s="34"/>
      <c r="G26" s="34"/>
    </row>
    <row r="27" spans="1:8">
      <c r="A27" s="6"/>
      <c r="B27" s="34"/>
      <c r="C27" s="34"/>
      <c r="D27" s="34"/>
      <c r="E27" s="34"/>
      <c r="F27" s="34"/>
      <c r="G27" s="34"/>
    </row>
    <row r="28" spans="1:8">
      <c r="A28" s="6"/>
      <c r="B28" s="34"/>
      <c r="C28" s="34"/>
      <c r="D28" s="34"/>
      <c r="E28" s="34"/>
      <c r="F28" s="34"/>
      <c r="G28" s="34"/>
    </row>
    <row r="29" spans="1:8">
      <c r="A29" s="6"/>
      <c r="B29" s="34"/>
      <c r="C29" s="34"/>
      <c r="D29" s="34"/>
      <c r="E29" s="34"/>
      <c r="F29" s="34"/>
      <c r="G29" s="34"/>
    </row>
    <row r="30" spans="1:8">
      <c r="A30" s="6"/>
      <c r="B30" s="34"/>
      <c r="C30" s="34"/>
      <c r="D30" s="34"/>
      <c r="E30" s="34"/>
      <c r="F30" s="34"/>
      <c r="G30" s="34"/>
    </row>
    <row r="31" spans="1:8">
      <c r="A31" s="6"/>
      <c r="B31" s="34"/>
      <c r="C31" s="34"/>
      <c r="D31" s="34"/>
      <c r="E31" s="34"/>
      <c r="F31" s="34"/>
      <c r="G31" s="34"/>
    </row>
    <row r="32" spans="1:8">
      <c r="A32" s="6"/>
      <c r="B32" s="34"/>
      <c r="C32" s="34"/>
      <c r="D32" s="34"/>
      <c r="E32" s="34"/>
      <c r="F32" s="34"/>
      <c r="G32" s="34"/>
    </row>
    <row r="33" spans="1:7">
      <c r="A33" s="6"/>
      <c r="B33" s="34"/>
      <c r="C33" s="34"/>
      <c r="D33" s="34"/>
      <c r="E33" s="34"/>
      <c r="F33" s="34"/>
      <c r="G33" s="34"/>
    </row>
    <row r="34" spans="1:7">
      <c r="A34" s="6"/>
      <c r="B34" s="34"/>
      <c r="C34" s="34"/>
      <c r="D34" s="34"/>
      <c r="E34" s="34"/>
      <c r="F34" s="34"/>
      <c r="G34" s="34"/>
    </row>
    <row r="35" spans="1:7">
      <c r="A35" s="6"/>
      <c r="B35" s="34"/>
      <c r="C35" s="34"/>
      <c r="D35" s="34"/>
      <c r="E35" s="34"/>
      <c r="F35" s="34"/>
      <c r="G35" s="34"/>
    </row>
    <row r="36" spans="1:7">
      <c r="A36" s="6"/>
      <c r="B36" s="34"/>
      <c r="C36" s="34"/>
      <c r="D36" s="34"/>
      <c r="E36" s="34"/>
      <c r="F36" s="34"/>
      <c r="G36" s="34"/>
    </row>
    <row r="37" spans="1:7">
      <c r="A37" s="6"/>
      <c r="B37" s="34"/>
      <c r="C37" s="34"/>
      <c r="D37" s="34"/>
      <c r="E37" s="34"/>
      <c r="F37" s="34"/>
      <c r="G37" s="34"/>
    </row>
    <row r="38" spans="1:7">
      <c r="A38" s="6"/>
      <c r="B38" s="34"/>
      <c r="C38" s="34"/>
      <c r="D38" s="34"/>
      <c r="E38" s="34"/>
      <c r="F38" s="34"/>
      <c r="G38" s="34"/>
    </row>
    <row r="39" spans="1:7">
      <c r="A39" s="6"/>
      <c r="B39" s="34"/>
      <c r="C39" s="34"/>
      <c r="D39" s="34"/>
      <c r="E39" s="34"/>
      <c r="F39" s="34"/>
      <c r="G39" s="34"/>
    </row>
    <row r="40" spans="1:7">
      <c r="A40" s="6"/>
      <c r="B40" s="34"/>
      <c r="C40" s="34"/>
      <c r="D40" s="34"/>
      <c r="E40" s="34"/>
      <c r="F40" s="34"/>
      <c r="G40" s="34"/>
    </row>
    <row r="41" spans="1:7">
      <c r="A41" s="6"/>
      <c r="B41" s="34"/>
      <c r="C41" s="34"/>
      <c r="D41" s="34"/>
      <c r="E41" s="34"/>
      <c r="F41" s="34"/>
      <c r="G41" s="34"/>
    </row>
    <row r="42" spans="1:7">
      <c r="A42" s="6"/>
      <c r="B42" s="34"/>
      <c r="C42" s="34"/>
      <c r="D42" s="34"/>
      <c r="E42" s="34"/>
      <c r="F42" s="34"/>
      <c r="G42" s="34"/>
    </row>
    <row r="43" spans="1:7">
      <c r="A43" s="6"/>
      <c r="B43" s="34"/>
      <c r="C43" s="34"/>
      <c r="D43" s="34"/>
      <c r="E43" s="34"/>
      <c r="F43" s="34"/>
      <c r="G43" s="34"/>
    </row>
  </sheetData>
  <mergeCells count="2">
    <mergeCell ref="A1:H1"/>
    <mergeCell ref="A3:H3"/>
  </mergeCells>
  <phoneticPr fontId="18" type="noConversion"/>
  <pageMargins left="1.5748031496062993" right="0.19685039370078741" top="0.78740157480314965" bottom="0.98425196850393704" header="0.51181102362204722" footer="0.51181102362204722"/>
  <pageSetup paperSize="5" orientation="portrait" horizontalDpi="300" verticalDpi="30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L206"/>
  <sheetViews>
    <sheetView zoomScale="75" zoomScaleNormal="75" workbookViewId="0">
      <selection activeCell="M39" sqref="M39"/>
    </sheetView>
  </sheetViews>
  <sheetFormatPr baseColWidth="10" defaultRowHeight="12.75"/>
  <cols>
    <col min="1" max="1" width="20.5703125" customWidth="1"/>
    <col min="2" max="2" width="36.7109375" customWidth="1"/>
    <col min="3" max="10" width="13.28515625" customWidth="1"/>
    <col min="12" max="12" width="8" customWidth="1"/>
  </cols>
  <sheetData>
    <row r="1" spans="1:12" s="1069" customFormat="1">
      <c r="A1" s="949" t="s">
        <v>50</v>
      </c>
      <c r="B1" s="950"/>
      <c r="C1" s="950"/>
      <c r="D1" s="950"/>
      <c r="E1" s="950"/>
      <c r="F1" s="950"/>
      <c r="G1" s="950"/>
      <c r="H1" s="950"/>
      <c r="I1" s="950"/>
      <c r="J1" s="950"/>
    </row>
    <row r="2" spans="1:12" s="1069" customFormat="1">
      <c r="A2" s="949"/>
      <c r="B2" s="950"/>
      <c r="C2" s="950"/>
      <c r="D2" s="950"/>
      <c r="E2" s="950"/>
      <c r="F2" s="950"/>
      <c r="G2" s="950"/>
      <c r="H2" s="950"/>
      <c r="I2" s="950"/>
      <c r="J2" s="950"/>
    </row>
    <row r="3" spans="1:12" s="1069" customFormat="1">
      <c r="A3" s="949" t="s">
        <v>1555</v>
      </c>
      <c r="B3" s="950"/>
      <c r="C3" s="950"/>
      <c r="D3" s="950"/>
      <c r="E3" s="950"/>
      <c r="F3" s="950"/>
      <c r="G3" s="950"/>
      <c r="H3" s="950"/>
      <c r="I3" s="950"/>
      <c r="J3" s="950"/>
    </row>
    <row r="4" spans="1:12">
      <c r="A4" s="63"/>
      <c r="B4" s="86"/>
      <c r="C4" s="86"/>
      <c r="D4" s="86"/>
      <c r="E4" s="86"/>
      <c r="F4" s="86"/>
      <c r="G4" s="86"/>
      <c r="H4" s="86"/>
      <c r="I4" s="86"/>
      <c r="J4" s="86"/>
    </row>
    <row r="5" spans="1:12">
      <c r="A5" s="86"/>
      <c r="B5" s="86"/>
      <c r="C5" s="86"/>
      <c r="D5" s="86"/>
      <c r="E5" s="86"/>
      <c r="F5" s="86"/>
      <c r="G5" s="86"/>
      <c r="H5" s="86"/>
      <c r="I5" s="86"/>
      <c r="J5" s="86"/>
    </row>
    <row r="6" spans="1:12">
      <c r="A6" s="165"/>
      <c r="B6" s="165"/>
      <c r="C6" s="165"/>
      <c r="D6" s="165"/>
      <c r="E6" s="165"/>
      <c r="F6" s="165"/>
      <c r="G6" s="165"/>
      <c r="H6" s="165"/>
      <c r="I6" s="165"/>
      <c r="J6" s="165"/>
    </row>
    <row r="7" spans="1:12" ht="33.75" customHeight="1">
      <c r="A7" s="1484" t="s">
        <v>51</v>
      </c>
      <c r="B7" s="1386"/>
      <c r="C7" s="1237" t="s">
        <v>52</v>
      </c>
      <c r="D7" s="1237" t="s">
        <v>53</v>
      </c>
      <c r="E7" s="1236" t="s">
        <v>406</v>
      </c>
      <c r="F7" s="1237" t="s">
        <v>959</v>
      </c>
      <c r="G7" s="1236" t="s">
        <v>54</v>
      </c>
      <c r="H7" s="1237" t="s">
        <v>1266</v>
      </c>
      <c r="I7" s="1485" t="s">
        <v>1265</v>
      </c>
      <c r="J7" s="1382" t="s">
        <v>594</v>
      </c>
      <c r="K7" s="6"/>
    </row>
    <row r="8" spans="1:12" ht="30" customHeight="1">
      <c r="A8" s="767" t="s">
        <v>1286</v>
      </c>
      <c r="B8" s="768"/>
      <c r="C8" s="766">
        <v>3203</v>
      </c>
      <c r="D8" s="766">
        <v>3491</v>
      </c>
      <c r="E8" s="766"/>
      <c r="F8" s="766"/>
      <c r="G8" s="766"/>
      <c r="H8" s="766"/>
      <c r="I8" s="421"/>
      <c r="J8" s="422">
        <f>SUM(C8:I8)</f>
        <v>6694</v>
      </c>
      <c r="K8" s="6"/>
    </row>
    <row r="9" spans="1:12" ht="30" customHeight="1">
      <c r="A9" s="769" t="s">
        <v>1287</v>
      </c>
      <c r="B9" s="770"/>
      <c r="C9" s="766">
        <v>3047</v>
      </c>
      <c r="D9" s="766">
        <v>587</v>
      </c>
      <c r="E9" s="766"/>
      <c r="F9" s="766"/>
      <c r="G9" s="766"/>
      <c r="H9" s="766"/>
      <c r="I9" s="421"/>
      <c r="J9" s="422">
        <f>SUM(C9:I9)</f>
        <v>3634</v>
      </c>
      <c r="K9" s="6"/>
      <c r="L9" s="88">
        <f>SUM(J8:J9)</f>
        <v>10328</v>
      </c>
    </row>
    <row r="10" spans="1:12" ht="30" customHeight="1">
      <c r="A10" s="767" t="s">
        <v>1289</v>
      </c>
      <c r="B10" s="768"/>
      <c r="C10" s="766">
        <v>947</v>
      </c>
      <c r="D10" s="766">
        <v>1757</v>
      </c>
      <c r="E10" s="766"/>
      <c r="F10" s="766"/>
      <c r="G10" s="766"/>
      <c r="H10" s="766"/>
      <c r="I10" s="421"/>
      <c r="J10" s="422">
        <f>SUM(C10:I10)</f>
        <v>2704</v>
      </c>
      <c r="K10" s="6"/>
    </row>
    <row r="11" spans="1:12" ht="30" customHeight="1">
      <c r="A11" s="769" t="s">
        <v>1288</v>
      </c>
      <c r="B11" s="770"/>
      <c r="C11" s="766">
        <v>3</v>
      </c>
      <c r="D11" s="766">
        <v>10</v>
      </c>
      <c r="E11" s="766"/>
      <c r="F11" s="766"/>
      <c r="G11" s="766"/>
      <c r="H11" s="766"/>
      <c r="I11" s="421"/>
      <c r="J11" s="422">
        <f>SUM(C11:I11)</f>
        <v>13</v>
      </c>
      <c r="K11" s="6"/>
      <c r="L11" s="88">
        <f>SUM(J10:J11)</f>
        <v>2717</v>
      </c>
    </row>
    <row r="12" spans="1:12" ht="30" customHeight="1">
      <c r="A12" s="769" t="s">
        <v>57</v>
      </c>
      <c r="B12" s="770"/>
      <c r="C12" s="766">
        <v>2392</v>
      </c>
      <c r="D12" s="766">
        <v>4345</v>
      </c>
      <c r="E12" s="766">
        <v>0</v>
      </c>
      <c r="F12" s="766">
        <v>56</v>
      </c>
      <c r="G12" s="766">
        <v>0</v>
      </c>
      <c r="H12" s="766">
        <f>[90]B!$C$1909+[91]B!$C$1909+[92]B!$C$1909</f>
        <v>328</v>
      </c>
      <c r="I12" s="421">
        <f>[93]BM18A!$C$592</f>
        <v>1052</v>
      </c>
      <c r="J12" s="422">
        <f>SUM(C12:I12)</f>
        <v>8173</v>
      </c>
      <c r="K12" s="6"/>
      <c r="L12" s="88"/>
    </row>
    <row r="13" spans="1:12" ht="30" customHeight="1">
      <c r="A13" s="771"/>
      <c r="B13" s="772" t="s">
        <v>55</v>
      </c>
      <c r="C13" s="421">
        <f t="shared" ref="C13:J14" si="0">+C8+C10</f>
        <v>4150</v>
      </c>
      <c r="D13" s="421">
        <f t="shared" si="0"/>
        <v>5248</v>
      </c>
      <c r="E13" s="421">
        <f t="shared" si="0"/>
        <v>0</v>
      </c>
      <c r="F13" s="421">
        <f t="shared" si="0"/>
        <v>0</v>
      </c>
      <c r="G13" s="421">
        <f t="shared" si="0"/>
        <v>0</v>
      </c>
      <c r="H13" s="421">
        <f t="shared" si="0"/>
        <v>0</v>
      </c>
      <c r="I13" s="421">
        <f t="shared" si="0"/>
        <v>0</v>
      </c>
      <c r="J13" s="421">
        <f t="shared" si="0"/>
        <v>9398</v>
      </c>
      <c r="K13" s="6"/>
    </row>
    <row r="14" spans="1:12" ht="30" customHeight="1">
      <c r="A14" s="771" t="s">
        <v>582</v>
      </c>
      <c r="B14" s="773" t="s">
        <v>56</v>
      </c>
      <c r="C14" s="421">
        <f t="shared" si="0"/>
        <v>3050</v>
      </c>
      <c r="D14" s="421">
        <f t="shared" si="0"/>
        <v>597</v>
      </c>
      <c r="E14" s="421">
        <f t="shared" si="0"/>
        <v>0</v>
      </c>
      <c r="F14" s="421">
        <f t="shared" si="0"/>
        <v>0</v>
      </c>
      <c r="G14" s="421">
        <f t="shared" si="0"/>
        <v>0</v>
      </c>
      <c r="H14" s="421">
        <f t="shared" si="0"/>
        <v>0</v>
      </c>
      <c r="I14" s="421">
        <f t="shared" si="0"/>
        <v>0</v>
      </c>
      <c r="J14" s="421">
        <f t="shared" si="0"/>
        <v>3647</v>
      </c>
      <c r="K14" s="94">
        <f>+J14+J11</f>
        <v>3660</v>
      </c>
    </row>
    <row r="15" spans="1:12" ht="30" customHeight="1">
      <c r="A15" s="771"/>
      <c r="B15" s="772" t="s">
        <v>58</v>
      </c>
      <c r="C15" s="421">
        <f t="shared" ref="C15:J15" si="1">+C12</f>
        <v>2392</v>
      </c>
      <c r="D15" s="421">
        <f t="shared" si="1"/>
        <v>4345</v>
      </c>
      <c r="E15" s="421">
        <f t="shared" si="1"/>
        <v>0</v>
      </c>
      <c r="F15" s="421">
        <f t="shared" si="1"/>
        <v>56</v>
      </c>
      <c r="G15" s="421">
        <f t="shared" si="1"/>
        <v>0</v>
      </c>
      <c r="H15" s="421">
        <f t="shared" si="1"/>
        <v>328</v>
      </c>
      <c r="I15" s="421">
        <f t="shared" si="1"/>
        <v>1052</v>
      </c>
      <c r="J15" s="421">
        <f t="shared" si="1"/>
        <v>8173</v>
      </c>
      <c r="K15" s="94">
        <f>+J15+J12</f>
        <v>16346</v>
      </c>
    </row>
    <row r="16" spans="1:12" ht="30" customHeight="1">
      <c r="A16" s="774"/>
      <c r="B16" s="772" t="s">
        <v>582</v>
      </c>
      <c r="C16" s="421">
        <f>SUM(C13:C15)</f>
        <v>9592</v>
      </c>
      <c r="D16" s="421">
        <f t="shared" ref="D16:J16" si="2">SUM(D13:D15)</f>
        <v>10190</v>
      </c>
      <c r="E16" s="421">
        <f t="shared" si="2"/>
        <v>0</v>
      </c>
      <c r="F16" s="421">
        <f t="shared" si="2"/>
        <v>56</v>
      </c>
      <c r="G16" s="421">
        <f t="shared" si="2"/>
        <v>0</v>
      </c>
      <c r="H16" s="421">
        <f t="shared" si="2"/>
        <v>328</v>
      </c>
      <c r="I16" s="421">
        <f t="shared" si="2"/>
        <v>1052</v>
      </c>
      <c r="J16" s="421">
        <f t="shared" si="2"/>
        <v>21218</v>
      </c>
      <c r="K16" s="94">
        <f>+J13+J10</f>
        <v>12102</v>
      </c>
      <c r="L16" s="88"/>
    </row>
    <row r="17" spans="1:10">
      <c r="A17" s="165"/>
      <c r="B17" s="165"/>
      <c r="C17" s="165"/>
      <c r="D17" s="165"/>
      <c r="E17" s="165"/>
      <c r="F17" s="165"/>
      <c r="G17" s="165"/>
      <c r="H17" s="165"/>
      <c r="I17" s="165"/>
      <c r="J17" s="165"/>
    </row>
    <row r="18" spans="1:10">
      <c r="A18" s="10" t="s">
        <v>644</v>
      </c>
      <c r="B18" s="165"/>
      <c r="C18" s="165"/>
      <c r="D18" s="165"/>
      <c r="E18" s="165"/>
      <c r="F18" s="165"/>
      <c r="G18" s="165"/>
      <c r="H18" s="165"/>
      <c r="I18" s="165"/>
      <c r="J18" s="165"/>
    </row>
    <row r="19" spans="1:10">
      <c r="A19" s="165"/>
      <c r="B19" s="165"/>
      <c r="C19" s="165"/>
      <c r="D19" s="165"/>
      <c r="E19" s="165"/>
      <c r="F19" s="165"/>
      <c r="G19" s="165"/>
      <c r="H19" s="165"/>
      <c r="I19" s="165"/>
      <c r="J19" s="165"/>
    </row>
    <row r="20" spans="1:10">
      <c r="A20" s="165"/>
      <c r="B20" s="165"/>
      <c r="C20" s="165"/>
      <c r="D20" s="165"/>
      <c r="E20" s="165"/>
      <c r="F20" s="165"/>
      <c r="G20" s="165"/>
      <c r="H20" s="165"/>
      <c r="I20" s="165"/>
      <c r="J20" s="165"/>
    </row>
    <row r="21" spans="1:10">
      <c r="I21" s="165"/>
      <c r="J21" s="165"/>
    </row>
    <row r="22" spans="1:10">
      <c r="I22" s="165"/>
      <c r="J22" s="165"/>
    </row>
    <row r="23" spans="1:10">
      <c r="I23" s="165"/>
      <c r="J23" s="165"/>
    </row>
    <row r="24" spans="1:10">
      <c r="I24" s="165"/>
      <c r="J24" s="165"/>
    </row>
    <row r="25" spans="1:10">
      <c r="I25" s="165"/>
      <c r="J25" s="165"/>
    </row>
    <row r="26" spans="1:10">
      <c r="I26" s="165"/>
      <c r="J26" s="165"/>
    </row>
    <row r="27" spans="1:10">
      <c r="I27" s="165"/>
      <c r="J27" s="165"/>
    </row>
    <row r="28" spans="1:10">
      <c r="I28" s="165"/>
      <c r="J28" s="165"/>
    </row>
    <row r="29" spans="1:10">
      <c r="I29" s="165"/>
      <c r="J29" s="165"/>
    </row>
    <row r="30" spans="1:10">
      <c r="I30" s="165"/>
      <c r="J30" s="165"/>
    </row>
    <row r="31" spans="1:10">
      <c r="I31" s="165"/>
      <c r="J31" s="165"/>
    </row>
    <row r="32" spans="1:10">
      <c r="I32" s="165"/>
      <c r="J32" s="165"/>
    </row>
    <row r="33" spans="9:10">
      <c r="I33" s="165"/>
      <c r="J33" s="165"/>
    </row>
    <row r="34" spans="9:10">
      <c r="I34" s="165"/>
      <c r="J34" s="165"/>
    </row>
    <row r="35" spans="9:10">
      <c r="I35" s="165"/>
      <c r="J35" s="165"/>
    </row>
    <row r="36" spans="9:10">
      <c r="I36" s="165"/>
      <c r="J36" s="165"/>
    </row>
    <row r="37" spans="9:10">
      <c r="I37" s="165"/>
      <c r="J37" s="165"/>
    </row>
    <row r="38" spans="9:10">
      <c r="I38" s="165"/>
      <c r="J38" s="165"/>
    </row>
    <row r="39" spans="9:10">
      <c r="I39" s="165"/>
      <c r="J39" s="165"/>
    </row>
    <row r="40" spans="9:10">
      <c r="I40" s="165"/>
      <c r="J40" s="165"/>
    </row>
    <row r="41" spans="9:10">
      <c r="I41" s="165"/>
      <c r="J41" s="165"/>
    </row>
    <row r="42" spans="9:10">
      <c r="I42" s="165"/>
      <c r="J42" s="165"/>
    </row>
    <row r="43" spans="9:10">
      <c r="I43" s="165"/>
      <c r="J43" s="165"/>
    </row>
    <row r="44" spans="9:10">
      <c r="I44" s="165"/>
      <c r="J44" s="165"/>
    </row>
    <row r="45" spans="9:10">
      <c r="I45" s="165"/>
      <c r="J45" s="165"/>
    </row>
    <row r="46" spans="9:10">
      <c r="I46" s="165"/>
      <c r="J46" s="165"/>
    </row>
    <row r="47" spans="9:10">
      <c r="I47" s="165"/>
      <c r="J47" s="165"/>
    </row>
    <row r="48" spans="9:10">
      <c r="I48" s="165"/>
      <c r="J48" s="165"/>
    </row>
    <row r="49" spans="1:10">
      <c r="I49" s="165"/>
      <c r="J49" s="165"/>
    </row>
    <row r="50" spans="1:10">
      <c r="I50" s="165"/>
      <c r="J50" s="165"/>
    </row>
    <row r="51" spans="1:10">
      <c r="I51" s="165"/>
      <c r="J51" s="165"/>
    </row>
    <row r="52" spans="1:10">
      <c r="I52" s="165"/>
      <c r="J52" s="165"/>
    </row>
    <row r="53" spans="1:10">
      <c r="I53" s="165"/>
      <c r="J53" s="165"/>
    </row>
    <row r="54" spans="1:10">
      <c r="I54" s="165"/>
      <c r="J54" s="165"/>
    </row>
    <row r="55" spans="1:10">
      <c r="I55" s="165"/>
      <c r="J55" s="165"/>
    </row>
    <row r="56" spans="1:10">
      <c r="I56" s="165"/>
      <c r="J56" s="165"/>
    </row>
    <row r="57" spans="1:10">
      <c r="I57" s="165"/>
      <c r="J57" s="165"/>
    </row>
    <row r="58" spans="1:10">
      <c r="I58" s="165"/>
      <c r="J58" s="165"/>
    </row>
    <row r="59" spans="1:10">
      <c r="I59" s="165"/>
      <c r="J59" s="165"/>
    </row>
    <row r="60" spans="1:10">
      <c r="I60" s="165"/>
      <c r="J60" s="165"/>
    </row>
    <row r="61" spans="1:10">
      <c r="I61" s="165"/>
      <c r="J61" s="165"/>
    </row>
    <row r="62" spans="1:10">
      <c r="I62" s="165"/>
      <c r="J62" s="165"/>
    </row>
    <row r="63" spans="1:10">
      <c r="A63" s="165"/>
      <c r="B63" s="165"/>
      <c r="C63" s="165"/>
      <c r="D63" s="165"/>
      <c r="E63" s="165"/>
      <c r="F63" s="165"/>
      <c r="G63" s="165"/>
      <c r="H63" s="165"/>
      <c r="I63" s="165"/>
      <c r="J63" s="165"/>
    </row>
    <row r="64" spans="1:10">
      <c r="A64" s="165"/>
      <c r="B64" s="165"/>
      <c r="C64" s="165"/>
      <c r="D64" s="165"/>
      <c r="E64" s="165"/>
      <c r="F64" s="165"/>
      <c r="G64" s="165"/>
      <c r="H64" s="165"/>
      <c r="I64" s="165"/>
      <c r="J64" s="165"/>
    </row>
    <row r="65" spans="1:10">
      <c r="A65" s="165"/>
      <c r="B65" s="165"/>
      <c r="C65" s="165"/>
      <c r="D65" s="165"/>
      <c r="E65" s="165"/>
      <c r="F65" s="165"/>
      <c r="G65" s="165"/>
      <c r="H65" s="165"/>
      <c r="I65" s="165"/>
      <c r="J65" s="165"/>
    </row>
    <row r="66" spans="1:10">
      <c r="A66" s="165"/>
      <c r="B66" s="165"/>
      <c r="C66" s="165"/>
      <c r="D66" s="165"/>
      <c r="E66" s="165"/>
      <c r="F66" s="165"/>
      <c r="G66" s="165"/>
      <c r="H66" s="165"/>
      <c r="I66" s="165"/>
      <c r="J66" s="165"/>
    </row>
    <row r="67" spans="1:10">
      <c r="A67" s="165"/>
      <c r="B67" s="165"/>
      <c r="C67" s="165"/>
      <c r="D67" s="165"/>
      <c r="E67" s="165"/>
      <c r="F67" s="165"/>
      <c r="G67" s="165"/>
      <c r="H67" s="165"/>
      <c r="I67" s="165"/>
      <c r="J67" s="165"/>
    </row>
    <row r="68" spans="1:10">
      <c r="A68" s="165"/>
      <c r="B68" s="165"/>
      <c r="C68" s="165"/>
      <c r="D68" s="165"/>
      <c r="E68" s="165"/>
      <c r="F68" s="165"/>
      <c r="G68" s="165"/>
      <c r="H68" s="165"/>
      <c r="I68" s="165"/>
      <c r="J68" s="165"/>
    </row>
    <row r="69" spans="1:10">
      <c r="A69" s="165"/>
      <c r="B69" s="165"/>
      <c r="C69" s="165"/>
      <c r="D69" s="165"/>
      <c r="E69" s="165"/>
      <c r="F69" s="165"/>
      <c r="G69" s="165"/>
      <c r="H69" s="165"/>
      <c r="I69" s="165"/>
      <c r="J69" s="165"/>
    </row>
    <row r="70" spans="1:10">
      <c r="A70" s="165"/>
      <c r="B70" s="165"/>
      <c r="C70" s="165"/>
      <c r="D70" s="165"/>
      <c r="E70" s="165"/>
      <c r="F70" s="165"/>
      <c r="G70" s="165"/>
      <c r="H70" s="165"/>
      <c r="I70" s="165"/>
      <c r="J70" s="165"/>
    </row>
    <row r="71" spans="1:10">
      <c r="A71" s="165"/>
      <c r="B71" s="165"/>
      <c r="C71" s="165"/>
      <c r="D71" s="165"/>
      <c r="E71" s="165"/>
      <c r="F71" s="165"/>
      <c r="G71" s="165"/>
      <c r="H71" s="165"/>
      <c r="I71" s="165"/>
      <c r="J71" s="165"/>
    </row>
    <row r="72" spans="1:10">
      <c r="A72" s="165"/>
      <c r="B72" s="165"/>
      <c r="C72" s="165"/>
      <c r="D72" s="165"/>
      <c r="E72" s="165"/>
      <c r="F72" s="165"/>
      <c r="G72" s="165"/>
      <c r="H72" s="165"/>
      <c r="I72" s="165"/>
      <c r="J72" s="165"/>
    </row>
    <row r="73" spans="1:10">
      <c r="A73" s="165"/>
      <c r="B73" s="165"/>
      <c r="C73" s="165"/>
      <c r="D73" s="165"/>
      <c r="E73" s="165"/>
      <c r="F73" s="165"/>
      <c r="G73" s="165"/>
      <c r="H73" s="165"/>
      <c r="I73" s="165"/>
      <c r="J73" s="165"/>
    </row>
    <row r="74" spans="1:10">
      <c r="A74" s="165"/>
      <c r="B74" s="165"/>
      <c r="C74" s="165"/>
      <c r="D74" s="165"/>
      <c r="E74" s="165"/>
      <c r="F74" s="165"/>
      <c r="G74" s="165"/>
      <c r="H74" s="165"/>
      <c r="I74" s="165"/>
      <c r="J74" s="165"/>
    </row>
    <row r="75" spans="1:10">
      <c r="A75" s="165"/>
      <c r="B75" s="165"/>
      <c r="C75" s="165"/>
      <c r="D75" s="165"/>
      <c r="E75" s="165"/>
      <c r="F75" s="165"/>
      <c r="G75" s="165"/>
      <c r="H75" s="165"/>
      <c r="I75" s="165"/>
      <c r="J75" s="165"/>
    </row>
    <row r="76" spans="1:10">
      <c r="A76" s="165"/>
      <c r="B76" s="165"/>
      <c r="C76" s="165"/>
      <c r="D76" s="165"/>
      <c r="E76" s="165"/>
      <c r="F76" s="165"/>
      <c r="G76" s="165"/>
      <c r="H76" s="165"/>
      <c r="I76" s="165"/>
      <c r="J76" s="165"/>
    </row>
    <row r="77" spans="1:10">
      <c r="A77" s="165"/>
      <c r="B77" s="165"/>
      <c r="C77" s="165"/>
      <c r="D77" s="165"/>
      <c r="E77" s="165"/>
      <c r="F77" s="165"/>
      <c r="G77" s="165"/>
      <c r="H77" s="165"/>
      <c r="I77" s="165"/>
      <c r="J77" s="165"/>
    </row>
    <row r="78" spans="1:10">
      <c r="A78" s="165"/>
      <c r="B78" s="165"/>
      <c r="C78" s="165"/>
      <c r="D78" s="165"/>
      <c r="E78" s="165"/>
      <c r="F78" s="165"/>
      <c r="G78" s="165"/>
      <c r="H78" s="165"/>
      <c r="I78" s="165"/>
      <c r="J78" s="165"/>
    </row>
    <row r="79" spans="1:10">
      <c r="A79" s="165"/>
      <c r="B79" s="165"/>
      <c r="C79" s="165"/>
      <c r="D79" s="165"/>
      <c r="E79" s="165"/>
      <c r="F79" s="165"/>
      <c r="G79" s="165"/>
      <c r="H79" s="165"/>
      <c r="I79" s="165"/>
      <c r="J79" s="165"/>
    </row>
    <row r="80" spans="1:10">
      <c r="A80" s="165"/>
      <c r="B80" s="165"/>
      <c r="C80" s="165"/>
      <c r="D80" s="165"/>
      <c r="E80" s="165"/>
      <c r="F80" s="165"/>
      <c r="G80" s="165"/>
      <c r="H80" s="165"/>
      <c r="I80" s="165"/>
      <c r="J80" s="165"/>
    </row>
    <row r="81" spans="1:10">
      <c r="A81" s="165"/>
      <c r="B81" s="165"/>
      <c r="C81" s="165"/>
      <c r="D81" s="165"/>
      <c r="E81" s="165"/>
      <c r="F81" s="165"/>
      <c r="G81" s="165"/>
      <c r="H81" s="165"/>
      <c r="I81" s="165"/>
      <c r="J81" s="165"/>
    </row>
    <row r="82" spans="1:10">
      <c r="A82" s="165"/>
      <c r="B82" s="165"/>
      <c r="C82" s="165"/>
      <c r="D82" s="165"/>
      <c r="E82" s="165"/>
      <c r="F82" s="165"/>
      <c r="G82" s="165"/>
      <c r="H82" s="165"/>
      <c r="I82" s="165"/>
      <c r="J82" s="165"/>
    </row>
    <row r="83" spans="1:10">
      <c r="A83" s="165"/>
      <c r="B83" s="165"/>
      <c r="C83" s="165"/>
      <c r="D83" s="165"/>
      <c r="E83" s="165"/>
      <c r="F83" s="165"/>
      <c r="G83" s="165"/>
      <c r="H83" s="165"/>
      <c r="I83" s="165"/>
      <c r="J83" s="165"/>
    </row>
    <row r="84" spans="1:10">
      <c r="A84" s="165"/>
      <c r="B84" s="165"/>
      <c r="C84" s="165"/>
      <c r="D84" s="165"/>
      <c r="E84" s="165"/>
      <c r="F84" s="165"/>
      <c r="G84" s="165"/>
      <c r="H84" s="165"/>
      <c r="I84" s="165"/>
      <c r="J84" s="165"/>
    </row>
    <row r="85" spans="1:10">
      <c r="A85" s="165"/>
      <c r="B85" s="165"/>
      <c r="C85" s="165"/>
      <c r="D85" s="165"/>
      <c r="E85" s="165"/>
      <c r="F85" s="165"/>
      <c r="G85" s="165"/>
      <c r="H85" s="165"/>
      <c r="I85" s="165"/>
      <c r="J85" s="165"/>
    </row>
    <row r="86" spans="1:10">
      <c r="A86" s="165"/>
      <c r="B86" s="165"/>
      <c r="C86" s="165"/>
      <c r="D86" s="165"/>
      <c r="E86" s="165"/>
      <c r="F86" s="165"/>
      <c r="G86" s="165"/>
      <c r="H86" s="165"/>
      <c r="I86" s="165"/>
      <c r="J86" s="165"/>
    </row>
    <row r="87" spans="1:10">
      <c r="A87" s="165"/>
      <c r="B87" s="165"/>
      <c r="C87" s="165"/>
      <c r="D87" s="165"/>
      <c r="E87" s="165"/>
      <c r="F87" s="165"/>
      <c r="G87" s="165"/>
      <c r="H87" s="165"/>
      <c r="I87" s="165"/>
      <c r="J87" s="165"/>
    </row>
    <row r="88" spans="1:10">
      <c r="A88" s="165"/>
      <c r="B88" s="165"/>
      <c r="C88" s="165"/>
      <c r="D88" s="165"/>
      <c r="E88" s="165"/>
      <c r="F88" s="165"/>
      <c r="G88" s="165"/>
      <c r="H88" s="165"/>
      <c r="I88" s="165"/>
      <c r="J88" s="165"/>
    </row>
    <row r="89" spans="1:10">
      <c r="A89" s="165"/>
      <c r="B89" s="165"/>
      <c r="C89" s="165"/>
      <c r="D89" s="165"/>
      <c r="E89" s="165"/>
      <c r="F89" s="165"/>
      <c r="G89" s="165"/>
      <c r="H89" s="165"/>
      <c r="I89" s="165"/>
      <c r="J89" s="165"/>
    </row>
    <row r="90" spans="1:10">
      <c r="A90" s="165"/>
      <c r="B90" s="165"/>
      <c r="C90" s="165"/>
      <c r="D90" s="165"/>
      <c r="E90" s="165"/>
      <c r="F90" s="165"/>
      <c r="G90" s="165"/>
      <c r="H90" s="165"/>
      <c r="I90" s="165"/>
      <c r="J90" s="165"/>
    </row>
    <row r="91" spans="1:10">
      <c r="A91" s="165"/>
      <c r="B91" s="165"/>
      <c r="C91" s="165"/>
      <c r="D91" s="165"/>
      <c r="E91" s="165"/>
      <c r="F91" s="165"/>
      <c r="G91" s="165"/>
      <c r="H91" s="165"/>
      <c r="I91" s="165"/>
      <c r="J91" s="165"/>
    </row>
    <row r="92" spans="1:10">
      <c r="A92" s="165"/>
      <c r="B92" s="165"/>
      <c r="C92" s="165"/>
      <c r="D92" s="165"/>
      <c r="E92" s="165"/>
      <c r="F92" s="165"/>
      <c r="G92" s="165"/>
      <c r="H92" s="165"/>
      <c r="I92" s="165"/>
      <c r="J92" s="165"/>
    </row>
    <row r="93" spans="1:10">
      <c r="A93" s="165"/>
      <c r="B93" s="165"/>
      <c r="C93" s="165"/>
      <c r="D93" s="165"/>
      <c r="E93" s="165"/>
      <c r="F93" s="165"/>
      <c r="G93" s="165"/>
      <c r="H93" s="165"/>
      <c r="I93" s="165"/>
      <c r="J93" s="165"/>
    </row>
    <row r="94" spans="1:10">
      <c r="A94" s="165"/>
      <c r="B94" s="165"/>
      <c r="C94" s="165"/>
      <c r="D94" s="165"/>
      <c r="E94" s="165"/>
      <c r="F94" s="165"/>
      <c r="G94" s="165"/>
      <c r="H94" s="165"/>
      <c r="I94" s="165"/>
      <c r="J94" s="165"/>
    </row>
    <row r="95" spans="1:10">
      <c r="A95" s="165"/>
      <c r="B95" s="165"/>
      <c r="C95" s="165"/>
      <c r="D95" s="165"/>
      <c r="E95" s="165"/>
      <c r="F95" s="165"/>
      <c r="G95" s="165"/>
      <c r="H95" s="165"/>
      <c r="I95" s="165"/>
      <c r="J95" s="165"/>
    </row>
    <row r="96" spans="1:10">
      <c r="A96" s="165"/>
      <c r="B96" s="165"/>
      <c r="C96" s="165"/>
      <c r="D96" s="165"/>
      <c r="E96" s="165"/>
      <c r="F96" s="165"/>
      <c r="G96" s="165"/>
      <c r="H96" s="165"/>
      <c r="I96" s="165"/>
      <c r="J96" s="165"/>
    </row>
    <row r="97" spans="1:10">
      <c r="A97" s="165"/>
      <c r="B97" s="165"/>
      <c r="C97" s="165"/>
      <c r="D97" s="165"/>
      <c r="E97" s="165"/>
      <c r="F97" s="165"/>
      <c r="G97" s="165"/>
      <c r="H97" s="165"/>
      <c r="I97" s="165"/>
      <c r="J97" s="165"/>
    </row>
    <row r="98" spans="1:10">
      <c r="A98" s="165"/>
      <c r="B98" s="165"/>
      <c r="C98" s="165"/>
      <c r="D98" s="165"/>
      <c r="E98" s="165"/>
      <c r="F98" s="165"/>
      <c r="G98" s="165"/>
      <c r="H98" s="165"/>
      <c r="I98" s="165"/>
      <c r="J98" s="165"/>
    </row>
    <row r="99" spans="1:10">
      <c r="A99" s="165"/>
      <c r="B99" s="165"/>
      <c r="C99" s="165"/>
      <c r="D99" s="165"/>
      <c r="E99" s="165"/>
      <c r="F99" s="165"/>
      <c r="G99" s="165"/>
      <c r="H99" s="165"/>
      <c r="I99" s="165"/>
      <c r="J99" s="165"/>
    </row>
    <row r="100" spans="1:10">
      <c r="A100" s="165"/>
      <c r="B100" s="165"/>
      <c r="C100" s="165"/>
      <c r="D100" s="165"/>
      <c r="E100" s="165"/>
      <c r="F100" s="165"/>
      <c r="G100" s="165"/>
      <c r="H100" s="165"/>
      <c r="I100" s="165"/>
      <c r="J100" s="165"/>
    </row>
    <row r="101" spans="1:10">
      <c r="A101" s="165"/>
      <c r="B101" s="165"/>
      <c r="C101" s="165"/>
      <c r="D101" s="165"/>
      <c r="E101" s="165"/>
      <c r="F101" s="165"/>
      <c r="G101" s="165"/>
      <c r="H101" s="165"/>
      <c r="I101" s="165"/>
      <c r="J101" s="165"/>
    </row>
    <row r="102" spans="1:10">
      <c r="A102" s="165"/>
      <c r="B102" s="165"/>
      <c r="C102" s="165"/>
      <c r="D102" s="165"/>
      <c r="E102" s="165"/>
      <c r="F102" s="165"/>
      <c r="G102" s="165"/>
      <c r="H102" s="165"/>
      <c r="I102" s="165"/>
      <c r="J102" s="165"/>
    </row>
    <row r="103" spans="1:10">
      <c r="A103" s="165"/>
      <c r="B103" s="165"/>
      <c r="C103" s="165"/>
      <c r="D103" s="165"/>
      <c r="E103" s="165"/>
      <c r="F103" s="165"/>
      <c r="G103" s="165"/>
      <c r="H103" s="165"/>
      <c r="I103" s="165"/>
      <c r="J103" s="165"/>
    </row>
    <row r="104" spans="1:10">
      <c r="A104" s="165"/>
      <c r="B104" s="165"/>
      <c r="C104" s="165"/>
      <c r="D104" s="165"/>
      <c r="E104" s="165"/>
      <c r="F104" s="165"/>
      <c r="G104" s="165"/>
      <c r="H104" s="165"/>
      <c r="I104" s="165"/>
      <c r="J104" s="165"/>
    </row>
    <row r="105" spans="1:10">
      <c r="A105" s="165"/>
      <c r="B105" s="165"/>
      <c r="C105" s="165"/>
      <c r="D105" s="165"/>
      <c r="E105" s="165"/>
      <c r="F105" s="165"/>
      <c r="G105" s="165"/>
      <c r="H105" s="165"/>
      <c r="I105" s="165"/>
      <c r="J105" s="165"/>
    </row>
    <row r="106" spans="1:10">
      <c r="A106" s="165"/>
      <c r="B106" s="165"/>
      <c r="C106" s="165"/>
      <c r="D106" s="165"/>
      <c r="E106" s="165"/>
      <c r="F106" s="165"/>
      <c r="G106" s="165"/>
      <c r="H106" s="165"/>
      <c r="I106" s="165"/>
      <c r="J106" s="165"/>
    </row>
    <row r="107" spans="1:10">
      <c r="A107" s="165"/>
      <c r="B107" s="165"/>
      <c r="C107" s="165"/>
      <c r="D107" s="165"/>
      <c r="E107" s="165"/>
      <c r="F107" s="165"/>
      <c r="G107" s="165"/>
      <c r="H107" s="165"/>
      <c r="I107" s="165"/>
      <c r="J107" s="165"/>
    </row>
    <row r="108" spans="1:10">
      <c r="A108" s="165"/>
      <c r="B108" s="165"/>
      <c r="C108" s="165"/>
      <c r="D108" s="165"/>
      <c r="E108" s="165"/>
      <c r="F108" s="165"/>
      <c r="G108" s="165"/>
      <c r="H108" s="165"/>
      <c r="I108" s="165"/>
      <c r="J108" s="165"/>
    </row>
    <row r="109" spans="1:10">
      <c r="A109" s="165"/>
      <c r="B109" s="165"/>
      <c r="C109" s="165"/>
      <c r="D109" s="165"/>
      <c r="E109" s="165"/>
      <c r="F109" s="165"/>
      <c r="G109" s="165"/>
      <c r="H109" s="165"/>
      <c r="I109" s="165"/>
      <c r="J109" s="165"/>
    </row>
    <row r="110" spans="1:10">
      <c r="A110" s="165"/>
      <c r="B110" s="165"/>
      <c r="C110" s="165"/>
      <c r="D110" s="165"/>
      <c r="E110" s="165"/>
      <c r="F110" s="165"/>
      <c r="G110" s="165"/>
      <c r="H110" s="165"/>
      <c r="I110" s="165"/>
      <c r="J110" s="165"/>
    </row>
    <row r="111" spans="1:10">
      <c r="A111" s="165"/>
      <c r="B111" s="165"/>
      <c r="C111" s="165"/>
      <c r="D111" s="165"/>
      <c r="E111" s="165"/>
      <c r="F111" s="165"/>
      <c r="G111" s="165"/>
      <c r="H111" s="165"/>
      <c r="I111" s="165"/>
      <c r="J111" s="165"/>
    </row>
    <row r="112" spans="1:10">
      <c r="A112" s="165"/>
      <c r="B112" s="165"/>
      <c r="C112" s="165"/>
      <c r="D112" s="165"/>
      <c r="E112" s="165"/>
      <c r="F112" s="165"/>
      <c r="G112" s="165"/>
      <c r="H112" s="165"/>
      <c r="I112" s="165"/>
      <c r="J112" s="165"/>
    </row>
    <row r="113" spans="1:10">
      <c r="A113" s="165"/>
      <c r="B113" s="165"/>
      <c r="C113" s="165"/>
      <c r="D113" s="165"/>
      <c r="E113" s="165"/>
      <c r="F113" s="165"/>
      <c r="G113" s="165"/>
      <c r="H113" s="165"/>
      <c r="I113" s="165"/>
      <c r="J113" s="165"/>
    </row>
    <row r="114" spans="1:10">
      <c r="A114" s="165"/>
      <c r="B114" s="165"/>
      <c r="C114" s="165"/>
      <c r="D114" s="165"/>
      <c r="E114" s="165"/>
      <c r="F114" s="165"/>
      <c r="G114" s="165"/>
      <c r="H114" s="165"/>
      <c r="I114" s="165"/>
      <c r="J114" s="165"/>
    </row>
    <row r="115" spans="1:10">
      <c r="A115" s="165"/>
      <c r="B115" s="165"/>
      <c r="C115" s="165"/>
      <c r="D115" s="165"/>
      <c r="E115" s="165"/>
      <c r="F115" s="165"/>
      <c r="G115" s="165"/>
      <c r="H115" s="165"/>
      <c r="I115" s="165"/>
      <c r="J115" s="165"/>
    </row>
    <row r="116" spans="1:10">
      <c r="A116" s="165"/>
      <c r="B116" s="165"/>
      <c r="C116" s="165"/>
      <c r="D116" s="165"/>
      <c r="E116" s="165"/>
      <c r="F116" s="165"/>
      <c r="G116" s="165"/>
      <c r="H116" s="165"/>
      <c r="I116" s="165"/>
      <c r="J116" s="165"/>
    </row>
    <row r="117" spans="1:10">
      <c r="A117" s="165"/>
      <c r="B117" s="165"/>
      <c r="C117" s="165"/>
      <c r="D117" s="165"/>
      <c r="E117" s="165"/>
      <c r="F117" s="165"/>
      <c r="G117" s="165"/>
      <c r="H117" s="165"/>
      <c r="I117" s="165"/>
      <c r="J117" s="165"/>
    </row>
    <row r="118" spans="1:10">
      <c r="A118" s="165"/>
      <c r="B118" s="165"/>
      <c r="C118" s="165"/>
      <c r="D118" s="165"/>
      <c r="E118" s="165"/>
      <c r="F118" s="165"/>
      <c r="G118" s="165"/>
      <c r="H118" s="165"/>
      <c r="I118" s="165"/>
      <c r="J118" s="165"/>
    </row>
    <row r="119" spans="1:10">
      <c r="A119" s="165"/>
      <c r="B119" s="165"/>
      <c r="C119" s="165"/>
      <c r="D119" s="165"/>
      <c r="E119" s="165"/>
      <c r="F119" s="165"/>
      <c r="G119" s="165"/>
      <c r="H119" s="165"/>
      <c r="I119" s="165"/>
      <c r="J119" s="165"/>
    </row>
    <row r="120" spans="1:10">
      <c r="A120" s="165"/>
      <c r="B120" s="165"/>
      <c r="C120" s="165"/>
      <c r="D120" s="165"/>
      <c r="E120" s="165"/>
      <c r="F120" s="165"/>
      <c r="G120" s="165"/>
      <c r="H120" s="165"/>
      <c r="I120" s="165"/>
      <c r="J120" s="165"/>
    </row>
    <row r="121" spans="1:10">
      <c r="A121" s="165"/>
      <c r="B121" s="165"/>
      <c r="C121" s="165"/>
      <c r="D121" s="165"/>
      <c r="E121" s="165"/>
      <c r="F121" s="165"/>
      <c r="G121" s="165"/>
      <c r="H121" s="165"/>
      <c r="I121" s="165"/>
      <c r="J121" s="165"/>
    </row>
    <row r="122" spans="1:10">
      <c r="A122" s="165"/>
      <c r="B122" s="165"/>
      <c r="C122" s="165"/>
      <c r="D122" s="165"/>
      <c r="E122" s="165"/>
      <c r="F122" s="165"/>
      <c r="G122" s="165"/>
      <c r="H122" s="165"/>
      <c r="I122" s="165"/>
      <c r="J122" s="165"/>
    </row>
    <row r="123" spans="1:10">
      <c r="A123" s="165"/>
      <c r="B123" s="165"/>
      <c r="C123" s="165"/>
      <c r="D123" s="165"/>
      <c r="E123" s="165"/>
      <c r="F123" s="165"/>
      <c r="G123" s="165"/>
      <c r="H123" s="165"/>
      <c r="I123" s="165"/>
      <c r="J123" s="165"/>
    </row>
    <row r="124" spans="1:10">
      <c r="A124" s="165"/>
      <c r="B124" s="165"/>
      <c r="C124" s="165"/>
      <c r="D124" s="165"/>
      <c r="E124" s="165"/>
      <c r="F124" s="165"/>
      <c r="G124" s="165"/>
      <c r="H124" s="165"/>
      <c r="I124" s="165"/>
      <c r="J124" s="165"/>
    </row>
    <row r="125" spans="1:10">
      <c r="A125" s="165"/>
      <c r="B125" s="165"/>
      <c r="C125" s="165"/>
      <c r="D125" s="165"/>
      <c r="E125" s="165"/>
      <c r="F125" s="165"/>
      <c r="G125" s="165"/>
      <c r="H125" s="165"/>
      <c r="I125" s="165"/>
      <c r="J125" s="165"/>
    </row>
    <row r="126" spans="1:10">
      <c r="A126" s="165"/>
      <c r="B126" s="165"/>
      <c r="C126" s="165"/>
      <c r="D126" s="165"/>
      <c r="E126" s="165"/>
      <c r="F126" s="165"/>
      <c r="G126" s="165"/>
      <c r="H126" s="165"/>
      <c r="I126" s="165"/>
      <c r="J126" s="165"/>
    </row>
    <row r="127" spans="1:10">
      <c r="A127" s="165"/>
      <c r="B127" s="165"/>
      <c r="C127" s="165"/>
      <c r="D127" s="165"/>
      <c r="E127" s="165"/>
      <c r="F127" s="165"/>
      <c r="G127" s="165"/>
      <c r="H127" s="165"/>
      <c r="I127" s="165"/>
      <c r="J127" s="165"/>
    </row>
    <row r="128" spans="1:10">
      <c r="A128" s="165"/>
      <c r="B128" s="165"/>
      <c r="C128" s="165"/>
      <c r="D128" s="165"/>
      <c r="E128" s="165"/>
      <c r="F128" s="165"/>
      <c r="G128" s="165"/>
      <c r="H128" s="165"/>
      <c r="I128" s="165"/>
      <c r="J128" s="165"/>
    </row>
    <row r="129" spans="1:10">
      <c r="A129" s="165"/>
      <c r="B129" s="165"/>
      <c r="C129" s="165"/>
      <c r="D129" s="165"/>
      <c r="E129" s="165"/>
      <c r="F129" s="165"/>
      <c r="G129" s="165"/>
      <c r="H129" s="165"/>
      <c r="I129" s="165"/>
      <c r="J129" s="165"/>
    </row>
    <row r="130" spans="1:10">
      <c r="A130" s="165"/>
      <c r="B130" s="165"/>
      <c r="C130" s="165"/>
      <c r="D130" s="165"/>
      <c r="E130" s="165"/>
      <c r="F130" s="165"/>
      <c r="G130" s="165"/>
      <c r="H130" s="165"/>
      <c r="I130" s="165"/>
      <c r="J130" s="165"/>
    </row>
    <row r="131" spans="1:10">
      <c r="A131" s="165"/>
      <c r="B131" s="165"/>
      <c r="C131" s="165"/>
      <c r="D131" s="165"/>
      <c r="E131" s="165"/>
      <c r="F131" s="165"/>
      <c r="G131" s="165"/>
      <c r="H131" s="165"/>
      <c r="I131" s="165"/>
      <c r="J131" s="165"/>
    </row>
    <row r="132" spans="1:10">
      <c r="A132" s="165"/>
      <c r="B132" s="165"/>
      <c r="C132" s="165"/>
      <c r="D132" s="165"/>
      <c r="E132" s="165"/>
      <c r="F132" s="165"/>
      <c r="G132" s="165"/>
      <c r="H132" s="165"/>
      <c r="I132" s="165"/>
      <c r="J132" s="165"/>
    </row>
    <row r="133" spans="1:10">
      <c r="A133" s="165"/>
      <c r="B133" s="165"/>
      <c r="C133" s="165"/>
      <c r="D133" s="165"/>
      <c r="E133" s="165"/>
      <c r="F133" s="165"/>
      <c r="G133" s="165"/>
      <c r="H133" s="165"/>
      <c r="I133" s="165"/>
      <c r="J133" s="165"/>
    </row>
    <row r="134" spans="1:10">
      <c r="A134" s="165"/>
      <c r="B134" s="165"/>
      <c r="C134" s="165"/>
      <c r="D134" s="165"/>
      <c r="E134" s="165"/>
      <c r="F134" s="165"/>
      <c r="G134" s="165"/>
      <c r="H134" s="165"/>
      <c r="I134" s="165"/>
      <c r="J134" s="165"/>
    </row>
    <row r="135" spans="1:10">
      <c r="A135" s="165"/>
      <c r="B135" s="165"/>
      <c r="C135" s="165"/>
      <c r="D135" s="165"/>
      <c r="E135" s="165"/>
      <c r="F135" s="165"/>
      <c r="G135" s="165"/>
      <c r="H135" s="165"/>
      <c r="I135" s="165"/>
      <c r="J135" s="165"/>
    </row>
    <row r="136" spans="1:10">
      <c r="A136" s="165"/>
      <c r="B136" s="165"/>
      <c r="C136" s="165"/>
      <c r="D136" s="165"/>
      <c r="E136" s="165"/>
      <c r="F136" s="165"/>
      <c r="G136" s="165"/>
      <c r="H136" s="165"/>
      <c r="I136" s="165"/>
      <c r="J136" s="165"/>
    </row>
    <row r="137" spans="1:10">
      <c r="A137" s="165"/>
      <c r="B137" s="165"/>
      <c r="C137" s="165"/>
      <c r="D137" s="165"/>
      <c r="E137" s="165"/>
      <c r="F137" s="165"/>
      <c r="G137" s="165"/>
      <c r="H137" s="165"/>
      <c r="I137" s="165"/>
      <c r="J137" s="165"/>
    </row>
    <row r="138" spans="1:10">
      <c r="A138" s="165"/>
      <c r="B138" s="165"/>
      <c r="C138" s="165"/>
      <c r="D138" s="165"/>
      <c r="E138" s="165"/>
      <c r="F138" s="165"/>
      <c r="G138" s="165"/>
      <c r="H138" s="165"/>
      <c r="I138" s="165"/>
      <c r="J138" s="165"/>
    </row>
    <row r="139" spans="1:10">
      <c r="A139" s="165"/>
      <c r="B139" s="165"/>
      <c r="C139" s="165"/>
      <c r="D139" s="165"/>
      <c r="E139" s="165"/>
      <c r="F139" s="165"/>
      <c r="G139" s="165"/>
      <c r="H139" s="165"/>
      <c r="I139" s="165"/>
      <c r="J139" s="165"/>
    </row>
    <row r="140" spans="1:10">
      <c r="A140" s="165"/>
      <c r="B140" s="165"/>
      <c r="C140" s="165"/>
      <c r="D140" s="165"/>
      <c r="E140" s="165"/>
      <c r="F140" s="165"/>
      <c r="G140" s="165"/>
      <c r="H140" s="165"/>
      <c r="I140" s="165"/>
      <c r="J140" s="165"/>
    </row>
    <row r="141" spans="1:10">
      <c r="A141" s="165"/>
      <c r="B141" s="165"/>
      <c r="C141" s="165"/>
      <c r="D141" s="165"/>
      <c r="E141" s="165"/>
      <c r="F141" s="165"/>
      <c r="G141" s="165"/>
      <c r="H141" s="165"/>
      <c r="I141" s="165"/>
      <c r="J141" s="165"/>
    </row>
    <row r="142" spans="1:10">
      <c r="A142" s="165"/>
      <c r="B142" s="165"/>
      <c r="C142" s="165"/>
      <c r="D142" s="165"/>
      <c r="E142" s="165"/>
      <c r="F142" s="165"/>
      <c r="G142" s="165"/>
      <c r="H142" s="165"/>
      <c r="I142" s="165"/>
      <c r="J142" s="165"/>
    </row>
    <row r="143" spans="1:10">
      <c r="A143" s="165"/>
      <c r="B143" s="165"/>
      <c r="C143" s="165"/>
      <c r="D143" s="165"/>
      <c r="E143" s="165"/>
      <c r="F143" s="165"/>
      <c r="G143" s="165"/>
      <c r="H143" s="165"/>
      <c r="I143" s="165"/>
      <c r="J143" s="165"/>
    </row>
    <row r="144" spans="1:10">
      <c r="A144" s="165"/>
      <c r="B144" s="165"/>
      <c r="C144" s="165"/>
      <c r="D144" s="165"/>
      <c r="E144" s="165"/>
      <c r="F144" s="165"/>
      <c r="G144" s="165"/>
      <c r="H144" s="165"/>
      <c r="I144" s="165"/>
      <c r="J144" s="165"/>
    </row>
    <row r="145" spans="1:10">
      <c r="A145" s="165"/>
      <c r="B145" s="165"/>
      <c r="C145" s="165"/>
      <c r="D145" s="165"/>
      <c r="E145" s="165"/>
      <c r="F145" s="165"/>
      <c r="G145" s="165"/>
      <c r="H145" s="165"/>
      <c r="I145" s="165"/>
      <c r="J145" s="165"/>
    </row>
    <row r="146" spans="1:10">
      <c r="A146" s="165"/>
      <c r="B146" s="165"/>
      <c r="C146" s="165"/>
      <c r="D146" s="165"/>
      <c r="E146" s="165"/>
      <c r="F146" s="165"/>
      <c r="G146" s="165"/>
      <c r="H146" s="165"/>
      <c r="I146" s="165"/>
      <c r="J146" s="165"/>
    </row>
    <row r="147" spans="1:10">
      <c r="A147" s="165"/>
      <c r="B147" s="165"/>
      <c r="C147" s="165"/>
      <c r="D147" s="165"/>
      <c r="E147" s="165"/>
      <c r="F147" s="165"/>
      <c r="G147" s="165"/>
      <c r="H147" s="165"/>
      <c r="I147" s="165"/>
      <c r="J147" s="165"/>
    </row>
    <row r="148" spans="1:10">
      <c r="A148" s="165"/>
      <c r="B148" s="165"/>
      <c r="C148" s="165"/>
      <c r="D148" s="165"/>
      <c r="E148" s="165"/>
      <c r="F148" s="165"/>
      <c r="G148" s="165"/>
      <c r="H148" s="165"/>
      <c r="I148" s="165"/>
      <c r="J148" s="165"/>
    </row>
    <row r="149" spans="1:10">
      <c r="A149" s="165"/>
      <c r="B149" s="165"/>
      <c r="C149" s="165"/>
      <c r="D149" s="165"/>
      <c r="E149" s="165"/>
      <c r="F149" s="165"/>
      <c r="G149" s="165"/>
      <c r="H149" s="165"/>
      <c r="I149" s="165"/>
      <c r="J149" s="165"/>
    </row>
    <row r="150" spans="1:10">
      <c r="A150" s="165"/>
      <c r="B150" s="165"/>
      <c r="C150" s="165"/>
      <c r="D150" s="165"/>
      <c r="E150" s="165"/>
      <c r="F150" s="165"/>
      <c r="G150" s="165"/>
      <c r="H150" s="165"/>
      <c r="I150" s="165"/>
      <c r="J150" s="165"/>
    </row>
    <row r="151" spans="1:10">
      <c r="A151" s="165"/>
      <c r="B151" s="165"/>
      <c r="C151" s="165"/>
      <c r="D151" s="165"/>
      <c r="E151" s="165"/>
      <c r="F151" s="165"/>
      <c r="G151" s="165"/>
      <c r="H151" s="165"/>
      <c r="I151" s="165"/>
      <c r="J151" s="165"/>
    </row>
    <row r="152" spans="1:10">
      <c r="A152" s="165"/>
      <c r="B152" s="165"/>
      <c r="C152" s="165"/>
      <c r="D152" s="165"/>
      <c r="E152" s="165"/>
      <c r="F152" s="165"/>
      <c r="G152" s="165"/>
      <c r="H152" s="165"/>
      <c r="I152" s="165"/>
      <c r="J152" s="165"/>
    </row>
    <row r="153" spans="1:10">
      <c r="A153" s="165"/>
      <c r="B153" s="165"/>
      <c r="C153" s="165"/>
      <c r="D153" s="165"/>
      <c r="E153" s="165"/>
      <c r="F153" s="165"/>
      <c r="G153" s="165"/>
      <c r="H153" s="165"/>
      <c r="I153" s="165"/>
      <c r="J153" s="165"/>
    </row>
    <row r="154" spans="1:10">
      <c r="A154" s="165"/>
      <c r="B154" s="165"/>
      <c r="C154" s="165"/>
      <c r="D154" s="165"/>
      <c r="E154" s="165"/>
      <c r="F154" s="165"/>
      <c r="G154" s="165"/>
      <c r="H154" s="165"/>
      <c r="I154" s="165"/>
      <c r="J154" s="165"/>
    </row>
    <row r="155" spans="1:10">
      <c r="A155" s="165"/>
      <c r="B155" s="165"/>
      <c r="C155" s="165"/>
      <c r="D155" s="165"/>
      <c r="E155" s="165"/>
      <c r="F155" s="165"/>
      <c r="G155" s="165"/>
      <c r="H155" s="165"/>
      <c r="I155" s="165"/>
      <c r="J155" s="165"/>
    </row>
    <row r="156" spans="1:10">
      <c r="A156" s="165"/>
      <c r="B156" s="165"/>
      <c r="C156" s="165"/>
      <c r="D156" s="165"/>
      <c r="E156" s="165"/>
      <c r="F156" s="165"/>
      <c r="G156" s="165"/>
      <c r="H156" s="165"/>
      <c r="I156" s="165"/>
      <c r="J156" s="165"/>
    </row>
    <row r="157" spans="1:10">
      <c r="A157" s="165"/>
      <c r="B157" s="165"/>
      <c r="C157" s="165"/>
      <c r="D157" s="165"/>
      <c r="E157" s="165"/>
      <c r="F157" s="165"/>
      <c r="G157" s="165"/>
      <c r="H157" s="165"/>
      <c r="I157" s="165"/>
      <c r="J157" s="165"/>
    </row>
    <row r="158" spans="1:10">
      <c r="A158" s="165"/>
      <c r="B158" s="165"/>
      <c r="C158" s="165"/>
      <c r="D158" s="165"/>
      <c r="E158" s="165"/>
      <c r="F158" s="165"/>
      <c r="G158" s="165"/>
      <c r="H158" s="165"/>
      <c r="I158" s="165"/>
      <c r="J158" s="165"/>
    </row>
    <row r="159" spans="1:10">
      <c r="A159" s="165"/>
      <c r="B159" s="165"/>
      <c r="C159" s="165"/>
      <c r="D159" s="165"/>
      <c r="E159" s="165"/>
      <c r="F159" s="165"/>
      <c r="G159" s="165"/>
      <c r="H159" s="165"/>
      <c r="I159" s="165"/>
      <c r="J159" s="165"/>
    </row>
    <row r="160" spans="1:10">
      <c r="A160" s="165"/>
      <c r="B160" s="165"/>
      <c r="C160" s="165"/>
      <c r="D160" s="165"/>
      <c r="E160" s="165"/>
      <c r="F160" s="165"/>
      <c r="G160" s="165"/>
      <c r="H160" s="165"/>
      <c r="I160" s="165"/>
      <c r="J160" s="165"/>
    </row>
    <row r="161" spans="1:10">
      <c r="A161" s="165"/>
      <c r="B161" s="165"/>
      <c r="C161" s="165"/>
      <c r="D161" s="165"/>
      <c r="E161" s="165"/>
      <c r="F161" s="165"/>
      <c r="G161" s="165"/>
      <c r="H161" s="165"/>
      <c r="I161" s="165"/>
      <c r="J161" s="165"/>
    </row>
    <row r="162" spans="1:10">
      <c r="A162" s="165"/>
      <c r="B162" s="165"/>
      <c r="C162" s="165"/>
      <c r="D162" s="165"/>
      <c r="E162" s="165"/>
      <c r="F162" s="165"/>
      <c r="G162" s="165"/>
      <c r="H162" s="165"/>
      <c r="I162" s="165"/>
      <c r="J162" s="165"/>
    </row>
    <row r="163" spans="1:10">
      <c r="A163" s="165"/>
      <c r="B163" s="165"/>
      <c r="C163" s="165"/>
      <c r="D163" s="165"/>
      <c r="E163" s="165"/>
      <c r="F163" s="165"/>
      <c r="G163" s="165"/>
      <c r="H163" s="165"/>
      <c r="I163" s="165"/>
      <c r="J163" s="165"/>
    </row>
    <row r="164" spans="1:10">
      <c r="A164" s="165"/>
      <c r="B164" s="165"/>
      <c r="C164" s="165"/>
      <c r="D164" s="165"/>
      <c r="E164" s="165"/>
      <c r="F164" s="165"/>
      <c r="G164" s="165"/>
      <c r="H164" s="165"/>
      <c r="I164" s="165"/>
      <c r="J164" s="165"/>
    </row>
    <row r="165" spans="1:10">
      <c r="A165" s="165"/>
      <c r="B165" s="165"/>
      <c r="C165" s="165"/>
      <c r="D165" s="165"/>
      <c r="E165" s="165"/>
      <c r="F165" s="165"/>
      <c r="G165" s="165"/>
      <c r="H165" s="165"/>
      <c r="I165" s="165"/>
      <c r="J165" s="165"/>
    </row>
    <row r="166" spans="1:10">
      <c r="A166" s="165"/>
      <c r="B166" s="165"/>
      <c r="C166" s="165"/>
      <c r="D166" s="165"/>
      <c r="E166" s="165"/>
      <c r="F166" s="165"/>
      <c r="G166" s="165"/>
      <c r="H166" s="165"/>
      <c r="I166" s="165"/>
      <c r="J166" s="165"/>
    </row>
    <row r="167" spans="1:10">
      <c r="A167" s="165"/>
      <c r="B167" s="165"/>
      <c r="C167" s="165"/>
      <c r="D167" s="165"/>
      <c r="E167" s="165"/>
      <c r="F167" s="165"/>
      <c r="G167" s="165"/>
      <c r="H167" s="165"/>
      <c r="I167" s="165"/>
      <c r="J167" s="165"/>
    </row>
    <row r="168" spans="1:10">
      <c r="A168" s="165"/>
      <c r="B168" s="165"/>
      <c r="C168" s="165"/>
      <c r="D168" s="165"/>
      <c r="E168" s="165"/>
      <c r="F168" s="165"/>
      <c r="G168" s="165"/>
      <c r="H168" s="165"/>
      <c r="I168" s="165"/>
      <c r="J168" s="165"/>
    </row>
    <row r="169" spans="1:10">
      <c r="A169" s="165"/>
      <c r="B169" s="165"/>
      <c r="C169" s="165"/>
      <c r="D169" s="165"/>
      <c r="E169" s="165"/>
      <c r="F169" s="165"/>
      <c r="G169" s="165"/>
      <c r="H169" s="165"/>
      <c r="I169" s="165"/>
      <c r="J169" s="165"/>
    </row>
    <row r="170" spans="1:10">
      <c r="A170" s="165"/>
      <c r="B170" s="165"/>
      <c r="C170" s="165"/>
      <c r="D170" s="165"/>
      <c r="E170" s="165"/>
      <c r="F170" s="165"/>
      <c r="G170" s="165"/>
      <c r="H170" s="165"/>
      <c r="I170" s="165"/>
      <c r="J170" s="165"/>
    </row>
    <row r="171" spans="1:10">
      <c r="A171" s="165"/>
      <c r="B171" s="165"/>
      <c r="C171" s="165"/>
      <c r="D171" s="165"/>
      <c r="E171" s="165"/>
      <c r="F171" s="165"/>
      <c r="G171" s="165"/>
      <c r="H171" s="165"/>
      <c r="I171" s="165"/>
      <c r="J171" s="165"/>
    </row>
    <row r="172" spans="1:10">
      <c r="A172" s="165"/>
      <c r="B172" s="165"/>
      <c r="C172" s="165"/>
      <c r="D172" s="165"/>
      <c r="E172" s="165"/>
      <c r="F172" s="165"/>
      <c r="G172" s="165"/>
      <c r="H172" s="165"/>
      <c r="I172" s="165"/>
      <c r="J172" s="165"/>
    </row>
    <row r="173" spans="1:10">
      <c r="A173" s="165"/>
      <c r="B173" s="165"/>
      <c r="C173" s="165"/>
      <c r="D173" s="165"/>
      <c r="E173" s="165"/>
      <c r="F173" s="165"/>
      <c r="G173" s="165"/>
      <c r="H173" s="165"/>
      <c r="I173" s="165"/>
      <c r="J173" s="165"/>
    </row>
    <row r="174" spans="1:10">
      <c r="A174" s="165"/>
      <c r="B174" s="165"/>
      <c r="C174" s="165"/>
      <c r="D174" s="165"/>
      <c r="E174" s="165"/>
      <c r="F174" s="165"/>
      <c r="G174" s="165"/>
      <c r="H174" s="165"/>
      <c r="I174" s="165"/>
      <c r="J174" s="165"/>
    </row>
    <row r="175" spans="1:10">
      <c r="A175" s="165"/>
      <c r="B175" s="165"/>
      <c r="C175" s="165"/>
      <c r="D175" s="165"/>
      <c r="E175" s="165"/>
      <c r="F175" s="165"/>
      <c r="G175" s="165"/>
      <c r="H175" s="165"/>
      <c r="I175" s="165"/>
      <c r="J175" s="165"/>
    </row>
    <row r="176" spans="1:10">
      <c r="A176" s="165"/>
      <c r="B176" s="165"/>
      <c r="C176" s="165"/>
      <c r="D176" s="165"/>
      <c r="E176" s="165"/>
      <c r="F176" s="165"/>
      <c r="G176" s="165"/>
      <c r="H176" s="165"/>
      <c r="I176" s="165"/>
      <c r="J176" s="165"/>
    </row>
    <row r="177" spans="1:10">
      <c r="A177" s="165"/>
      <c r="B177" s="165"/>
      <c r="C177" s="165"/>
      <c r="D177" s="165"/>
      <c r="E177" s="165"/>
      <c r="F177" s="165"/>
      <c r="G177" s="165"/>
      <c r="H177" s="165"/>
      <c r="I177" s="165"/>
      <c r="J177" s="165"/>
    </row>
    <row r="178" spans="1:10">
      <c r="A178" s="165"/>
      <c r="B178" s="165"/>
      <c r="C178" s="165"/>
      <c r="D178" s="165"/>
      <c r="E178" s="165"/>
      <c r="F178" s="165"/>
      <c r="G178" s="165"/>
      <c r="H178" s="165"/>
      <c r="I178" s="165"/>
      <c r="J178" s="165"/>
    </row>
    <row r="179" spans="1:10">
      <c r="A179" s="165"/>
      <c r="B179" s="165"/>
      <c r="C179" s="165"/>
      <c r="D179" s="165"/>
      <c r="E179" s="165"/>
      <c r="F179" s="165"/>
      <c r="G179" s="165"/>
      <c r="H179" s="165"/>
      <c r="I179" s="165"/>
      <c r="J179" s="165"/>
    </row>
    <row r="180" spans="1:10">
      <c r="A180" s="165"/>
      <c r="B180" s="165"/>
      <c r="C180" s="165"/>
      <c r="D180" s="165"/>
      <c r="E180" s="165"/>
      <c r="F180" s="165"/>
      <c r="G180" s="165"/>
      <c r="H180" s="165"/>
      <c r="I180" s="165"/>
      <c r="J180" s="165"/>
    </row>
    <row r="181" spans="1:10">
      <c r="A181" s="165"/>
      <c r="B181" s="165"/>
      <c r="C181" s="165"/>
      <c r="D181" s="165"/>
      <c r="E181" s="165"/>
      <c r="F181" s="165"/>
      <c r="G181" s="165"/>
      <c r="H181" s="165"/>
      <c r="I181" s="165"/>
      <c r="J181" s="165"/>
    </row>
    <row r="182" spans="1:10">
      <c r="A182" s="165"/>
      <c r="B182" s="165"/>
      <c r="C182" s="165"/>
      <c r="D182" s="165"/>
      <c r="E182" s="165"/>
      <c r="F182" s="165"/>
      <c r="G182" s="165"/>
      <c r="H182" s="165"/>
      <c r="I182" s="165"/>
      <c r="J182" s="165"/>
    </row>
    <row r="183" spans="1:10">
      <c r="A183" s="165"/>
      <c r="B183" s="165"/>
      <c r="C183" s="165"/>
      <c r="D183" s="165"/>
      <c r="E183" s="165"/>
      <c r="F183" s="165"/>
      <c r="G183" s="165"/>
      <c r="H183" s="165"/>
      <c r="I183" s="165"/>
      <c r="J183" s="165"/>
    </row>
    <row r="184" spans="1:10">
      <c r="A184" s="165"/>
      <c r="B184" s="165"/>
      <c r="C184" s="165"/>
      <c r="D184" s="165"/>
      <c r="E184" s="165"/>
      <c r="F184" s="165"/>
      <c r="G184" s="165"/>
      <c r="H184" s="165"/>
      <c r="I184" s="165"/>
      <c r="J184" s="165"/>
    </row>
    <row r="185" spans="1:10">
      <c r="A185" s="165"/>
      <c r="B185" s="165"/>
      <c r="C185" s="165"/>
      <c r="D185" s="165"/>
      <c r="E185" s="165"/>
      <c r="F185" s="165"/>
      <c r="G185" s="165"/>
      <c r="H185" s="165"/>
      <c r="I185" s="165"/>
      <c r="J185" s="165"/>
    </row>
    <row r="186" spans="1:10">
      <c r="A186" s="165"/>
      <c r="B186" s="165"/>
      <c r="C186" s="165"/>
      <c r="D186" s="165"/>
      <c r="E186" s="165"/>
      <c r="F186" s="165"/>
      <c r="G186" s="165"/>
      <c r="H186" s="165"/>
      <c r="I186" s="165"/>
      <c r="J186" s="165"/>
    </row>
    <row r="187" spans="1:10">
      <c r="A187" s="165"/>
      <c r="B187" s="165"/>
      <c r="C187" s="165"/>
      <c r="D187" s="165"/>
      <c r="E187" s="165"/>
      <c r="F187" s="165"/>
      <c r="G187" s="165"/>
      <c r="H187" s="165"/>
      <c r="I187" s="165"/>
      <c r="J187" s="165"/>
    </row>
    <row r="188" spans="1:10">
      <c r="A188" s="165"/>
      <c r="B188" s="165"/>
      <c r="C188" s="165"/>
      <c r="D188" s="165"/>
      <c r="E188" s="165"/>
      <c r="F188" s="165"/>
      <c r="G188" s="165"/>
      <c r="H188" s="165"/>
      <c r="I188" s="165"/>
      <c r="J188" s="165"/>
    </row>
    <row r="189" spans="1:10">
      <c r="A189" s="165"/>
      <c r="B189" s="165"/>
      <c r="C189" s="165"/>
      <c r="D189" s="165"/>
      <c r="E189" s="165"/>
      <c r="F189" s="165"/>
      <c r="G189" s="165"/>
      <c r="H189" s="165"/>
      <c r="I189" s="165"/>
      <c r="J189" s="165"/>
    </row>
    <row r="190" spans="1:10">
      <c r="A190" s="165"/>
      <c r="B190" s="165"/>
      <c r="C190" s="165"/>
      <c r="D190" s="165"/>
      <c r="E190" s="165"/>
      <c r="F190" s="165"/>
      <c r="G190" s="165"/>
      <c r="H190" s="165"/>
      <c r="I190" s="165"/>
      <c r="J190" s="165"/>
    </row>
    <row r="191" spans="1:10">
      <c r="A191" s="165"/>
      <c r="B191" s="165"/>
      <c r="C191" s="165"/>
      <c r="D191" s="165"/>
      <c r="E191" s="165"/>
      <c r="F191" s="165"/>
      <c r="G191" s="165"/>
      <c r="H191" s="165"/>
      <c r="I191" s="165"/>
      <c r="J191" s="165"/>
    </row>
    <row r="192" spans="1:10">
      <c r="A192" s="165"/>
      <c r="B192" s="165"/>
      <c r="C192" s="165"/>
      <c r="D192" s="165"/>
      <c r="E192" s="165"/>
      <c r="F192" s="165"/>
      <c r="G192" s="165"/>
      <c r="H192" s="165"/>
      <c r="I192" s="165"/>
      <c r="J192" s="165"/>
    </row>
    <row r="193" spans="1:10">
      <c r="A193" s="165"/>
      <c r="B193" s="165"/>
      <c r="C193" s="165"/>
      <c r="D193" s="165"/>
      <c r="E193" s="165"/>
      <c r="F193" s="165"/>
      <c r="G193" s="165"/>
      <c r="H193" s="165"/>
      <c r="I193" s="165"/>
      <c r="J193" s="165"/>
    </row>
    <row r="194" spans="1:10">
      <c r="A194" s="165"/>
      <c r="B194" s="165"/>
      <c r="C194" s="165"/>
      <c r="D194" s="165"/>
      <c r="E194" s="165"/>
      <c r="F194" s="165"/>
      <c r="G194" s="165"/>
      <c r="H194" s="165"/>
      <c r="I194" s="165"/>
      <c r="J194" s="165"/>
    </row>
    <row r="195" spans="1:10">
      <c r="A195" s="165"/>
      <c r="B195" s="165"/>
      <c r="C195" s="165"/>
      <c r="D195" s="165"/>
      <c r="E195" s="165"/>
      <c r="F195" s="165"/>
      <c r="G195" s="165"/>
      <c r="H195" s="165"/>
      <c r="I195" s="165"/>
      <c r="J195" s="165"/>
    </row>
    <row r="196" spans="1:10">
      <c r="A196" s="165"/>
      <c r="B196" s="165"/>
      <c r="C196" s="165"/>
      <c r="D196" s="165"/>
      <c r="E196" s="165"/>
      <c r="F196" s="165"/>
      <c r="G196" s="165"/>
      <c r="H196" s="165"/>
      <c r="I196" s="165"/>
      <c r="J196" s="165"/>
    </row>
    <row r="197" spans="1:10">
      <c r="A197" s="165"/>
      <c r="B197" s="165"/>
      <c r="C197" s="165"/>
      <c r="D197" s="165"/>
      <c r="E197" s="165"/>
      <c r="F197" s="165"/>
      <c r="G197" s="165"/>
      <c r="H197" s="165"/>
      <c r="I197" s="165"/>
      <c r="J197" s="165"/>
    </row>
    <row r="198" spans="1:10">
      <c r="A198" s="165"/>
      <c r="B198" s="165"/>
      <c r="C198" s="165"/>
      <c r="D198" s="165"/>
      <c r="E198" s="165"/>
      <c r="F198" s="165"/>
      <c r="G198" s="165"/>
      <c r="H198" s="165"/>
      <c r="I198" s="165"/>
      <c r="J198" s="165"/>
    </row>
    <row r="199" spans="1:10">
      <c r="A199" s="165"/>
      <c r="B199" s="165"/>
      <c r="C199" s="165"/>
      <c r="D199" s="165"/>
      <c r="E199" s="165"/>
      <c r="F199" s="165"/>
      <c r="G199" s="165"/>
      <c r="H199" s="165"/>
      <c r="I199" s="165"/>
      <c r="J199" s="165"/>
    </row>
    <row r="200" spans="1:10">
      <c r="A200" s="165"/>
      <c r="B200" s="165"/>
      <c r="C200" s="165"/>
      <c r="D200" s="165"/>
      <c r="E200" s="165"/>
      <c r="F200" s="165"/>
      <c r="G200" s="165"/>
      <c r="H200" s="165"/>
      <c r="I200" s="165"/>
      <c r="J200" s="165"/>
    </row>
    <row r="201" spans="1:10">
      <c r="A201" s="165"/>
      <c r="B201" s="165"/>
      <c r="C201" s="165"/>
      <c r="D201" s="165"/>
      <c r="E201" s="165"/>
      <c r="F201" s="165"/>
      <c r="G201" s="165"/>
      <c r="H201" s="165"/>
      <c r="I201" s="165"/>
      <c r="J201" s="165"/>
    </row>
    <row r="202" spans="1:10">
      <c r="A202" s="165"/>
      <c r="B202" s="165"/>
      <c r="C202" s="165"/>
      <c r="D202" s="165"/>
      <c r="E202" s="165"/>
      <c r="F202" s="165"/>
      <c r="G202" s="165"/>
      <c r="H202" s="165"/>
      <c r="I202" s="165"/>
      <c r="J202" s="165"/>
    </row>
    <row r="203" spans="1:10">
      <c r="A203" s="165"/>
      <c r="B203" s="165"/>
      <c r="C203" s="165"/>
      <c r="D203" s="165"/>
      <c r="E203" s="165"/>
      <c r="F203" s="165"/>
      <c r="G203" s="165"/>
      <c r="H203" s="165"/>
      <c r="I203" s="165"/>
      <c r="J203" s="165"/>
    </row>
    <row r="204" spans="1:10">
      <c r="A204" s="165"/>
      <c r="B204" s="165"/>
      <c r="C204" s="165"/>
      <c r="D204" s="165"/>
      <c r="E204" s="165"/>
      <c r="F204" s="165"/>
      <c r="G204" s="165"/>
      <c r="H204" s="165"/>
      <c r="I204" s="165"/>
      <c r="J204" s="165"/>
    </row>
    <row r="205" spans="1:10">
      <c r="A205" s="165"/>
      <c r="B205" s="165"/>
      <c r="C205" s="165"/>
      <c r="D205" s="165"/>
      <c r="E205" s="165"/>
      <c r="F205" s="165"/>
      <c r="G205" s="165"/>
      <c r="H205" s="165"/>
      <c r="I205" s="165"/>
      <c r="J205" s="165"/>
    </row>
    <row r="206" spans="1:10">
      <c r="A206" s="165"/>
      <c r="B206" s="165"/>
      <c r="C206" s="165"/>
      <c r="D206" s="165"/>
      <c r="E206" s="165"/>
      <c r="F206" s="165"/>
      <c r="G206" s="165"/>
      <c r="H206" s="165"/>
      <c r="I206" s="165"/>
      <c r="J206" s="165"/>
    </row>
  </sheetData>
  <phoneticPr fontId="18" type="noConversion"/>
  <pageMargins left="0.78740157480314965" right="0.39370078740157483" top="0.98425196850393704" bottom="0.98425196850393704" header="0.51181102362204722" footer="0.51181102362204722"/>
  <pageSetup paperSize="5" scale="70" orientation="portrait" horizontalDpi="300" verticalDpi="300" r:id="rId1"/>
  <headerFooter alignWithMargins="0"/>
  <ignoredErrors>
    <ignoredError sqref="H16"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41"/>
  <sheetViews>
    <sheetView zoomScale="75" zoomScaleNormal="75" workbookViewId="0">
      <selection activeCell="S16" sqref="S16"/>
    </sheetView>
  </sheetViews>
  <sheetFormatPr baseColWidth="10" defaultRowHeight="12.75"/>
  <cols>
    <col min="1" max="1" width="21.7109375" customWidth="1"/>
    <col min="2" max="20" width="4.7109375" customWidth="1"/>
    <col min="21" max="28" width="6" customWidth="1"/>
  </cols>
  <sheetData>
    <row r="1" spans="1:20" ht="18" customHeight="1">
      <c r="A1" s="1"/>
      <c r="B1" s="12"/>
      <c r="C1" s="12"/>
      <c r="D1" s="12"/>
      <c r="E1" s="12"/>
      <c r="F1" s="12"/>
      <c r="G1" s="12"/>
      <c r="H1" s="12"/>
      <c r="I1" s="12"/>
      <c r="J1" s="12"/>
      <c r="K1" s="12"/>
      <c r="L1" s="12"/>
      <c r="M1" s="12"/>
      <c r="N1" s="12"/>
      <c r="O1" s="12"/>
      <c r="P1" s="12"/>
      <c r="Q1" s="12"/>
      <c r="R1" s="12"/>
      <c r="S1" s="12"/>
      <c r="T1" s="12"/>
    </row>
    <row r="4" spans="1:20" ht="117.75" customHeight="1">
      <c r="A4" s="958" t="s">
        <v>388</v>
      </c>
      <c r="B4" s="959" t="s">
        <v>389</v>
      </c>
      <c r="C4" s="959" t="s">
        <v>1130</v>
      </c>
      <c r="D4" s="959" t="s">
        <v>1133</v>
      </c>
      <c r="E4" s="959" t="s">
        <v>384</v>
      </c>
      <c r="F4" s="959" t="s">
        <v>380</v>
      </c>
      <c r="G4" s="959" t="s">
        <v>387</v>
      </c>
      <c r="H4" s="959" t="s">
        <v>390</v>
      </c>
      <c r="I4" s="959" t="s">
        <v>1132</v>
      </c>
      <c r="J4" s="959" t="s">
        <v>1131</v>
      </c>
      <c r="K4" s="959" t="s">
        <v>371</v>
      </c>
      <c r="L4" s="959" t="s">
        <v>352</v>
      </c>
      <c r="M4" s="959" t="s">
        <v>392</v>
      </c>
      <c r="N4" s="959" t="s">
        <v>393</v>
      </c>
      <c r="O4" s="959" t="s">
        <v>369</v>
      </c>
      <c r="P4" s="959" t="s">
        <v>374</v>
      </c>
      <c r="Q4" s="959" t="s">
        <v>394</v>
      </c>
      <c r="R4" s="959" t="s">
        <v>395</v>
      </c>
      <c r="S4" s="959" t="s">
        <v>376</v>
      </c>
      <c r="T4" s="960" t="s">
        <v>396</v>
      </c>
    </row>
    <row r="5" spans="1:20">
      <c r="A5" s="961" t="s">
        <v>389</v>
      </c>
      <c r="B5" s="954">
        <v>0</v>
      </c>
      <c r="C5" s="13"/>
      <c r="D5" s="13"/>
      <c r="E5" s="13"/>
      <c r="F5" s="13"/>
      <c r="G5" s="13"/>
      <c r="H5" s="13"/>
      <c r="I5" s="13"/>
      <c r="J5" s="13"/>
      <c r="K5" s="13"/>
      <c r="L5" s="13"/>
      <c r="M5" s="13"/>
      <c r="N5" s="13"/>
      <c r="O5" s="13"/>
      <c r="P5" s="13"/>
      <c r="Q5" s="13"/>
      <c r="R5" s="13"/>
      <c r="S5" s="13"/>
      <c r="T5" s="11"/>
    </row>
    <row r="6" spans="1:20">
      <c r="A6" s="961" t="s">
        <v>1130</v>
      </c>
      <c r="B6" s="951">
        <v>1</v>
      </c>
      <c r="C6" s="951">
        <v>0</v>
      </c>
      <c r="D6" s="13"/>
      <c r="E6" s="13"/>
      <c r="F6" s="13"/>
      <c r="G6" s="13"/>
      <c r="H6" s="13"/>
      <c r="I6" s="13"/>
      <c r="J6" s="13"/>
      <c r="K6" s="13"/>
      <c r="L6" s="13"/>
      <c r="M6" s="13"/>
      <c r="N6" s="13"/>
      <c r="O6" s="13"/>
      <c r="P6" s="13"/>
      <c r="Q6" s="13"/>
      <c r="R6" s="13"/>
      <c r="S6" s="13"/>
      <c r="T6" s="14"/>
    </row>
    <row r="7" spans="1:20">
      <c r="A7" s="961" t="s">
        <v>599</v>
      </c>
      <c r="B7" s="952">
        <v>1</v>
      </c>
      <c r="C7" s="951"/>
      <c r="D7" s="13"/>
      <c r="E7" s="13"/>
      <c r="F7" s="13"/>
      <c r="G7" s="13"/>
      <c r="H7" s="13"/>
      <c r="I7" s="13"/>
      <c r="J7" s="13"/>
      <c r="K7" s="13"/>
      <c r="L7" s="13"/>
      <c r="M7" s="13"/>
      <c r="N7" s="13"/>
      <c r="O7" s="13"/>
      <c r="P7" s="13"/>
      <c r="Q7" s="13"/>
      <c r="R7" s="13"/>
      <c r="S7" s="13"/>
      <c r="T7" s="14"/>
    </row>
    <row r="8" spans="1:20">
      <c r="A8" s="961" t="s">
        <v>1351</v>
      </c>
      <c r="B8" s="951">
        <v>1</v>
      </c>
      <c r="C8" s="951">
        <v>1</v>
      </c>
      <c r="D8" s="13"/>
      <c r="E8" s="13"/>
      <c r="F8" s="13"/>
      <c r="G8" s="13"/>
      <c r="H8" s="13"/>
      <c r="I8" s="13"/>
      <c r="J8" s="13"/>
      <c r="K8" s="13"/>
      <c r="L8" s="13"/>
      <c r="M8" s="13"/>
      <c r="N8" s="13"/>
      <c r="O8" s="13"/>
      <c r="P8" s="13"/>
      <c r="Q8" s="13"/>
      <c r="R8" s="13"/>
      <c r="S8" s="13"/>
      <c r="T8" s="14"/>
    </row>
    <row r="9" spans="1:20">
      <c r="A9" s="961" t="s">
        <v>1129</v>
      </c>
      <c r="B9" s="951">
        <v>0</v>
      </c>
      <c r="C9" s="951">
        <v>1</v>
      </c>
      <c r="D9" s="954">
        <v>0</v>
      </c>
      <c r="E9" s="13"/>
      <c r="F9" s="13"/>
      <c r="G9" s="13"/>
      <c r="H9" s="13"/>
      <c r="I9" s="13"/>
      <c r="J9" s="13"/>
      <c r="K9" s="13"/>
      <c r="L9" s="13"/>
      <c r="M9" s="13"/>
      <c r="N9" s="13"/>
      <c r="O9" s="13"/>
      <c r="P9" s="13"/>
      <c r="Q9" s="13"/>
      <c r="R9" s="13"/>
      <c r="S9" s="13"/>
      <c r="T9" s="14"/>
    </row>
    <row r="10" spans="1:20">
      <c r="A10" s="961" t="s">
        <v>378</v>
      </c>
      <c r="B10" s="951">
        <v>30</v>
      </c>
      <c r="C10" s="951">
        <v>31</v>
      </c>
      <c r="D10" s="951">
        <v>30</v>
      </c>
      <c r="E10" s="13"/>
      <c r="F10" s="13"/>
      <c r="G10" s="13"/>
      <c r="H10" s="13"/>
      <c r="I10" s="13"/>
      <c r="J10" s="13"/>
      <c r="K10" s="13"/>
      <c r="L10" s="13"/>
      <c r="M10" s="13"/>
      <c r="N10" s="13"/>
      <c r="O10" s="13"/>
      <c r="P10" s="13"/>
      <c r="Q10" s="13"/>
      <c r="R10" s="13"/>
      <c r="S10" s="13"/>
      <c r="T10" s="14"/>
    </row>
    <row r="11" spans="1:20">
      <c r="A11" s="961" t="s">
        <v>384</v>
      </c>
      <c r="B11" s="951">
        <v>5</v>
      </c>
      <c r="C11" s="951">
        <v>6</v>
      </c>
      <c r="D11" s="951">
        <v>5</v>
      </c>
      <c r="E11" s="954">
        <v>0</v>
      </c>
      <c r="F11" s="13"/>
      <c r="G11" s="13"/>
      <c r="H11" s="13"/>
      <c r="I11" s="13"/>
      <c r="J11" s="13"/>
      <c r="K11" s="13"/>
      <c r="L11" s="13"/>
      <c r="M11" s="13"/>
      <c r="N11" s="13"/>
      <c r="O11" s="13"/>
      <c r="P11" s="13"/>
      <c r="Q11" s="13"/>
      <c r="R11" s="13"/>
      <c r="S11" s="13"/>
      <c r="T11" s="14"/>
    </row>
    <row r="12" spans="1:20">
      <c r="A12" s="961" t="s">
        <v>598</v>
      </c>
      <c r="B12" s="951">
        <v>13</v>
      </c>
      <c r="C12" s="951">
        <v>14</v>
      </c>
      <c r="D12" s="951">
        <v>13</v>
      </c>
      <c r="E12" s="951">
        <v>8</v>
      </c>
      <c r="F12" s="13"/>
      <c r="G12" s="13"/>
      <c r="H12" s="13"/>
      <c r="I12" s="13"/>
      <c r="J12" s="13"/>
      <c r="K12" s="13"/>
      <c r="L12" s="13"/>
      <c r="M12" s="13"/>
      <c r="N12" s="13"/>
      <c r="O12" s="13"/>
      <c r="P12" s="13"/>
      <c r="Q12" s="13"/>
      <c r="R12" s="13"/>
      <c r="S12" s="13"/>
      <c r="T12" s="14"/>
    </row>
    <row r="13" spans="1:20">
      <c r="A13" s="961" t="s">
        <v>383</v>
      </c>
      <c r="B13" s="951">
        <v>9</v>
      </c>
      <c r="C13" s="951">
        <v>10</v>
      </c>
      <c r="D13" s="951">
        <v>9</v>
      </c>
      <c r="E13" s="951">
        <v>4</v>
      </c>
      <c r="F13" s="13"/>
      <c r="G13" s="13"/>
      <c r="H13" s="13"/>
      <c r="I13" s="13"/>
      <c r="J13" s="13"/>
      <c r="K13" s="13"/>
      <c r="L13" s="13"/>
      <c r="M13" s="13"/>
      <c r="N13" s="13"/>
      <c r="O13" s="13"/>
      <c r="P13" s="13"/>
      <c r="Q13" s="13"/>
      <c r="R13" s="13"/>
      <c r="S13" s="13"/>
      <c r="T13" s="14"/>
    </row>
    <row r="14" spans="1:20">
      <c r="A14" s="961" t="s">
        <v>385</v>
      </c>
      <c r="B14" s="951">
        <v>20</v>
      </c>
      <c r="C14" s="951">
        <v>21</v>
      </c>
      <c r="D14" s="951">
        <v>20</v>
      </c>
      <c r="E14" s="951">
        <v>15</v>
      </c>
      <c r="F14" s="13"/>
      <c r="G14" s="13"/>
      <c r="H14" s="13"/>
      <c r="I14" s="13"/>
      <c r="J14" s="13"/>
      <c r="K14" s="13"/>
      <c r="L14" s="13"/>
      <c r="M14" s="13"/>
      <c r="N14" s="13"/>
      <c r="O14" s="13"/>
      <c r="P14" s="13"/>
      <c r="Q14" s="13"/>
      <c r="R14" s="13"/>
      <c r="S14" s="13"/>
      <c r="T14" s="14"/>
    </row>
    <row r="15" spans="1:20">
      <c r="A15" s="961" t="s">
        <v>386</v>
      </c>
      <c r="B15" s="951">
        <v>34</v>
      </c>
      <c r="C15" s="951">
        <v>35</v>
      </c>
      <c r="D15" s="951">
        <v>34</v>
      </c>
      <c r="E15" s="951">
        <v>29</v>
      </c>
      <c r="F15" s="13"/>
      <c r="G15" s="13"/>
      <c r="H15" s="13"/>
      <c r="I15" s="13"/>
      <c r="J15" s="13"/>
      <c r="K15" s="13"/>
      <c r="L15" s="13"/>
      <c r="M15" s="13"/>
      <c r="N15" s="13"/>
      <c r="O15" s="13"/>
      <c r="P15" s="13"/>
      <c r="Q15" s="13"/>
      <c r="R15" s="13"/>
      <c r="S15" s="13"/>
      <c r="T15" s="14"/>
    </row>
    <row r="16" spans="1:20">
      <c r="A16" s="961" t="s">
        <v>380</v>
      </c>
      <c r="B16" s="951">
        <v>4</v>
      </c>
      <c r="C16" s="951">
        <v>3</v>
      </c>
      <c r="D16" s="951">
        <v>4</v>
      </c>
      <c r="E16" s="951">
        <v>9</v>
      </c>
      <c r="F16" s="954">
        <v>0</v>
      </c>
      <c r="G16" s="13"/>
      <c r="H16" s="13"/>
      <c r="I16" s="13"/>
      <c r="J16" s="13"/>
      <c r="K16" s="13"/>
      <c r="L16" s="13"/>
      <c r="M16" s="13"/>
      <c r="N16" s="13"/>
      <c r="O16" s="13"/>
      <c r="P16" s="13"/>
      <c r="Q16" s="13"/>
      <c r="R16" s="13"/>
      <c r="S16" s="13"/>
      <c r="T16" s="14"/>
    </row>
    <row r="17" spans="1:20">
      <c r="A17" s="961" t="s">
        <v>379</v>
      </c>
      <c r="B17" s="951">
        <v>7</v>
      </c>
      <c r="C17" s="951">
        <v>6</v>
      </c>
      <c r="D17" s="951">
        <v>7</v>
      </c>
      <c r="E17" s="951">
        <v>8</v>
      </c>
      <c r="F17" s="951">
        <v>3</v>
      </c>
      <c r="G17" s="13"/>
      <c r="H17" s="13"/>
      <c r="I17" s="13"/>
      <c r="J17" s="13"/>
      <c r="K17" s="13"/>
      <c r="L17" s="13"/>
      <c r="M17" s="13"/>
      <c r="N17" s="13"/>
      <c r="O17" s="13"/>
      <c r="P17" s="13"/>
      <c r="Q17" s="13"/>
      <c r="R17" s="13"/>
      <c r="S17" s="13"/>
      <c r="T17" s="14"/>
    </row>
    <row r="18" spans="1:20">
      <c r="A18" s="961" t="s">
        <v>387</v>
      </c>
      <c r="B18" s="951">
        <v>12</v>
      </c>
      <c r="C18" s="951">
        <v>11</v>
      </c>
      <c r="D18" s="951">
        <v>12</v>
      </c>
      <c r="E18" s="951">
        <v>17</v>
      </c>
      <c r="F18" s="951">
        <v>4</v>
      </c>
      <c r="G18" s="954">
        <v>0</v>
      </c>
      <c r="H18" s="13"/>
      <c r="I18" s="13"/>
      <c r="J18" s="13"/>
      <c r="K18" s="13"/>
      <c r="L18" s="13"/>
      <c r="M18" s="13"/>
      <c r="N18" s="13"/>
      <c r="O18" s="13"/>
      <c r="P18" s="13"/>
      <c r="Q18" s="13"/>
      <c r="R18" s="13"/>
      <c r="S18" s="13"/>
      <c r="T18" s="14"/>
    </row>
    <row r="19" spans="1:20">
      <c r="A19" s="961" t="s">
        <v>390</v>
      </c>
      <c r="B19" s="951">
        <v>16</v>
      </c>
      <c r="C19" s="951">
        <v>17</v>
      </c>
      <c r="D19" s="951">
        <v>16</v>
      </c>
      <c r="E19" s="951">
        <v>18</v>
      </c>
      <c r="F19" s="951">
        <v>20</v>
      </c>
      <c r="G19" s="951">
        <v>12</v>
      </c>
      <c r="H19" s="954">
        <v>0</v>
      </c>
      <c r="I19" s="13"/>
      <c r="J19" s="13"/>
      <c r="K19" s="13"/>
      <c r="L19" s="13"/>
      <c r="M19" s="13"/>
      <c r="N19" s="13"/>
      <c r="O19" s="13"/>
      <c r="P19" s="13"/>
      <c r="Q19" s="13"/>
      <c r="R19" s="13"/>
      <c r="S19" s="13"/>
      <c r="T19" s="14"/>
    </row>
    <row r="20" spans="1:20">
      <c r="A20" s="961" t="s">
        <v>1132</v>
      </c>
      <c r="B20" s="951">
        <v>16</v>
      </c>
      <c r="C20" s="951">
        <v>17</v>
      </c>
      <c r="D20" s="951">
        <v>17</v>
      </c>
      <c r="E20" s="951">
        <v>18</v>
      </c>
      <c r="F20" s="951">
        <v>19</v>
      </c>
      <c r="G20" s="951">
        <v>11</v>
      </c>
      <c r="H20" s="951">
        <v>1</v>
      </c>
      <c r="I20" s="956">
        <v>0</v>
      </c>
      <c r="J20" s="13"/>
      <c r="K20" s="13"/>
      <c r="L20" s="13"/>
      <c r="M20" s="13"/>
      <c r="N20" s="13"/>
      <c r="O20" s="13"/>
      <c r="P20" s="13"/>
      <c r="Q20" s="13"/>
      <c r="R20" s="13"/>
      <c r="S20" s="13"/>
      <c r="T20" s="14"/>
    </row>
    <row r="21" spans="1:20">
      <c r="A21" s="961" t="s">
        <v>1284</v>
      </c>
      <c r="B21" s="951">
        <v>16</v>
      </c>
      <c r="C21" s="951">
        <v>17</v>
      </c>
      <c r="D21" s="951">
        <v>17</v>
      </c>
      <c r="E21" s="951">
        <v>18</v>
      </c>
      <c r="F21" s="951">
        <v>19</v>
      </c>
      <c r="G21" s="951">
        <v>11</v>
      </c>
      <c r="H21" s="951">
        <v>1</v>
      </c>
      <c r="I21" s="956">
        <v>0</v>
      </c>
      <c r="J21" s="13"/>
      <c r="K21" s="13"/>
      <c r="L21" s="13"/>
      <c r="M21" s="13"/>
      <c r="N21" s="13"/>
      <c r="O21" s="13"/>
      <c r="P21" s="13"/>
      <c r="Q21" s="13"/>
      <c r="R21" s="13"/>
      <c r="S21" s="13"/>
      <c r="T21" s="14"/>
    </row>
    <row r="22" spans="1:20">
      <c r="A22" s="961" t="s">
        <v>1131</v>
      </c>
      <c r="B22" s="951">
        <v>16</v>
      </c>
      <c r="C22" s="951">
        <v>17</v>
      </c>
      <c r="D22" s="951">
        <v>17</v>
      </c>
      <c r="E22" s="951">
        <v>18</v>
      </c>
      <c r="F22" s="951">
        <v>19</v>
      </c>
      <c r="G22" s="951">
        <v>11</v>
      </c>
      <c r="H22" s="951">
        <v>1</v>
      </c>
      <c r="I22" s="956">
        <v>1</v>
      </c>
      <c r="J22" s="956">
        <v>0</v>
      </c>
      <c r="K22" s="13"/>
      <c r="L22" s="13"/>
      <c r="M22" s="13"/>
      <c r="N22" s="13"/>
      <c r="O22" s="13"/>
      <c r="P22" s="13"/>
      <c r="Q22" s="13"/>
      <c r="R22" s="13"/>
      <c r="S22" s="13"/>
      <c r="T22" s="14"/>
    </row>
    <row r="23" spans="1:20">
      <c r="A23" s="961" t="s">
        <v>371</v>
      </c>
      <c r="B23" s="951">
        <v>10</v>
      </c>
      <c r="C23" s="951">
        <v>11</v>
      </c>
      <c r="D23" s="951">
        <v>10</v>
      </c>
      <c r="E23" s="951">
        <v>15</v>
      </c>
      <c r="F23" s="951">
        <v>13</v>
      </c>
      <c r="G23" s="951">
        <v>5</v>
      </c>
      <c r="H23" s="951">
        <v>6</v>
      </c>
      <c r="I23" s="952">
        <v>5</v>
      </c>
      <c r="J23" s="952">
        <v>5</v>
      </c>
      <c r="K23" s="954">
        <v>0</v>
      </c>
      <c r="L23" s="13"/>
      <c r="M23" s="13"/>
      <c r="N23" s="13"/>
      <c r="O23" s="13"/>
      <c r="P23" s="13"/>
      <c r="Q23" s="13"/>
      <c r="R23" s="13"/>
      <c r="S23" s="13"/>
      <c r="T23" s="14"/>
    </row>
    <row r="24" spans="1:20">
      <c r="A24" s="961" t="s">
        <v>700</v>
      </c>
      <c r="B24" s="951">
        <v>26</v>
      </c>
      <c r="C24" s="951">
        <v>27</v>
      </c>
      <c r="D24" s="951">
        <v>27</v>
      </c>
      <c r="E24" s="951">
        <v>28</v>
      </c>
      <c r="F24" s="951">
        <v>29</v>
      </c>
      <c r="G24" s="951">
        <v>21</v>
      </c>
      <c r="H24" s="951">
        <v>11</v>
      </c>
      <c r="I24" s="952">
        <v>11</v>
      </c>
      <c r="J24" s="952">
        <v>10</v>
      </c>
      <c r="K24" s="951">
        <v>15</v>
      </c>
      <c r="L24" s="954">
        <v>14</v>
      </c>
      <c r="M24" s="13"/>
      <c r="N24" s="13"/>
      <c r="O24" s="13"/>
      <c r="P24" s="13"/>
      <c r="Q24" s="13"/>
      <c r="R24" s="13"/>
      <c r="S24" s="13"/>
      <c r="T24" s="14"/>
    </row>
    <row r="25" spans="1:20">
      <c r="A25" s="961" t="s">
        <v>352</v>
      </c>
      <c r="B25" s="951">
        <v>32</v>
      </c>
      <c r="C25" s="951">
        <v>33</v>
      </c>
      <c r="D25" s="951">
        <v>32</v>
      </c>
      <c r="E25" s="951">
        <v>34</v>
      </c>
      <c r="F25" s="951">
        <v>37</v>
      </c>
      <c r="G25" s="951">
        <v>28</v>
      </c>
      <c r="H25" s="951">
        <v>16</v>
      </c>
      <c r="I25" s="952">
        <v>17</v>
      </c>
      <c r="J25" s="952">
        <v>17</v>
      </c>
      <c r="K25" s="951">
        <v>20</v>
      </c>
      <c r="L25" s="954">
        <v>0</v>
      </c>
      <c r="M25" s="13"/>
      <c r="N25" s="13"/>
      <c r="O25" s="13"/>
      <c r="P25" s="13"/>
      <c r="Q25" s="13"/>
      <c r="R25" s="13"/>
      <c r="S25" s="13"/>
      <c r="T25" s="14"/>
    </row>
    <row r="26" spans="1:20">
      <c r="A26" s="961" t="s">
        <v>392</v>
      </c>
      <c r="B26" s="951">
        <v>30</v>
      </c>
      <c r="C26" s="951">
        <v>31</v>
      </c>
      <c r="D26" s="951">
        <v>30</v>
      </c>
      <c r="E26" s="951">
        <v>32</v>
      </c>
      <c r="F26" s="951">
        <v>35</v>
      </c>
      <c r="G26" s="951">
        <v>26</v>
      </c>
      <c r="H26" s="951">
        <v>14</v>
      </c>
      <c r="I26" s="952">
        <v>15</v>
      </c>
      <c r="J26" s="952">
        <v>15</v>
      </c>
      <c r="K26" s="951">
        <v>20</v>
      </c>
      <c r="L26" s="951">
        <v>2</v>
      </c>
      <c r="M26" s="954">
        <v>0</v>
      </c>
      <c r="N26" s="13"/>
      <c r="O26" s="13"/>
      <c r="P26" s="13"/>
      <c r="Q26" s="13"/>
      <c r="R26" s="13"/>
      <c r="S26" s="13"/>
      <c r="T26" s="14"/>
    </row>
    <row r="27" spans="1:20">
      <c r="A27" s="961" t="s">
        <v>393</v>
      </c>
      <c r="B27" s="951">
        <v>30</v>
      </c>
      <c r="C27" s="951">
        <v>31</v>
      </c>
      <c r="D27" s="951">
        <v>30</v>
      </c>
      <c r="E27" s="951">
        <v>32</v>
      </c>
      <c r="F27" s="951">
        <v>35</v>
      </c>
      <c r="G27" s="951">
        <v>21</v>
      </c>
      <c r="H27" s="951">
        <v>14</v>
      </c>
      <c r="I27" s="952">
        <v>15</v>
      </c>
      <c r="J27" s="952">
        <v>15</v>
      </c>
      <c r="K27" s="951">
        <v>20</v>
      </c>
      <c r="L27" s="951">
        <v>2</v>
      </c>
      <c r="M27" s="951">
        <v>0</v>
      </c>
      <c r="N27" s="954">
        <v>0</v>
      </c>
      <c r="O27" s="13"/>
      <c r="P27" s="13"/>
      <c r="Q27" s="13"/>
      <c r="R27" s="13"/>
      <c r="S27" s="13"/>
      <c r="T27" s="14"/>
    </row>
    <row r="28" spans="1:20">
      <c r="A28" s="961" t="s">
        <v>1281</v>
      </c>
      <c r="B28" s="951">
        <v>29</v>
      </c>
      <c r="C28" s="951">
        <v>30</v>
      </c>
      <c r="D28" s="951">
        <v>29</v>
      </c>
      <c r="E28" s="951">
        <v>31</v>
      </c>
      <c r="F28" s="951">
        <v>34</v>
      </c>
      <c r="G28" s="951">
        <v>20</v>
      </c>
      <c r="H28" s="951">
        <v>13</v>
      </c>
      <c r="I28" s="952">
        <v>14</v>
      </c>
      <c r="J28" s="952">
        <v>14</v>
      </c>
      <c r="K28" s="951">
        <v>19</v>
      </c>
      <c r="L28" s="951">
        <v>9</v>
      </c>
      <c r="M28" s="951">
        <v>8</v>
      </c>
      <c r="N28" s="954">
        <v>8</v>
      </c>
      <c r="O28" s="13"/>
      <c r="P28" s="13"/>
      <c r="Q28" s="13"/>
      <c r="R28" s="13"/>
      <c r="S28" s="13"/>
      <c r="T28" s="14"/>
    </row>
    <row r="29" spans="1:20">
      <c r="A29" s="961" t="s">
        <v>364</v>
      </c>
      <c r="B29" s="951">
        <v>40</v>
      </c>
      <c r="C29" s="951">
        <v>41</v>
      </c>
      <c r="D29" s="951">
        <v>40</v>
      </c>
      <c r="E29" s="951">
        <v>42</v>
      </c>
      <c r="F29" s="951">
        <v>45</v>
      </c>
      <c r="G29" s="951">
        <v>38</v>
      </c>
      <c r="H29" s="951">
        <v>24</v>
      </c>
      <c r="I29" s="952">
        <v>25</v>
      </c>
      <c r="J29" s="952">
        <v>25</v>
      </c>
      <c r="K29" s="951">
        <v>30</v>
      </c>
      <c r="L29" s="951">
        <v>12</v>
      </c>
      <c r="M29" s="951">
        <v>10</v>
      </c>
      <c r="N29" s="951">
        <v>10</v>
      </c>
      <c r="O29" s="13"/>
      <c r="P29" s="13"/>
      <c r="Q29" s="13"/>
      <c r="R29" s="13"/>
      <c r="S29" s="13"/>
      <c r="T29" s="14"/>
    </row>
    <row r="30" spans="1:20">
      <c r="A30" s="961" t="s">
        <v>365</v>
      </c>
      <c r="B30" s="951">
        <v>38</v>
      </c>
      <c r="C30" s="951">
        <v>39</v>
      </c>
      <c r="D30" s="951">
        <v>38</v>
      </c>
      <c r="E30" s="951">
        <v>40</v>
      </c>
      <c r="F30" s="951">
        <v>45</v>
      </c>
      <c r="G30" s="951">
        <v>36</v>
      </c>
      <c r="H30" s="951">
        <v>22</v>
      </c>
      <c r="I30" s="952">
        <v>22</v>
      </c>
      <c r="J30" s="952">
        <v>22</v>
      </c>
      <c r="K30" s="951">
        <v>28</v>
      </c>
      <c r="L30" s="951">
        <v>10</v>
      </c>
      <c r="M30" s="951">
        <v>8</v>
      </c>
      <c r="N30" s="951">
        <v>8</v>
      </c>
      <c r="O30" s="13"/>
      <c r="P30" s="13"/>
      <c r="Q30" s="13"/>
      <c r="R30" s="13"/>
      <c r="S30" s="13"/>
      <c r="T30" s="14"/>
    </row>
    <row r="31" spans="1:20">
      <c r="A31" s="961" t="s">
        <v>366</v>
      </c>
      <c r="B31" s="951">
        <v>26</v>
      </c>
      <c r="C31" s="951">
        <v>27</v>
      </c>
      <c r="D31" s="951">
        <v>26</v>
      </c>
      <c r="E31" s="951">
        <v>28</v>
      </c>
      <c r="F31" s="951">
        <v>30</v>
      </c>
      <c r="G31" s="951">
        <v>25</v>
      </c>
      <c r="H31" s="951">
        <v>6</v>
      </c>
      <c r="I31" s="952">
        <v>10</v>
      </c>
      <c r="J31" s="952">
        <v>9</v>
      </c>
      <c r="K31" s="951">
        <v>12</v>
      </c>
      <c r="L31" s="951">
        <v>12</v>
      </c>
      <c r="M31" s="951">
        <v>10</v>
      </c>
      <c r="N31" s="951">
        <v>10</v>
      </c>
      <c r="O31" s="13"/>
      <c r="P31" s="13"/>
      <c r="Q31" s="13"/>
      <c r="R31" s="13"/>
      <c r="S31" s="13"/>
      <c r="T31" s="14"/>
    </row>
    <row r="32" spans="1:20">
      <c r="A32" s="961" t="s">
        <v>397</v>
      </c>
      <c r="B32" s="951">
        <v>26</v>
      </c>
      <c r="C32" s="951">
        <v>27</v>
      </c>
      <c r="D32" s="951">
        <v>26</v>
      </c>
      <c r="E32" s="951">
        <v>28</v>
      </c>
      <c r="F32" s="951">
        <v>30</v>
      </c>
      <c r="G32" s="951">
        <v>25</v>
      </c>
      <c r="H32" s="951">
        <v>10</v>
      </c>
      <c r="I32" s="952">
        <v>11</v>
      </c>
      <c r="J32" s="952">
        <v>11</v>
      </c>
      <c r="K32" s="951">
        <v>16</v>
      </c>
      <c r="L32" s="951">
        <v>14</v>
      </c>
      <c r="M32" s="951">
        <v>12</v>
      </c>
      <c r="N32" s="951">
        <v>12</v>
      </c>
      <c r="O32" s="13"/>
      <c r="P32" s="13"/>
      <c r="Q32" s="13"/>
      <c r="R32" s="13"/>
      <c r="S32" s="13"/>
      <c r="T32" s="14"/>
    </row>
    <row r="33" spans="1:20">
      <c r="A33" s="961" t="s">
        <v>369</v>
      </c>
      <c r="B33" s="951">
        <v>10</v>
      </c>
      <c r="C33" s="951">
        <v>11</v>
      </c>
      <c r="D33" s="951">
        <v>10</v>
      </c>
      <c r="E33" s="951">
        <v>7</v>
      </c>
      <c r="F33" s="951">
        <v>14</v>
      </c>
      <c r="G33" s="951">
        <v>19</v>
      </c>
      <c r="H33" s="951">
        <v>9</v>
      </c>
      <c r="I33" s="952">
        <v>10</v>
      </c>
      <c r="J33" s="952">
        <v>10</v>
      </c>
      <c r="K33" s="951">
        <v>15</v>
      </c>
      <c r="L33" s="951">
        <v>25</v>
      </c>
      <c r="M33" s="951">
        <v>23</v>
      </c>
      <c r="N33" s="951">
        <v>23</v>
      </c>
      <c r="O33" s="954">
        <v>0</v>
      </c>
      <c r="P33" s="13"/>
      <c r="Q33" s="13"/>
      <c r="R33" s="13"/>
      <c r="S33" s="13"/>
      <c r="T33" s="14"/>
    </row>
    <row r="34" spans="1:20">
      <c r="A34" s="961" t="s">
        <v>600</v>
      </c>
      <c r="B34" s="951">
        <v>8</v>
      </c>
      <c r="C34" s="951">
        <v>9</v>
      </c>
      <c r="D34" s="951">
        <v>8</v>
      </c>
      <c r="E34" s="951">
        <v>6</v>
      </c>
      <c r="F34" s="951">
        <v>13</v>
      </c>
      <c r="G34" s="951">
        <v>18</v>
      </c>
      <c r="H34" s="951">
        <v>8</v>
      </c>
      <c r="I34" s="952">
        <v>9</v>
      </c>
      <c r="J34" s="952">
        <v>9</v>
      </c>
      <c r="K34" s="951">
        <v>14</v>
      </c>
      <c r="L34" s="951">
        <v>24</v>
      </c>
      <c r="M34" s="951">
        <v>22</v>
      </c>
      <c r="N34" s="951">
        <v>22</v>
      </c>
      <c r="O34" s="954">
        <v>1</v>
      </c>
      <c r="P34" s="13"/>
      <c r="Q34" s="13"/>
      <c r="R34" s="13"/>
      <c r="S34" s="13"/>
      <c r="T34" s="14"/>
    </row>
    <row r="35" spans="1:20">
      <c r="A35" s="961" t="s">
        <v>368</v>
      </c>
      <c r="B35" s="951">
        <v>20</v>
      </c>
      <c r="C35" s="951">
        <v>21</v>
      </c>
      <c r="D35" s="951">
        <v>20</v>
      </c>
      <c r="E35" s="951">
        <v>17</v>
      </c>
      <c r="F35" s="951">
        <v>27</v>
      </c>
      <c r="G35" s="951">
        <v>29</v>
      </c>
      <c r="H35" s="951">
        <v>19</v>
      </c>
      <c r="I35" s="952">
        <v>20</v>
      </c>
      <c r="J35" s="952">
        <v>20</v>
      </c>
      <c r="K35" s="951">
        <v>24</v>
      </c>
      <c r="L35" s="951">
        <v>34</v>
      </c>
      <c r="M35" s="951">
        <v>32</v>
      </c>
      <c r="N35" s="951">
        <v>32</v>
      </c>
      <c r="O35" s="951">
        <v>10</v>
      </c>
      <c r="P35" s="13"/>
      <c r="Q35" s="13"/>
      <c r="R35" s="13"/>
      <c r="S35" s="13"/>
      <c r="T35" s="14"/>
    </row>
    <row r="36" spans="1:20">
      <c r="A36" s="961" t="s">
        <v>374</v>
      </c>
      <c r="B36" s="951">
        <v>28</v>
      </c>
      <c r="C36" s="951">
        <v>29.737229944732899</v>
      </c>
      <c r="D36" s="951">
        <v>28</v>
      </c>
      <c r="E36" s="951">
        <v>30</v>
      </c>
      <c r="F36" s="951">
        <v>32</v>
      </c>
      <c r="G36" s="951">
        <v>24</v>
      </c>
      <c r="H36" s="951">
        <v>13</v>
      </c>
      <c r="I36" s="952">
        <v>12</v>
      </c>
      <c r="J36" s="952">
        <v>12</v>
      </c>
      <c r="K36" s="951">
        <v>15</v>
      </c>
      <c r="L36" s="951">
        <v>28</v>
      </c>
      <c r="M36" s="951">
        <v>26</v>
      </c>
      <c r="N36" s="951">
        <v>26</v>
      </c>
      <c r="O36" s="951">
        <v>20</v>
      </c>
      <c r="P36" s="954">
        <v>0</v>
      </c>
      <c r="Q36" s="13"/>
      <c r="R36" s="13"/>
      <c r="S36" s="13"/>
      <c r="T36" s="14"/>
    </row>
    <row r="37" spans="1:20">
      <c r="A37" s="961" t="s">
        <v>394</v>
      </c>
      <c r="B37" s="951">
        <v>46</v>
      </c>
      <c r="C37" s="951">
        <v>47</v>
      </c>
      <c r="D37" s="951">
        <v>46</v>
      </c>
      <c r="E37" s="951">
        <v>48</v>
      </c>
      <c r="F37" s="951">
        <v>50</v>
      </c>
      <c r="G37" s="951">
        <v>42</v>
      </c>
      <c r="H37" s="951">
        <v>30</v>
      </c>
      <c r="I37" s="952">
        <v>29</v>
      </c>
      <c r="J37" s="952">
        <v>29</v>
      </c>
      <c r="K37" s="951">
        <v>33</v>
      </c>
      <c r="L37" s="951">
        <v>46</v>
      </c>
      <c r="M37" s="951">
        <v>44</v>
      </c>
      <c r="N37" s="951">
        <v>44</v>
      </c>
      <c r="O37" s="951">
        <v>39</v>
      </c>
      <c r="P37" s="951">
        <v>18</v>
      </c>
      <c r="Q37" s="954">
        <v>0</v>
      </c>
      <c r="R37" s="13"/>
      <c r="S37" s="13"/>
      <c r="T37" s="14"/>
    </row>
    <row r="38" spans="1:20">
      <c r="A38" s="961" t="s">
        <v>395</v>
      </c>
      <c r="B38" s="951">
        <v>46</v>
      </c>
      <c r="C38" s="951">
        <v>49</v>
      </c>
      <c r="D38" s="951">
        <v>46</v>
      </c>
      <c r="E38" s="951">
        <v>48</v>
      </c>
      <c r="F38" s="951">
        <v>50</v>
      </c>
      <c r="G38" s="951">
        <v>42</v>
      </c>
      <c r="H38" s="951">
        <v>30</v>
      </c>
      <c r="I38" s="952">
        <v>29</v>
      </c>
      <c r="J38" s="952">
        <v>29</v>
      </c>
      <c r="K38" s="951">
        <v>33</v>
      </c>
      <c r="L38" s="951">
        <v>46</v>
      </c>
      <c r="M38" s="951">
        <v>44</v>
      </c>
      <c r="N38" s="951">
        <v>44</v>
      </c>
      <c r="O38" s="951">
        <v>39</v>
      </c>
      <c r="P38" s="951">
        <v>18</v>
      </c>
      <c r="Q38" s="951">
        <v>0</v>
      </c>
      <c r="R38" s="954">
        <v>0</v>
      </c>
      <c r="S38" s="13"/>
      <c r="T38" s="14"/>
    </row>
    <row r="39" spans="1:20">
      <c r="A39" s="961" t="s">
        <v>376</v>
      </c>
      <c r="B39" s="951">
        <v>38</v>
      </c>
      <c r="C39" s="951">
        <v>39</v>
      </c>
      <c r="D39" s="951">
        <v>38</v>
      </c>
      <c r="E39" s="951">
        <v>46</v>
      </c>
      <c r="F39" s="951">
        <v>48</v>
      </c>
      <c r="G39" s="951">
        <v>40</v>
      </c>
      <c r="H39" s="951">
        <v>27</v>
      </c>
      <c r="I39" s="952">
        <v>26</v>
      </c>
      <c r="J39" s="952">
        <v>26</v>
      </c>
      <c r="K39" s="951">
        <v>30</v>
      </c>
      <c r="L39" s="951">
        <v>44</v>
      </c>
      <c r="M39" s="951">
        <v>46</v>
      </c>
      <c r="N39" s="951">
        <v>46</v>
      </c>
      <c r="O39" s="951">
        <v>34</v>
      </c>
      <c r="P39" s="951">
        <v>14</v>
      </c>
      <c r="Q39" s="951">
        <v>8</v>
      </c>
      <c r="R39" s="951">
        <v>8</v>
      </c>
      <c r="S39" s="954">
        <v>0</v>
      </c>
      <c r="T39" s="14"/>
    </row>
    <row r="40" spans="1:20">
      <c r="A40" s="962" t="s">
        <v>601</v>
      </c>
      <c r="B40" s="953">
        <v>51</v>
      </c>
      <c r="C40" s="953">
        <v>52</v>
      </c>
      <c r="D40" s="953">
        <v>51</v>
      </c>
      <c r="E40" s="953">
        <v>59</v>
      </c>
      <c r="F40" s="953">
        <v>61</v>
      </c>
      <c r="G40" s="953">
        <v>53</v>
      </c>
      <c r="H40" s="953">
        <v>41</v>
      </c>
      <c r="I40" s="955">
        <v>40</v>
      </c>
      <c r="J40" s="955">
        <v>40</v>
      </c>
      <c r="K40" s="953">
        <v>45</v>
      </c>
      <c r="L40" s="953">
        <v>57</v>
      </c>
      <c r="M40" s="953">
        <v>55</v>
      </c>
      <c r="N40" s="953">
        <v>55</v>
      </c>
      <c r="O40" s="953">
        <v>50</v>
      </c>
      <c r="P40" s="953">
        <v>28</v>
      </c>
      <c r="Q40" s="953">
        <v>21</v>
      </c>
      <c r="R40" s="953">
        <v>21</v>
      </c>
      <c r="S40" s="953">
        <v>13</v>
      </c>
      <c r="T40" s="14"/>
    </row>
    <row r="41" spans="1:20">
      <c r="A41" s="963" t="s">
        <v>396</v>
      </c>
      <c r="B41" s="953">
        <v>143</v>
      </c>
      <c r="C41" s="953">
        <v>144</v>
      </c>
      <c r="D41" s="953">
        <v>143</v>
      </c>
      <c r="E41" s="953">
        <v>145</v>
      </c>
      <c r="F41" s="953">
        <v>147</v>
      </c>
      <c r="G41" s="953">
        <v>136</v>
      </c>
      <c r="H41" s="953">
        <v>127</v>
      </c>
      <c r="I41" s="955">
        <v>126</v>
      </c>
      <c r="J41" s="955">
        <v>126</v>
      </c>
      <c r="K41" s="953">
        <v>133</v>
      </c>
      <c r="L41" s="953">
        <v>143</v>
      </c>
      <c r="M41" s="953">
        <v>141</v>
      </c>
      <c r="N41" s="953">
        <v>141</v>
      </c>
      <c r="O41" s="953">
        <v>136</v>
      </c>
      <c r="P41" s="953">
        <v>114</v>
      </c>
      <c r="Q41" s="953">
        <v>100</v>
      </c>
      <c r="R41" s="953">
        <v>100</v>
      </c>
      <c r="S41" s="953">
        <v>108</v>
      </c>
      <c r="T41" s="957">
        <v>0</v>
      </c>
    </row>
  </sheetData>
  <phoneticPr fontId="0" type="noConversion"/>
  <pageMargins left="1.5748031496062993" right="0.78740157480314965" top="0.48" bottom="0.68" header="0.51181102362204722" footer="0.51181102362204722"/>
  <pageSetup paperSize="14" scale="71"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X67"/>
  <sheetViews>
    <sheetView workbookViewId="0">
      <selection activeCell="M18" sqref="M18"/>
    </sheetView>
  </sheetViews>
  <sheetFormatPr baseColWidth="10" defaultRowHeight="12.75"/>
  <cols>
    <col min="1" max="1" width="7.28515625" customWidth="1"/>
    <col min="2" max="7" width="9" customWidth="1"/>
    <col min="8" max="10" width="8.7109375" customWidth="1"/>
    <col min="11" max="12" width="6.42578125" style="165" customWidth="1"/>
    <col min="13" max="13" width="8.28515625" style="1657" customWidth="1"/>
    <col min="14" max="14" width="8.5703125" style="1657" customWidth="1"/>
    <col min="15" max="15" width="6.42578125" style="1657" customWidth="1"/>
    <col min="16" max="16" width="8.28515625" style="1657" customWidth="1"/>
    <col min="17" max="17" width="6.42578125" style="1657" customWidth="1"/>
    <col min="18" max="18" width="9.28515625" style="1657" customWidth="1"/>
    <col min="19" max="19" width="9.42578125" style="1657" customWidth="1"/>
    <col min="20" max="21" width="6.42578125" style="1657" customWidth="1"/>
    <col min="22" max="22" width="6.5703125" style="1657" customWidth="1"/>
    <col min="23" max="24" width="6.5703125" style="1511" customWidth="1"/>
  </cols>
  <sheetData>
    <row r="1" spans="1:24" s="1069" customFormat="1">
      <c r="A1" s="949" t="s">
        <v>59</v>
      </c>
      <c r="B1" s="949"/>
      <c r="C1" s="950"/>
      <c r="D1" s="950"/>
      <c r="E1" s="950"/>
      <c r="F1" s="950"/>
      <c r="G1" s="950"/>
      <c r="H1" s="950"/>
      <c r="I1" s="950"/>
      <c r="K1" s="1666"/>
      <c r="L1" s="1666"/>
      <c r="M1" s="1666"/>
      <c r="N1" s="1666"/>
      <c r="O1" s="1666"/>
      <c r="P1" s="1666"/>
      <c r="Q1" s="1666"/>
      <c r="R1" s="1666"/>
      <c r="S1" s="1666"/>
      <c r="T1" s="1666"/>
      <c r="U1" s="1666"/>
      <c r="V1" s="1666"/>
    </row>
    <row r="2" spans="1:24" s="1069" customFormat="1">
      <c r="A2" s="949" t="s">
        <v>60</v>
      </c>
      <c r="B2" s="949"/>
      <c r="C2" s="950"/>
      <c r="D2" s="950"/>
      <c r="E2" s="950"/>
      <c r="F2" s="950"/>
      <c r="G2" s="950"/>
      <c r="H2" s="950"/>
      <c r="I2" s="950"/>
      <c r="K2" s="1666"/>
      <c r="L2" s="1666"/>
      <c r="M2" s="1666"/>
      <c r="N2" s="1666"/>
      <c r="O2" s="1666"/>
      <c r="P2" s="1666"/>
      <c r="Q2" s="1666"/>
      <c r="R2" s="1666"/>
      <c r="S2" s="1666"/>
      <c r="T2" s="1666"/>
      <c r="U2" s="1666"/>
      <c r="V2" s="1666"/>
    </row>
    <row r="3" spans="1:24" s="1069" customFormat="1">
      <c r="A3" s="949" t="s">
        <v>61</v>
      </c>
      <c r="B3" s="949"/>
      <c r="C3" s="950"/>
      <c r="D3" s="950"/>
      <c r="E3" s="950"/>
      <c r="F3" s="950"/>
      <c r="G3" s="950"/>
      <c r="H3" s="950"/>
      <c r="I3" s="950"/>
      <c r="K3" s="1666"/>
      <c r="L3" s="1666"/>
      <c r="M3" s="1666"/>
      <c r="N3" s="1666"/>
      <c r="O3" s="1666"/>
      <c r="P3" s="1666"/>
      <c r="Q3" s="1666"/>
      <c r="R3" s="1666"/>
      <c r="S3" s="1666"/>
      <c r="T3" s="1666"/>
      <c r="U3" s="1666"/>
      <c r="V3" s="1666"/>
    </row>
    <row r="4" spans="1:24" s="1069" customFormat="1">
      <c r="A4" s="949"/>
      <c r="B4" s="949"/>
      <c r="C4" s="950"/>
      <c r="D4" s="950"/>
      <c r="E4" s="950"/>
      <c r="F4" s="950"/>
      <c r="G4" s="950"/>
      <c r="H4" s="950"/>
      <c r="I4" s="950"/>
      <c r="K4" s="1666"/>
      <c r="L4" s="1666"/>
      <c r="M4" s="1666"/>
      <c r="N4" s="1666"/>
      <c r="O4" s="1666"/>
      <c r="P4" s="1666"/>
      <c r="Q4" s="1666"/>
      <c r="R4" s="1666"/>
      <c r="S4" s="1666"/>
      <c r="T4" s="1666"/>
      <c r="U4" s="1666"/>
      <c r="V4" s="1666"/>
    </row>
    <row r="5" spans="1:24" s="1069" customFormat="1">
      <c r="A5" s="949" t="s">
        <v>1556</v>
      </c>
      <c r="B5" s="949"/>
      <c r="C5" s="950"/>
      <c r="D5" s="950"/>
      <c r="E5" s="950"/>
      <c r="F5" s="950"/>
      <c r="G5" s="950"/>
      <c r="H5" s="950"/>
      <c r="I5" s="950"/>
      <c r="K5" s="1666"/>
      <c r="L5" s="1666"/>
      <c r="M5" s="1666"/>
      <c r="N5" s="1666"/>
      <c r="O5" s="1666"/>
      <c r="P5" s="1666"/>
      <c r="Q5" s="1666"/>
      <c r="R5" s="1666"/>
      <c r="S5" s="1666"/>
      <c r="T5" s="1666"/>
      <c r="U5" s="1666"/>
      <c r="V5" s="1666"/>
    </row>
    <row r="7" spans="1:24">
      <c r="K7"/>
      <c r="L7"/>
      <c r="M7" s="1658" t="s">
        <v>62</v>
      </c>
      <c r="N7" s="1658"/>
      <c r="O7" s="1658"/>
      <c r="P7" s="1658" t="s">
        <v>63</v>
      </c>
      <c r="Q7" s="1658"/>
      <c r="R7" s="1658"/>
      <c r="S7" s="1658" t="s">
        <v>808</v>
      </c>
      <c r="T7" s="1658"/>
      <c r="U7" s="1658"/>
      <c r="V7" s="1658" t="s">
        <v>809</v>
      </c>
      <c r="W7" s="1658"/>
      <c r="X7" s="1658"/>
    </row>
    <row r="8" spans="1:24" s="6" customFormat="1" ht="16.5" customHeight="1">
      <c r="A8" s="1058" t="s">
        <v>597</v>
      </c>
      <c r="B8" s="1257" t="s">
        <v>36</v>
      </c>
      <c r="C8" s="1486"/>
      <c r="D8" s="1257" t="s">
        <v>808</v>
      </c>
      <c r="E8" s="1486"/>
      <c r="F8" s="1259" t="s">
        <v>809</v>
      </c>
      <c r="G8" s="1259"/>
      <c r="H8" s="1257" t="s">
        <v>474</v>
      </c>
      <c r="I8" s="1486"/>
      <c r="J8" s="8"/>
      <c r="K8"/>
      <c r="L8"/>
      <c r="M8" s="1659"/>
      <c r="N8" s="1659"/>
      <c r="O8" s="1659"/>
      <c r="P8" s="1659"/>
      <c r="Q8" s="1659"/>
      <c r="R8" s="1659"/>
      <c r="S8" s="1659"/>
      <c r="T8" s="1659"/>
      <c r="U8" s="1659"/>
      <c r="V8" s="1659"/>
      <c r="W8" s="1659"/>
      <c r="X8" s="1659"/>
    </row>
    <row r="9" spans="1:24" s="6" customFormat="1" ht="16.5" customHeight="1">
      <c r="A9" s="1649"/>
      <c r="B9" s="1047" t="s">
        <v>64</v>
      </c>
      <c r="C9" s="1048" t="s">
        <v>957</v>
      </c>
      <c r="D9" s="1047" t="s">
        <v>64</v>
      </c>
      <c r="E9" s="1048" t="s">
        <v>957</v>
      </c>
      <c r="F9" s="1088" t="s">
        <v>64</v>
      </c>
      <c r="G9" s="1088" t="s">
        <v>957</v>
      </c>
      <c r="H9" s="1047" t="s">
        <v>64</v>
      </c>
      <c r="I9" s="1048" t="s">
        <v>957</v>
      </c>
      <c r="J9" s="10"/>
      <c r="K9"/>
      <c r="L9"/>
      <c r="M9" s="1658" t="s">
        <v>65</v>
      </c>
      <c r="N9" s="1658" t="s">
        <v>66</v>
      </c>
      <c r="O9" s="1658" t="s">
        <v>67</v>
      </c>
      <c r="P9" s="1658" t="s">
        <v>65</v>
      </c>
      <c r="Q9" s="1658" t="s">
        <v>66</v>
      </c>
      <c r="R9" s="1658" t="s">
        <v>67</v>
      </c>
      <c r="S9" s="1658" t="s">
        <v>65</v>
      </c>
      <c r="T9" s="1658" t="s">
        <v>66</v>
      </c>
      <c r="U9" s="1658" t="s">
        <v>67</v>
      </c>
      <c r="V9" s="1658" t="s">
        <v>65</v>
      </c>
      <c r="W9" s="1658" t="s">
        <v>66</v>
      </c>
      <c r="X9" s="1658" t="s">
        <v>67</v>
      </c>
    </row>
    <row r="10" spans="1:24" s="6" customFormat="1" ht="16.5" customHeight="1">
      <c r="A10" s="181">
        <v>2013</v>
      </c>
      <c r="B10" s="199">
        <v>5295</v>
      </c>
      <c r="C10" s="423">
        <v>1554</v>
      </c>
      <c r="D10" s="199">
        <v>3949</v>
      </c>
      <c r="E10" s="423">
        <v>1749</v>
      </c>
      <c r="F10" s="424">
        <v>0</v>
      </c>
      <c r="G10" s="424">
        <v>0</v>
      </c>
      <c r="H10" s="199">
        <v>9244</v>
      </c>
      <c r="I10" s="423">
        <v>3303</v>
      </c>
      <c r="J10" s="129"/>
      <c r="K10"/>
      <c r="L10"/>
      <c r="M10" s="1660">
        <v>260629</v>
      </c>
      <c r="N10" s="1661">
        <v>3.5468040778271028</v>
      </c>
      <c r="O10" s="1661">
        <v>1.2673186790418565</v>
      </c>
      <c r="P10" s="1660">
        <v>114848</v>
      </c>
      <c r="Q10" s="1661">
        <v>4.6104416271942048</v>
      </c>
      <c r="R10" s="1661">
        <v>1.3530927835051547</v>
      </c>
      <c r="S10" s="1660">
        <v>107079</v>
      </c>
      <c r="T10" s="1661">
        <v>3.6879313404122191</v>
      </c>
      <c r="U10" s="1661">
        <v>1.6333734906003978</v>
      </c>
      <c r="V10" s="1660">
        <v>38702</v>
      </c>
      <c r="W10" s="1662">
        <v>0</v>
      </c>
      <c r="X10" s="1662">
        <v>0</v>
      </c>
    </row>
    <row r="11" spans="1:24" s="6" customFormat="1" ht="16.5" customHeight="1">
      <c r="A11" s="181">
        <v>2014</v>
      </c>
      <c r="B11" s="199">
        <v>5667</v>
      </c>
      <c r="C11" s="423">
        <v>1506</v>
      </c>
      <c r="D11" s="199">
        <v>3879</v>
      </c>
      <c r="E11" s="423">
        <v>1913</v>
      </c>
      <c r="F11" s="424">
        <v>0</v>
      </c>
      <c r="G11" s="424">
        <v>0</v>
      </c>
      <c r="H11" s="199">
        <v>9546</v>
      </c>
      <c r="I11" s="423">
        <v>3419</v>
      </c>
      <c r="J11" s="129"/>
      <c r="K11"/>
      <c r="L11"/>
      <c r="M11" s="1660">
        <v>263459</v>
      </c>
      <c r="N11" s="1661">
        <v>3.6233341810300654</v>
      </c>
      <c r="O11" s="1661">
        <v>1.2977351314625805</v>
      </c>
      <c r="P11" s="1660">
        <v>116115</v>
      </c>
      <c r="Q11" s="1661">
        <v>4.880506394522671</v>
      </c>
      <c r="R11" s="1661">
        <v>1.2969900529647331</v>
      </c>
      <c r="S11" s="1660">
        <v>108270</v>
      </c>
      <c r="T11" s="1661">
        <v>3.5827098919368243</v>
      </c>
      <c r="U11" s="1661">
        <v>1.7668790985499214</v>
      </c>
      <c r="V11" s="1660">
        <v>39074</v>
      </c>
      <c r="W11" s="1662">
        <v>0</v>
      </c>
      <c r="X11" s="1662">
        <v>0</v>
      </c>
    </row>
    <row r="12" spans="1:24" s="6" customFormat="1" ht="17.25" customHeight="1">
      <c r="A12" s="181">
        <v>2015</v>
      </c>
      <c r="B12" s="199">
        <v>5750</v>
      </c>
      <c r="C12" s="423">
        <v>1254</v>
      </c>
      <c r="D12" s="199">
        <v>3527</v>
      </c>
      <c r="E12" s="423">
        <v>2161</v>
      </c>
      <c r="F12" s="424">
        <v>0</v>
      </c>
      <c r="G12" s="424">
        <v>0</v>
      </c>
      <c r="H12" s="199">
        <v>9277</v>
      </c>
      <c r="I12" s="423">
        <v>3415</v>
      </c>
      <c r="J12" s="129"/>
      <c r="K12"/>
      <c r="L12"/>
      <c r="M12" s="1660">
        <v>266356</v>
      </c>
      <c r="N12" s="1661">
        <v>3.4829326164982204</v>
      </c>
      <c r="O12" s="1661">
        <v>1.2821186682485095</v>
      </c>
      <c r="P12" s="1660">
        <v>117430</v>
      </c>
      <c r="Q12" s="1661">
        <v>4.8965341054245082</v>
      </c>
      <c r="R12" s="1661">
        <v>1.0678702205569275</v>
      </c>
      <c r="S12" s="1660">
        <v>109467</v>
      </c>
      <c r="T12" s="1661">
        <v>3.2219755725469779</v>
      </c>
      <c r="U12" s="1661">
        <v>1.9741109192724748</v>
      </c>
      <c r="V12" s="1660">
        <v>39459</v>
      </c>
      <c r="W12" s="1662">
        <v>0</v>
      </c>
      <c r="X12" s="1662">
        <v>0</v>
      </c>
    </row>
    <row r="13" spans="1:24" s="6" customFormat="1" ht="17.25" customHeight="1">
      <c r="A13" s="181">
        <v>2016</v>
      </c>
      <c r="B13" s="424">
        <v>5759</v>
      </c>
      <c r="C13" s="423">
        <v>1078</v>
      </c>
      <c r="D13" s="424">
        <v>3873</v>
      </c>
      <c r="E13" s="423">
        <v>1975</v>
      </c>
      <c r="F13" s="424">
        <v>0</v>
      </c>
      <c r="G13" s="423">
        <v>0</v>
      </c>
      <c r="H13" s="424">
        <v>9632</v>
      </c>
      <c r="I13" s="423">
        <v>3053</v>
      </c>
      <c r="J13" s="129"/>
      <c r="K13"/>
      <c r="L13"/>
      <c r="M13" s="1660">
        <v>269239</v>
      </c>
      <c r="N13" s="1661">
        <v>3.5774906310007091</v>
      </c>
      <c r="O13" s="1661">
        <v>1.1339367625046892</v>
      </c>
      <c r="P13" s="1660">
        <v>118733</v>
      </c>
      <c r="Q13" s="1661">
        <v>4.8503785805125785</v>
      </c>
      <c r="R13" s="1661">
        <v>0.90791944952119463</v>
      </c>
      <c r="S13" s="1660">
        <v>110666</v>
      </c>
      <c r="T13" s="1661">
        <v>3.4997198778305894</v>
      </c>
      <c r="U13" s="1661">
        <v>1.7846493051162957</v>
      </c>
      <c r="V13" s="1660">
        <v>39840</v>
      </c>
      <c r="W13" s="1662">
        <v>0</v>
      </c>
      <c r="X13" s="1662">
        <v>0</v>
      </c>
    </row>
    <row r="14" spans="1:24" s="6" customFormat="1" ht="17.25" customHeight="1">
      <c r="A14" s="391">
        <v>2017</v>
      </c>
      <c r="B14" s="153">
        <v>6112</v>
      </c>
      <c r="C14" s="151">
        <v>776</v>
      </c>
      <c r="D14" s="153">
        <v>4016</v>
      </c>
      <c r="E14" s="151">
        <v>1729</v>
      </c>
      <c r="F14" s="153">
        <v>0</v>
      </c>
      <c r="G14" s="151">
        <v>0</v>
      </c>
      <c r="H14" s="424">
        <v>10128</v>
      </c>
      <c r="I14" s="423">
        <v>2505</v>
      </c>
      <c r="J14" s="129"/>
      <c r="K14"/>
      <c r="L14"/>
      <c r="M14" s="1660">
        <v>272453</v>
      </c>
      <c r="N14" s="1661">
        <v>3.7173384033209396</v>
      </c>
      <c r="O14" s="1661">
        <v>0.91942463470763758</v>
      </c>
      <c r="P14" s="1660">
        <v>120187</v>
      </c>
      <c r="Q14" s="1661">
        <v>5.0854085716425237</v>
      </c>
      <c r="R14" s="1661">
        <v>0.64566051236822619</v>
      </c>
      <c r="S14" s="1660">
        <v>111997</v>
      </c>
      <c r="T14" s="1661">
        <v>3.5858103342053802</v>
      </c>
      <c r="U14" s="1661">
        <v>1.5437913515540596</v>
      </c>
      <c r="V14" s="1660">
        <v>40269</v>
      </c>
      <c r="W14" s="1662">
        <v>0</v>
      </c>
      <c r="X14" s="1662">
        <v>0</v>
      </c>
    </row>
    <row r="15" spans="1:24" ht="17.25" customHeight="1">
      <c r="A15" s="391">
        <v>2018</v>
      </c>
      <c r="B15" s="153">
        <v>6217</v>
      </c>
      <c r="C15" s="151">
        <v>1045</v>
      </c>
      <c r="D15" s="153">
        <v>3793</v>
      </c>
      <c r="E15" s="151">
        <v>1840</v>
      </c>
      <c r="F15" s="153">
        <v>0</v>
      </c>
      <c r="G15" s="151">
        <v>0</v>
      </c>
      <c r="H15" s="424">
        <v>10010</v>
      </c>
      <c r="I15" s="423">
        <v>2885</v>
      </c>
      <c r="J15" s="129"/>
      <c r="K15"/>
      <c r="L15"/>
      <c r="M15" s="1660">
        <v>276064</v>
      </c>
      <c r="N15" s="1661">
        <v>3.6259707893821722</v>
      </c>
      <c r="O15" s="1661">
        <v>1.045047525211545</v>
      </c>
      <c r="P15" s="1660">
        <v>121814</v>
      </c>
      <c r="Q15" s="1661">
        <v>5.1036826637332329</v>
      </c>
      <c r="R15" s="1661">
        <v>0.85786527000180601</v>
      </c>
      <c r="S15" s="1660">
        <v>113484</v>
      </c>
      <c r="T15" s="1661">
        <v>3.3423213845123541</v>
      </c>
      <c r="U15" s="1661">
        <v>1.6213739381763066</v>
      </c>
      <c r="V15" s="1660">
        <v>40756</v>
      </c>
      <c r="W15" s="1662">
        <v>0</v>
      </c>
      <c r="X15" s="1662">
        <v>0</v>
      </c>
    </row>
    <row r="16" spans="1:24" ht="17.25" customHeight="1">
      <c r="A16" s="391">
        <v>2019</v>
      </c>
      <c r="B16" s="153">
        <v>6078</v>
      </c>
      <c r="C16" s="151">
        <v>1028</v>
      </c>
      <c r="D16" s="153">
        <v>4233</v>
      </c>
      <c r="E16" s="151">
        <v>1743</v>
      </c>
      <c r="F16" s="153">
        <v>0</v>
      </c>
      <c r="G16" s="151">
        <v>0</v>
      </c>
      <c r="H16" s="424">
        <v>10311</v>
      </c>
      <c r="I16" s="423">
        <v>2771</v>
      </c>
      <c r="J16" s="129"/>
      <c r="K16"/>
      <c r="L16"/>
      <c r="M16" s="1660">
        <v>279717</v>
      </c>
      <c r="N16" s="1661">
        <v>3.6862257209965792</v>
      </c>
      <c r="O16" s="1661">
        <v>0.99064411530225183</v>
      </c>
      <c r="P16" s="1660">
        <v>123486</v>
      </c>
      <c r="Q16" s="1661">
        <v>4.9220154511442589</v>
      </c>
      <c r="R16" s="1661">
        <v>0.83248303451403405</v>
      </c>
      <c r="S16" s="1660">
        <v>114976</v>
      </c>
      <c r="T16" s="1661">
        <v>3.6816379070414698</v>
      </c>
      <c r="U16" s="1661">
        <v>1.5159685499582523</v>
      </c>
      <c r="V16" s="1660">
        <v>41255</v>
      </c>
      <c r="W16" s="1662">
        <v>0</v>
      </c>
      <c r="X16" s="1662">
        <v>0</v>
      </c>
    </row>
    <row r="17" spans="1:24" ht="17.25" customHeight="1">
      <c r="A17" s="391">
        <v>2020</v>
      </c>
      <c r="B17" s="153">
        <v>3228</v>
      </c>
      <c r="C17" s="151">
        <v>1050</v>
      </c>
      <c r="D17" s="153">
        <v>2207</v>
      </c>
      <c r="E17" s="151">
        <v>1928</v>
      </c>
      <c r="F17" s="153">
        <v>0</v>
      </c>
      <c r="G17" s="151">
        <v>0</v>
      </c>
      <c r="H17" s="424">
        <v>5435</v>
      </c>
      <c r="I17" s="423">
        <v>2978</v>
      </c>
      <c r="J17" s="129"/>
      <c r="K17"/>
      <c r="L17"/>
      <c r="M17" s="1660">
        <v>283366</v>
      </c>
      <c r="N17" s="1661">
        <v>1.9180141583676233</v>
      </c>
      <c r="O17" s="1661">
        <v>1.050937656599592</v>
      </c>
      <c r="P17" s="1660">
        <v>125139</v>
      </c>
      <c r="Q17" s="1661">
        <v>2.5795315609042744</v>
      </c>
      <c r="R17" s="1661">
        <v>0.83906695754321203</v>
      </c>
      <c r="S17" s="1660">
        <v>116481</v>
      </c>
      <c r="T17" s="1661">
        <v>1.8947296125548372</v>
      </c>
      <c r="U17" s="1661">
        <v>1.6552055700071258</v>
      </c>
      <c r="V17" s="1660">
        <v>41746</v>
      </c>
      <c r="W17" s="1662">
        <v>0</v>
      </c>
      <c r="X17" s="1662">
        <v>0</v>
      </c>
    </row>
    <row r="18" spans="1:24" ht="16.5" customHeight="1">
      <c r="A18" s="391">
        <v>2021</v>
      </c>
      <c r="B18" s="153">
        <v>3302</v>
      </c>
      <c r="C18" s="151">
        <v>994</v>
      </c>
      <c r="D18" s="153">
        <v>2553</v>
      </c>
      <c r="E18" s="151">
        <v>1798</v>
      </c>
      <c r="F18" s="153">
        <v>0</v>
      </c>
      <c r="G18" s="151">
        <v>0</v>
      </c>
      <c r="H18" s="424">
        <v>5855</v>
      </c>
      <c r="I18" s="423">
        <v>2792</v>
      </c>
      <c r="J18" s="129"/>
      <c r="K18"/>
      <c r="L18"/>
      <c r="M18" s="1660">
        <v>286194</v>
      </c>
      <c r="N18" s="1661">
        <v>2.045815076486579</v>
      </c>
      <c r="O18" s="1661">
        <v>0.97556203134936437</v>
      </c>
      <c r="P18" s="1660">
        <v>126446</v>
      </c>
      <c r="Q18" s="1661">
        <v>2.6113914240070861</v>
      </c>
      <c r="R18" s="1661">
        <v>0.78610632206633657</v>
      </c>
      <c r="S18" s="1660">
        <v>117628</v>
      </c>
      <c r="T18" s="1661">
        <v>2.1704016050600199</v>
      </c>
      <c r="U18" s="1661">
        <v>1.5285476247152039</v>
      </c>
      <c r="V18" s="1660">
        <v>42120</v>
      </c>
      <c r="W18" s="1662">
        <v>0</v>
      </c>
      <c r="X18" s="1662">
        <v>0</v>
      </c>
    </row>
    <row r="19" spans="1:24" ht="16.5" customHeight="1">
      <c r="A19" s="391">
        <v>2022</v>
      </c>
      <c r="B19" s="153">
        <v>4963</v>
      </c>
      <c r="C19" s="151">
        <v>1016</v>
      </c>
      <c r="D19" s="153">
        <v>3233</v>
      </c>
      <c r="E19" s="151">
        <v>1759</v>
      </c>
      <c r="F19" s="153">
        <v>0</v>
      </c>
      <c r="G19" s="151">
        <v>0</v>
      </c>
      <c r="H19" s="424">
        <f>+B19+D19+F19</f>
        <v>8196</v>
      </c>
      <c r="I19" s="423">
        <f>+C19+E19+G19</f>
        <v>2775</v>
      </c>
      <c r="J19" s="129"/>
      <c r="K19"/>
      <c r="L19"/>
      <c r="M19" s="1660">
        <f>+'68'!I13</f>
        <v>290863</v>
      </c>
      <c r="N19" s="1661">
        <f>+H20/M19*100</f>
        <v>3.5508125818684402</v>
      </c>
      <c r="O19" s="1661">
        <f>+I20/M19*100</f>
        <v>0.93411674912243903</v>
      </c>
      <c r="P19" s="1660">
        <f>+'8'!B85-'8'!B73-'8'!B67</f>
        <v>128628</v>
      </c>
      <c r="Q19" s="1661">
        <f>+B20/P19*100</f>
        <v>4.8589731629194262</v>
      </c>
      <c r="R19" s="1661">
        <f>+C20/P19*100</f>
        <v>0.73856392076375277</v>
      </c>
      <c r="S19" s="1660">
        <f>+'8'!B34</f>
        <v>119516</v>
      </c>
      <c r="T19" s="1661">
        <f>+D20/S19*100</f>
        <v>3.4120954516550084</v>
      </c>
      <c r="U19" s="1661">
        <f>+E20/S19*100</f>
        <v>1.4784631346430603</v>
      </c>
      <c r="V19" s="1660">
        <f>+'8'!B67+'8'!B73</f>
        <v>42719.000000000007</v>
      </c>
      <c r="W19" s="1662">
        <f>+F20/V19*100</f>
        <v>0</v>
      </c>
      <c r="X19" s="1662">
        <f>+G20/V19*100</f>
        <v>0</v>
      </c>
    </row>
    <row r="20" spans="1:24" ht="17.25" customHeight="1">
      <c r="A20" s="156">
        <v>2023</v>
      </c>
      <c r="B20" s="425">
        <f>SUM('70'!C8:C9)</f>
        <v>6250</v>
      </c>
      <c r="C20" s="426">
        <f>+'70'!C10+'70'!C11</f>
        <v>950</v>
      </c>
      <c r="D20" s="425">
        <f>SUM('70'!D8:D9)</f>
        <v>4078</v>
      </c>
      <c r="E20" s="426">
        <f>+'70'!D10+'70'!D11</f>
        <v>1767</v>
      </c>
      <c r="F20" s="425">
        <f>+'70'!E8+'70'!E9</f>
        <v>0</v>
      </c>
      <c r="G20" s="426">
        <v>0</v>
      </c>
      <c r="H20" s="425">
        <f>+B20+D20+F20</f>
        <v>10328</v>
      </c>
      <c r="I20" s="426">
        <f>+C20+E20+G20</f>
        <v>2717</v>
      </c>
      <c r="J20" s="129"/>
      <c r="K20"/>
      <c r="L20"/>
      <c r="M20" s="1660"/>
      <c r="N20" s="1661"/>
      <c r="O20" s="1661"/>
      <c r="P20" s="1660"/>
      <c r="Q20" s="1661"/>
      <c r="R20" s="1661"/>
      <c r="S20" s="1660"/>
      <c r="T20" s="1661"/>
      <c r="U20" s="1661"/>
      <c r="V20" s="1660"/>
      <c r="W20" s="1662"/>
      <c r="X20" s="1662"/>
    </row>
    <row r="21" spans="1:24">
      <c r="A21" s="161"/>
      <c r="B21" s="163"/>
      <c r="C21" s="163"/>
      <c r="D21" s="163"/>
      <c r="E21" s="163"/>
      <c r="F21" s="163"/>
      <c r="G21" s="163"/>
      <c r="H21" s="129"/>
      <c r="I21" s="129"/>
      <c r="J21" s="129"/>
      <c r="K21" s="129"/>
      <c r="L21" s="427"/>
      <c r="M21" s="1663"/>
      <c r="N21" s="1664"/>
      <c r="O21" s="1663"/>
      <c r="P21" s="1663"/>
      <c r="Q21" s="1664"/>
      <c r="R21" s="1663"/>
      <c r="S21" s="1663"/>
      <c r="T21" s="1664"/>
      <c r="U21" s="1663"/>
      <c r="V21" s="1663"/>
      <c r="W21" s="1665"/>
    </row>
    <row r="22" spans="1:24">
      <c r="A22" s="161"/>
      <c r="B22" s="163"/>
      <c r="C22" s="163"/>
      <c r="D22" s="163"/>
      <c r="E22" s="163"/>
      <c r="F22" s="163"/>
      <c r="G22" s="163"/>
      <c r="H22" s="129"/>
      <c r="I22" s="129"/>
      <c r="J22" s="165"/>
    </row>
    <row r="23" spans="1:24">
      <c r="A23" s="165"/>
      <c r="B23" s="165"/>
      <c r="C23" s="165"/>
      <c r="D23" s="165"/>
      <c r="E23" s="165"/>
      <c r="F23" s="165"/>
      <c r="G23" s="165"/>
      <c r="H23" s="165"/>
      <c r="I23" s="165"/>
    </row>
    <row r="25" spans="1:24">
      <c r="K25" s="165" t="s">
        <v>68</v>
      </c>
    </row>
    <row r="58" spans="1:22">
      <c r="J58" s="1"/>
    </row>
    <row r="59" spans="1:22" s="1069" customFormat="1">
      <c r="A59" s="949" t="s">
        <v>59</v>
      </c>
      <c r="B59" s="949"/>
      <c r="C59" s="950"/>
      <c r="D59" s="950"/>
      <c r="E59" s="950"/>
      <c r="F59" s="950"/>
      <c r="G59" s="950"/>
      <c r="H59" s="950"/>
      <c r="I59" s="950"/>
      <c r="J59" s="950"/>
      <c r="K59" s="1666"/>
      <c r="L59" s="1666"/>
      <c r="M59" s="1666"/>
      <c r="N59" s="1666"/>
      <c r="O59" s="1666"/>
      <c r="P59" s="1666"/>
      <c r="Q59" s="1666"/>
      <c r="R59" s="1666"/>
      <c r="S59" s="1666"/>
      <c r="T59" s="1666"/>
      <c r="U59" s="1666"/>
      <c r="V59" s="1666"/>
    </row>
    <row r="60" spans="1:22" s="1069" customFormat="1">
      <c r="A60" s="949" t="s">
        <v>60</v>
      </c>
      <c r="B60" s="949"/>
      <c r="C60" s="950"/>
      <c r="D60" s="950"/>
      <c r="E60" s="950"/>
      <c r="F60" s="950"/>
      <c r="G60" s="950"/>
      <c r="H60" s="950"/>
      <c r="I60" s="950"/>
      <c r="J60" s="950"/>
      <c r="K60" s="1666"/>
      <c r="L60" s="1666"/>
      <c r="M60" s="1666"/>
      <c r="N60" s="1666"/>
      <c r="O60" s="1666"/>
      <c r="P60" s="1666"/>
      <c r="Q60" s="1666"/>
      <c r="R60" s="1666"/>
      <c r="S60" s="1666"/>
      <c r="T60" s="1666"/>
      <c r="U60" s="1666"/>
      <c r="V60" s="1666"/>
    </row>
    <row r="61" spans="1:22" s="1069" customFormat="1">
      <c r="A61" s="949" t="s">
        <v>69</v>
      </c>
      <c r="B61" s="949"/>
      <c r="C61" s="950"/>
      <c r="D61" s="950"/>
      <c r="E61" s="950"/>
      <c r="F61" s="950"/>
      <c r="G61" s="950"/>
      <c r="H61" s="950"/>
      <c r="I61" s="950"/>
      <c r="J61" s="950"/>
      <c r="K61" s="1666"/>
      <c r="L61" s="1666"/>
      <c r="M61" s="1666"/>
      <c r="N61" s="1666"/>
      <c r="O61" s="1666"/>
      <c r="P61" s="1666"/>
      <c r="Q61" s="1666"/>
      <c r="R61" s="1666"/>
      <c r="S61" s="1666"/>
      <c r="T61" s="1666"/>
      <c r="U61" s="1666"/>
      <c r="V61" s="1666"/>
    </row>
    <row r="62" spans="1:22" s="1069" customFormat="1">
      <c r="A62" s="949"/>
      <c r="B62" s="949"/>
      <c r="C62" s="950"/>
      <c r="D62" s="950"/>
      <c r="E62" s="950"/>
      <c r="F62" s="950"/>
      <c r="G62" s="950"/>
      <c r="H62" s="950"/>
      <c r="I62" s="950"/>
      <c r="J62" s="950"/>
      <c r="K62" s="1666"/>
      <c r="L62" s="1666"/>
      <c r="M62" s="1666"/>
      <c r="N62" s="1666"/>
      <c r="O62" s="1666"/>
      <c r="P62" s="1666"/>
      <c r="Q62" s="1666"/>
      <c r="R62" s="1666"/>
      <c r="S62" s="1666"/>
      <c r="T62" s="1666"/>
      <c r="U62" s="1666"/>
      <c r="V62" s="1666"/>
    </row>
    <row r="63" spans="1:22" s="1069" customFormat="1">
      <c r="A63" s="949" t="str">
        <f>+A5</f>
        <v>2013  - 2023</v>
      </c>
      <c r="B63" s="949"/>
      <c r="C63" s="950"/>
      <c r="D63" s="950"/>
      <c r="E63" s="950"/>
      <c r="F63" s="950"/>
      <c r="G63" s="950"/>
      <c r="H63" s="950"/>
      <c r="I63" s="950"/>
      <c r="J63" s="950"/>
      <c r="K63" s="1666"/>
      <c r="L63" s="1666"/>
      <c r="M63" s="1666"/>
      <c r="N63" s="1666"/>
      <c r="O63" s="1666"/>
      <c r="P63" s="1666"/>
      <c r="Q63" s="1666"/>
      <c r="R63" s="1666"/>
      <c r="S63" s="1666"/>
      <c r="T63" s="1666"/>
      <c r="U63" s="1666"/>
      <c r="V63" s="1666"/>
    </row>
    <row r="64" spans="1:22" s="1069" customFormat="1">
      <c r="A64" s="950"/>
      <c r="B64" s="950"/>
      <c r="C64" s="950"/>
      <c r="D64" s="950"/>
      <c r="E64" s="950"/>
      <c r="F64" s="950"/>
      <c r="G64" s="950"/>
      <c r="H64" s="950"/>
      <c r="I64" s="950"/>
      <c r="J64" s="950"/>
      <c r="K64" s="1666"/>
      <c r="L64" s="1666"/>
      <c r="M64" s="1666"/>
      <c r="N64" s="1666"/>
      <c r="O64" s="1666"/>
      <c r="P64" s="1666"/>
      <c r="Q64" s="1666"/>
      <c r="R64" s="1666"/>
      <c r="S64" s="1666"/>
      <c r="T64" s="1666"/>
      <c r="U64" s="1666"/>
      <c r="V64" s="1666"/>
    </row>
    <row r="65" spans="1:10">
      <c r="A65" s="86"/>
      <c r="B65" s="1"/>
      <c r="C65" s="1"/>
      <c r="D65" s="1"/>
      <c r="E65" s="1"/>
      <c r="F65" s="1"/>
      <c r="G65" s="1"/>
      <c r="H65" s="1"/>
      <c r="I65" s="1"/>
      <c r="J65" s="1"/>
    </row>
    <row r="66" spans="1:10">
      <c r="A66" s="86"/>
      <c r="B66" s="1"/>
      <c r="C66" s="1"/>
      <c r="D66" s="1"/>
      <c r="E66" s="1"/>
      <c r="F66" s="1"/>
      <c r="G66" s="1"/>
      <c r="H66" s="1"/>
      <c r="I66" s="1"/>
      <c r="J66" s="1"/>
    </row>
    <row r="67" spans="1:10">
      <c r="A67" s="86"/>
      <c r="B67" s="1"/>
      <c r="C67" s="1"/>
      <c r="D67" s="1"/>
      <c r="E67" s="1"/>
      <c r="F67" s="1"/>
      <c r="G67" s="1"/>
      <c r="H67" s="1"/>
      <c r="I67" s="1"/>
    </row>
  </sheetData>
  <phoneticPr fontId="18" type="noConversion"/>
  <pageMargins left="0.98425196850393704" right="0.39370078740157483" top="0.98425196850393704" bottom="1.3779527559055118" header="0.51181102362204722" footer="0.51181102362204722"/>
  <pageSetup paperSize="5" scale="96" orientation="portrait" horizontalDpi="300" verticalDpi="300" r:id="rId1"/>
  <headerFooter alignWithMargins="0">
    <oddHeader xml:space="preserve">&amp;R
</oddHeader>
  </headerFooter>
  <rowBreaks count="1" manualBreakCount="1">
    <brk id="57" max="16383" man="1"/>
  </rowBreaks>
  <colBreaks count="1" manualBreakCount="1">
    <brk id="10" max="99" man="1"/>
  </col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U71"/>
  <sheetViews>
    <sheetView zoomScale="75" workbookViewId="0">
      <selection activeCell="T39" sqref="T39"/>
    </sheetView>
  </sheetViews>
  <sheetFormatPr baseColWidth="10" defaultRowHeight="12.75"/>
  <cols>
    <col min="1" max="1" width="31.7109375" customWidth="1"/>
    <col min="2" max="3" width="8.42578125" customWidth="1"/>
    <col min="4" max="4" width="7.7109375" customWidth="1"/>
    <col min="5" max="5" width="7.28515625" customWidth="1"/>
    <col min="6" max="6" width="7.7109375" customWidth="1"/>
    <col min="7" max="7" width="7" customWidth="1"/>
    <col min="8" max="9" width="7.42578125" customWidth="1"/>
    <col min="10" max="10" width="8.42578125" customWidth="1"/>
    <col min="11" max="13" width="8.28515625" customWidth="1"/>
    <col min="14" max="14" width="6.7109375" customWidth="1"/>
    <col min="15" max="15" width="7.7109375" customWidth="1"/>
    <col min="16" max="16" width="9.28515625" bestFit="1" customWidth="1"/>
    <col min="17" max="17" width="8.7109375" customWidth="1"/>
  </cols>
  <sheetData>
    <row r="1" spans="1:21" s="1496" customFormat="1">
      <c r="A1" s="1494" t="s">
        <v>1608</v>
      </c>
      <c r="B1" s="1495"/>
      <c r="C1" s="1495"/>
      <c r="D1" s="1495"/>
      <c r="E1" s="1495"/>
      <c r="F1" s="1495"/>
      <c r="G1" s="1495"/>
      <c r="H1" s="1495"/>
      <c r="I1" s="1495"/>
      <c r="J1" s="1495"/>
      <c r="K1" s="1495"/>
      <c r="L1" s="1495"/>
      <c r="M1" s="1495"/>
      <c r="N1" s="1495"/>
      <c r="O1" s="1495"/>
      <c r="P1" s="1495"/>
      <c r="Q1" s="1495"/>
    </row>
    <row r="2" spans="1:21" s="1496" customFormat="1">
      <c r="A2" s="1494"/>
      <c r="B2" s="1495"/>
      <c r="C2" s="1495"/>
      <c r="D2" s="1495"/>
      <c r="E2" s="1495"/>
      <c r="F2" s="1495"/>
      <c r="G2" s="1495"/>
      <c r="H2" s="1495"/>
      <c r="I2" s="1495"/>
      <c r="J2" s="1495"/>
      <c r="K2" s="1495"/>
      <c r="L2" s="1495"/>
      <c r="M2" s="1495"/>
      <c r="N2" s="1495"/>
      <c r="O2" s="1495"/>
      <c r="P2" s="1495"/>
      <c r="Q2" s="1495"/>
    </row>
    <row r="3" spans="1:21" s="1496" customFormat="1">
      <c r="A3" s="1494" t="s">
        <v>848</v>
      </c>
      <c r="B3" s="1495"/>
      <c r="C3" s="1495"/>
      <c r="D3" s="1495"/>
      <c r="E3" s="1495"/>
      <c r="F3" s="1495"/>
      <c r="G3" s="1495"/>
      <c r="H3" s="1495"/>
      <c r="I3" s="1495"/>
      <c r="J3" s="1495"/>
      <c r="K3" s="1495"/>
      <c r="L3" s="1495"/>
      <c r="M3" s="1495"/>
      <c r="N3" s="1495"/>
      <c r="O3" s="1495"/>
      <c r="P3" s="1495"/>
      <c r="Q3" s="1495"/>
    </row>
    <row r="6" spans="1:21" ht="18.75" customHeight="1">
      <c r="A6" s="1090"/>
      <c r="B6" s="1075" t="s">
        <v>14</v>
      </c>
      <c r="C6" s="1075"/>
      <c r="D6" s="1075"/>
      <c r="E6" s="1075"/>
      <c r="F6" s="1075"/>
      <c r="G6" s="1075"/>
      <c r="H6" s="1075"/>
      <c r="I6" s="1075"/>
      <c r="J6" s="1075"/>
      <c r="K6" s="1075"/>
      <c r="L6" s="1075"/>
      <c r="M6" s="1075"/>
      <c r="N6" s="1075"/>
      <c r="O6" s="1075"/>
      <c r="P6" s="1075"/>
      <c r="Q6" s="1060"/>
    </row>
    <row r="7" spans="1:21" ht="23.25" customHeight="1">
      <c r="A7" s="1493" t="s">
        <v>70</v>
      </c>
      <c r="B7" s="1063" t="s">
        <v>36</v>
      </c>
      <c r="C7" s="1064"/>
      <c r="D7" s="1386" t="s">
        <v>808</v>
      </c>
      <c r="E7" s="1386"/>
      <c r="F7" s="1386" t="s">
        <v>809</v>
      </c>
      <c r="G7" s="1386"/>
      <c r="H7" s="1063" t="s">
        <v>71</v>
      </c>
      <c r="I7" s="1064"/>
      <c r="J7" s="1386" t="s">
        <v>1284</v>
      </c>
      <c r="K7" s="1386"/>
      <c r="L7" s="1063" t="s">
        <v>72</v>
      </c>
      <c r="M7" s="1064"/>
      <c r="N7" s="1063" t="s">
        <v>1265</v>
      </c>
      <c r="O7" s="1064"/>
      <c r="P7" s="1063" t="s">
        <v>594</v>
      </c>
      <c r="Q7" s="1064"/>
    </row>
    <row r="8" spans="1:21" ht="17.25" customHeight="1">
      <c r="A8" s="1270"/>
      <c r="B8" s="1047">
        <v>2022</v>
      </c>
      <c r="C8" s="1048">
        <v>2023</v>
      </c>
      <c r="D8" s="1088">
        <v>2022</v>
      </c>
      <c r="E8" s="1048">
        <f>+C8</f>
        <v>2023</v>
      </c>
      <c r="F8" s="1047">
        <f t="shared" ref="F8:Q8" si="0">+D8</f>
        <v>2022</v>
      </c>
      <c r="G8" s="1048">
        <f t="shared" si="0"/>
        <v>2023</v>
      </c>
      <c r="H8" s="1047">
        <f t="shared" si="0"/>
        <v>2022</v>
      </c>
      <c r="I8" s="1048">
        <f t="shared" si="0"/>
        <v>2023</v>
      </c>
      <c r="J8" s="1047">
        <f t="shared" si="0"/>
        <v>2022</v>
      </c>
      <c r="K8" s="1048">
        <f t="shared" si="0"/>
        <v>2023</v>
      </c>
      <c r="L8" s="1047">
        <f>+H8</f>
        <v>2022</v>
      </c>
      <c r="M8" s="1048">
        <f>+I8</f>
        <v>2023</v>
      </c>
      <c r="N8" s="1047">
        <f>+J8</f>
        <v>2022</v>
      </c>
      <c r="O8" s="1048">
        <f>+K8</f>
        <v>2023</v>
      </c>
      <c r="P8" s="1047">
        <f t="shared" si="0"/>
        <v>2022</v>
      </c>
      <c r="Q8" s="1048">
        <f t="shared" si="0"/>
        <v>2023</v>
      </c>
    </row>
    <row r="9" spans="1:21" ht="15" customHeight="1">
      <c r="A9" s="394" t="s">
        <v>920</v>
      </c>
      <c r="B9" s="353">
        <v>473</v>
      </c>
      <c r="C9" s="340">
        <v>492</v>
      </c>
      <c r="D9" s="353">
        <v>23</v>
      </c>
      <c r="E9" s="340">
        <v>18</v>
      </c>
      <c r="F9" s="353">
        <v>0</v>
      </c>
      <c r="G9" s="340">
        <v>0</v>
      </c>
      <c r="H9" s="353">
        <v>0</v>
      </c>
      <c r="I9" s="340">
        <v>0</v>
      </c>
      <c r="J9" s="353"/>
      <c r="K9" s="340"/>
      <c r="L9" s="353"/>
      <c r="M9" s="340"/>
      <c r="N9" s="353"/>
      <c r="O9" s="340"/>
      <c r="P9" s="68">
        <f t="shared" ref="P9:Q13" si="1">+N9+J9+H9+F9+D9+B9</f>
        <v>496</v>
      </c>
      <c r="Q9" s="429">
        <f t="shared" si="1"/>
        <v>510</v>
      </c>
      <c r="S9" s="88"/>
    </row>
    <row r="10" spans="1:21" ht="15" customHeight="1">
      <c r="A10" s="182" t="s">
        <v>73</v>
      </c>
      <c r="B10" s="353">
        <v>1289</v>
      </c>
      <c r="C10" s="340">
        <v>2371</v>
      </c>
      <c r="D10" s="353">
        <v>108</v>
      </c>
      <c r="E10" s="340">
        <v>53</v>
      </c>
      <c r="F10" s="353">
        <v>0</v>
      </c>
      <c r="G10" s="340">
        <v>0</v>
      </c>
      <c r="H10" s="353">
        <v>0</v>
      </c>
      <c r="I10" s="340">
        <v>5</v>
      </c>
      <c r="J10" s="353"/>
      <c r="K10" s="340"/>
      <c r="L10" s="353"/>
      <c r="M10" s="340"/>
      <c r="N10" s="353"/>
      <c r="O10" s="340"/>
      <c r="P10" s="68">
        <f t="shared" si="1"/>
        <v>1397</v>
      </c>
      <c r="Q10" s="429">
        <f t="shared" si="1"/>
        <v>2429</v>
      </c>
      <c r="S10" s="88"/>
    </row>
    <row r="11" spans="1:21" ht="15" customHeight="1">
      <c r="A11" s="182" t="s">
        <v>74</v>
      </c>
      <c r="B11" s="353">
        <v>526</v>
      </c>
      <c r="C11" s="340">
        <v>601</v>
      </c>
      <c r="D11" s="353">
        <v>39</v>
      </c>
      <c r="E11" s="340">
        <v>27</v>
      </c>
      <c r="F11" s="353">
        <v>0</v>
      </c>
      <c r="G11" s="340">
        <v>0</v>
      </c>
      <c r="H11" s="353">
        <v>0</v>
      </c>
      <c r="I11" s="340">
        <v>0</v>
      </c>
      <c r="J11" s="353"/>
      <c r="K11" s="340"/>
      <c r="L11" s="353"/>
      <c r="M11" s="340"/>
      <c r="N11" s="353"/>
      <c r="O11" s="340"/>
      <c r="P11" s="68">
        <f t="shared" si="1"/>
        <v>565</v>
      </c>
      <c r="Q11" s="429">
        <f t="shared" si="1"/>
        <v>628</v>
      </c>
      <c r="S11" s="88"/>
    </row>
    <row r="12" spans="1:21" ht="15" customHeight="1">
      <c r="A12" s="182" t="s">
        <v>75</v>
      </c>
      <c r="B12" s="353">
        <v>59</v>
      </c>
      <c r="C12" s="340">
        <v>85</v>
      </c>
      <c r="D12" s="353">
        <v>70</v>
      </c>
      <c r="E12" s="340">
        <v>81</v>
      </c>
      <c r="F12" s="353">
        <v>0</v>
      </c>
      <c r="G12" s="340">
        <v>0</v>
      </c>
      <c r="H12" s="353">
        <v>0</v>
      </c>
      <c r="I12" s="340">
        <v>0</v>
      </c>
      <c r="J12" s="353"/>
      <c r="K12" s="340"/>
      <c r="L12" s="353"/>
      <c r="M12" s="340"/>
      <c r="N12" s="353"/>
      <c r="O12" s="340"/>
      <c r="P12" s="68">
        <f t="shared" si="1"/>
        <v>129</v>
      </c>
      <c r="Q12" s="429">
        <f t="shared" si="1"/>
        <v>166</v>
      </c>
      <c r="S12" s="88"/>
      <c r="U12" s="88"/>
    </row>
    <row r="13" spans="1:21" ht="15" customHeight="1">
      <c r="A13" s="182" t="s">
        <v>76</v>
      </c>
      <c r="B13" s="353">
        <v>303</v>
      </c>
      <c r="C13" s="340">
        <v>254</v>
      </c>
      <c r="D13" s="353">
        <v>389</v>
      </c>
      <c r="E13" s="340">
        <v>561</v>
      </c>
      <c r="F13" s="353">
        <v>0</v>
      </c>
      <c r="G13" s="340">
        <v>0</v>
      </c>
      <c r="H13" s="353">
        <v>5</v>
      </c>
      <c r="I13" s="340">
        <v>18</v>
      </c>
      <c r="J13" s="353"/>
      <c r="K13" s="340"/>
      <c r="L13" s="353"/>
      <c r="M13" s="340"/>
      <c r="N13" s="353"/>
      <c r="O13" s="340"/>
      <c r="P13" s="68">
        <f t="shared" si="1"/>
        <v>697</v>
      </c>
      <c r="Q13" s="429">
        <f t="shared" si="1"/>
        <v>833</v>
      </c>
      <c r="S13" s="88"/>
      <c r="U13" s="88"/>
    </row>
    <row r="14" spans="1:21" ht="15" customHeight="1">
      <c r="A14" s="182" t="s">
        <v>77</v>
      </c>
      <c r="B14" s="353">
        <v>1143</v>
      </c>
      <c r="C14" s="340">
        <v>1022</v>
      </c>
      <c r="D14" s="353">
        <v>982</v>
      </c>
      <c r="E14" s="340">
        <v>1547</v>
      </c>
      <c r="F14" s="353">
        <v>0</v>
      </c>
      <c r="G14" s="340">
        <v>0</v>
      </c>
      <c r="H14" s="353">
        <v>4</v>
      </c>
      <c r="I14" s="340">
        <v>28</v>
      </c>
      <c r="J14" s="353"/>
      <c r="K14" s="340"/>
      <c r="L14" s="353">
        <v>322</v>
      </c>
      <c r="M14" s="340">
        <v>328</v>
      </c>
      <c r="N14" s="353">
        <v>0</v>
      </c>
      <c r="O14" s="340">
        <v>0</v>
      </c>
      <c r="P14" s="68">
        <f>+N14+J14+H14+F14+D14+B14+L14</f>
        <v>2451</v>
      </c>
      <c r="Q14" s="429">
        <f>+O14+K14+I14+G14+E14+C14+M14</f>
        <v>2925</v>
      </c>
      <c r="S14" s="88"/>
      <c r="U14" s="88"/>
    </row>
    <row r="15" spans="1:21" ht="15" customHeight="1">
      <c r="A15" s="182" t="s">
        <v>78</v>
      </c>
      <c r="B15" s="353">
        <v>246</v>
      </c>
      <c r="C15" s="340">
        <v>310</v>
      </c>
      <c r="D15" s="353">
        <v>249</v>
      </c>
      <c r="E15" s="340">
        <v>289</v>
      </c>
      <c r="F15" s="353">
        <v>0</v>
      </c>
      <c r="G15" s="340">
        <v>0</v>
      </c>
      <c r="H15" s="353">
        <v>0</v>
      </c>
      <c r="I15" s="340">
        <v>0</v>
      </c>
      <c r="J15" s="353"/>
      <c r="K15" s="340"/>
      <c r="L15" s="353"/>
      <c r="M15" s="340"/>
      <c r="N15" s="353"/>
      <c r="O15" s="340"/>
      <c r="P15" s="68">
        <f t="shared" ref="P15:P25" si="2">+N15+J15+H15+F15+D15+B15+L15</f>
        <v>495</v>
      </c>
      <c r="Q15" s="429">
        <f t="shared" ref="P15:Q31" si="3">+O15+K15+I15+G15+E15+C15+M15</f>
        <v>599</v>
      </c>
      <c r="S15" s="88"/>
      <c r="U15" s="88"/>
    </row>
    <row r="16" spans="1:21" ht="15" customHeight="1">
      <c r="A16" s="182" t="s">
        <v>79</v>
      </c>
      <c r="B16" s="353">
        <v>43</v>
      </c>
      <c r="C16" s="340">
        <v>49</v>
      </c>
      <c r="D16" s="353">
        <v>84</v>
      </c>
      <c r="E16" s="340">
        <v>73</v>
      </c>
      <c r="F16" s="353">
        <v>0</v>
      </c>
      <c r="G16" s="340">
        <v>0</v>
      </c>
      <c r="H16" s="353">
        <v>0</v>
      </c>
      <c r="I16" s="340">
        <v>0</v>
      </c>
      <c r="J16" s="353"/>
      <c r="K16" s="340"/>
      <c r="L16" s="353"/>
      <c r="M16" s="340"/>
      <c r="N16" s="353"/>
      <c r="O16" s="340"/>
      <c r="P16" s="68">
        <f t="shared" si="2"/>
        <v>127</v>
      </c>
      <c r="Q16" s="429">
        <f t="shared" si="3"/>
        <v>122</v>
      </c>
      <c r="S16" s="88"/>
      <c r="U16" s="88"/>
    </row>
    <row r="17" spans="1:21" ht="15" customHeight="1">
      <c r="A17" s="182" t="s">
        <v>80</v>
      </c>
      <c r="B17" s="353">
        <v>1639</v>
      </c>
      <c r="C17" s="340">
        <v>1544</v>
      </c>
      <c r="D17" s="353">
        <v>1089</v>
      </c>
      <c r="E17" s="340">
        <v>1207</v>
      </c>
      <c r="F17" s="353">
        <v>0</v>
      </c>
      <c r="G17" s="340">
        <v>0</v>
      </c>
      <c r="H17" s="353">
        <v>0</v>
      </c>
      <c r="I17" s="340">
        <v>0</v>
      </c>
      <c r="J17" s="353"/>
      <c r="K17" s="340"/>
      <c r="L17" s="353"/>
      <c r="M17" s="340"/>
      <c r="N17" s="353"/>
      <c r="O17" s="340"/>
      <c r="P17" s="68">
        <f t="shared" si="2"/>
        <v>2728</v>
      </c>
      <c r="Q17" s="429">
        <f t="shared" si="3"/>
        <v>2751</v>
      </c>
      <c r="S17" s="88"/>
    </row>
    <row r="18" spans="1:21" ht="15" customHeight="1">
      <c r="A18" s="182" t="s">
        <v>81</v>
      </c>
      <c r="B18" s="353">
        <v>76</v>
      </c>
      <c r="C18" s="340">
        <v>87</v>
      </c>
      <c r="D18" s="353">
        <v>61</v>
      </c>
      <c r="E18" s="340">
        <v>102</v>
      </c>
      <c r="F18" s="353">
        <v>0</v>
      </c>
      <c r="G18" s="340">
        <v>0</v>
      </c>
      <c r="H18" s="353">
        <v>0</v>
      </c>
      <c r="I18" s="340">
        <v>0</v>
      </c>
      <c r="J18" s="353"/>
      <c r="K18" s="340"/>
      <c r="L18" s="353"/>
      <c r="M18" s="340"/>
      <c r="N18" s="353"/>
      <c r="O18" s="340"/>
      <c r="P18" s="68">
        <f t="shared" si="2"/>
        <v>137</v>
      </c>
      <c r="Q18" s="429">
        <f t="shared" si="3"/>
        <v>189</v>
      </c>
      <c r="S18" s="88"/>
    </row>
    <row r="19" spans="1:21" ht="15" customHeight="1">
      <c r="A19" s="182" t="s">
        <v>82</v>
      </c>
      <c r="B19" s="353">
        <v>268</v>
      </c>
      <c r="C19" s="340">
        <v>381</v>
      </c>
      <c r="D19" s="353">
        <v>507</v>
      </c>
      <c r="E19" s="340">
        <v>596</v>
      </c>
      <c r="F19" s="353">
        <v>0</v>
      </c>
      <c r="G19" s="340">
        <v>0</v>
      </c>
      <c r="H19" s="353">
        <v>0</v>
      </c>
      <c r="I19" s="340">
        <v>0</v>
      </c>
      <c r="J19" s="353"/>
      <c r="K19" s="340"/>
      <c r="L19" s="353"/>
      <c r="M19" s="340"/>
      <c r="N19" s="353"/>
      <c r="O19" s="340"/>
      <c r="P19" s="68">
        <f t="shared" si="2"/>
        <v>775</v>
      </c>
      <c r="Q19" s="429">
        <f t="shared" si="3"/>
        <v>977</v>
      </c>
      <c r="S19" s="88"/>
    </row>
    <row r="20" spans="1:21" ht="15" customHeight="1">
      <c r="A20" s="182" t="s">
        <v>83</v>
      </c>
      <c r="B20" s="353">
        <v>125</v>
      </c>
      <c r="C20" s="340">
        <v>117</v>
      </c>
      <c r="D20" s="353">
        <v>73</v>
      </c>
      <c r="E20" s="340">
        <v>94</v>
      </c>
      <c r="F20" s="353">
        <v>0</v>
      </c>
      <c r="G20" s="340">
        <v>0</v>
      </c>
      <c r="H20" s="353">
        <v>0</v>
      </c>
      <c r="I20" s="340">
        <v>0</v>
      </c>
      <c r="J20" s="353"/>
      <c r="K20" s="340"/>
      <c r="L20" s="353"/>
      <c r="M20" s="340"/>
      <c r="N20" s="353"/>
      <c r="O20" s="340"/>
      <c r="P20" s="68">
        <f t="shared" si="2"/>
        <v>198</v>
      </c>
      <c r="Q20" s="429">
        <f t="shared" si="3"/>
        <v>211</v>
      </c>
      <c r="S20" s="88"/>
    </row>
    <row r="21" spans="1:21" ht="15" customHeight="1">
      <c r="A21" s="182" t="s">
        <v>84</v>
      </c>
      <c r="B21" s="353">
        <v>518</v>
      </c>
      <c r="C21" s="340">
        <v>647</v>
      </c>
      <c r="D21" s="353">
        <v>353</v>
      </c>
      <c r="E21" s="340">
        <v>422</v>
      </c>
      <c r="F21" s="353">
        <v>0</v>
      </c>
      <c r="G21" s="340">
        <v>0</v>
      </c>
      <c r="H21" s="353">
        <v>0</v>
      </c>
      <c r="I21" s="340">
        <v>0</v>
      </c>
      <c r="J21" s="353"/>
      <c r="K21" s="340"/>
      <c r="L21" s="353"/>
      <c r="M21" s="340"/>
      <c r="N21" s="353"/>
      <c r="O21" s="340"/>
      <c r="P21" s="68">
        <f t="shared" si="2"/>
        <v>871</v>
      </c>
      <c r="Q21" s="429">
        <f t="shared" si="3"/>
        <v>1069</v>
      </c>
      <c r="S21" s="88"/>
    </row>
    <row r="22" spans="1:21" ht="15" customHeight="1">
      <c r="A22" s="182" t="s">
        <v>85</v>
      </c>
      <c r="B22" s="353">
        <v>947</v>
      </c>
      <c r="C22" s="340">
        <v>940</v>
      </c>
      <c r="D22" s="353">
        <v>512</v>
      </c>
      <c r="E22" s="340">
        <v>488</v>
      </c>
      <c r="F22" s="353">
        <v>0</v>
      </c>
      <c r="G22" s="340">
        <v>0</v>
      </c>
      <c r="H22" s="353">
        <v>0</v>
      </c>
      <c r="I22" s="340">
        <v>0</v>
      </c>
      <c r="J22" s="353"/>
      <c r="K22" s="340"/>
      <c r="L22" s="353"/>
      <c r="M22" s="340"/>
      <c r="N22" s="353"/>
      <c r="O22" s="340"/>
      <c r="P22" s="68">
        <f t="shared" si="2"/>
        <v>1459</v>
      </c>
      <c r="Q22" s="429">
        <f t="shared" si="3"/>
        <v>1428</v>
      </c>
      <c r="S22" s="88"/>
    </row>
    <row r="23" spans="1:21" ht="15" customHeight="1">
      <c r="A23" s="182" t="s">
        <v>86</v>
      </c>
      <c r="B23" s="353">
        <v>146</v>
      </c>
      <c r="C23" s="340">
        <v>133</v>
      </c>
      <c r="D23" s="353">
        <v>1724</v>
      </c>
      <c r="E23" s="340">
        <v>2101</v>
      </c>
      <c r="F23" s="353">
        <v>0</v>
      </c>
      <c r="G23" s="340">
        <v>0</v>
      </c>
      <c r="H23" s="353">
        <v>0</v>
      </c>
      <c r="I23" s="340">
        <v>0</v>
      </c>
      <c r="J23" s="353"/>
      <c r="K23" s="340"/>
      <c r="L23" s="353"/>
      <c r="M23" s="340"/>
      <c r="N23" s="353"/>
      <c r="O23" s="340"/>
      <c r="P23" s="68">
        <f t="shared" si="2"/>
        <v>1870</v>
      </c>
      <c r="Q23" s="429">
        <f t="shared" si="3"/>
        <v>2234</v>
      </c>
      <c r="S23" s="88"/>
      <c r="U23" s="88"/>
    </row>
    <row r="24" spans="1:21" ht="15" customHeight="1">
      <c r="A24" s="182" t="s">
        <v>87</v>
      </c>
      <c r="B24" s="353">
        <v>751</v>
      </c>
      <c r="C24" s="340">
        <v>559</v>
      </c>
      <c r="D24" s="353">
        <v>2023</v>
      </c>
      <c r="E24" s="340">
        <v>2274</v>
      </c>
      <c r="F24" s="353">
        <v>0</v>
      </c>
      <c r="G24" s="340">
        <v>0</v>
      </c>
      <c r="H24" s="353">
        <v>0</v>
      </c>
      <c r="I24" s="340">
        <v>5</v>
      </c>
      <c r="J24" s="353"/>
      <c r="K24" s="340"/>
      <c r="L24" s="353"/>
      <c r="M24" s="340"/>
      <c r="N24" s="353"/>
      <c r="O24" s="340"/>
      <c r="P24" s="68">
        <f t="shared" si="2"/>
        <v>2774</v>
      </c>
      <c r="Q24" s="429">
        <f t="shared" si="3"/>
        <v>2838</v>
      </c>
      <c r="S24" s="88"/>
    </row>
    <row r="25" spans="1:21" ht="15" customHeight="1">
      <c r="A25" s="182" t="s">
        <v>88</v>
      </c>
      <c r="B25" s="353">
        <v>1</v>
      </c>
      <c r="C25" s="340">
        <v>0</v>
      </c>
      <c r="D25" s="353">
        <v>196</v>
      </c>
      <c r="E25" s="340">
        <v>257</v>
      </c>
      <c r="F25" s="353">
        <v>0</v>
      </c>
      <c r="G25" s="340">
        <v>0</v>
      </c>
      <c r="H25" s="353">
        <v>0</v>
      </c>
      <c r="I25" s="340">
        <v>0</v>
      </c>
      <c r="J25" s="353"/>
      <c r="K25" s="340"/>
      <c r="L25" s="353"/>
      <c r="M25" s="340"/>
      <c r="N25" s="353"/>
      <c r="O25" s="340"/>
      <c r="P25" s="68">
        <f t="shared" si="2"/>
        <v>197</v>
      </c>
      <c r="Q25" s="429">
        <f t="shared" si="3"/>
        <v>257</v>
      </c>
      <c r="S25" s="88"/>
    </row>
    <row r="26" spans="1:21" ht="27.75" customHeight="1">
      <c r="A26" s="182" t="s">
        <v>89</v>
      </c>
      <c r="B26" s="430">
        <f>SUM(B9:B25)</f>
        <v>8553</v>
      </c>
      <c r="C26" s="217">
        <f t="shared" ref="C26:Q26" si="4">SUM(C9:C25)</f>
        <v>9592</v>
      </c>
      <c r="D26" s="430">
        <f t="shared" si="4"/>
        <v>8482</v>
      </c>
      <c r="E26" s="217">
        <f t="shared" si="4"/>
        <v>10190</v>
      </c>
      <c r="F26" s="430">
        <f t="shared" si="4"/>
        <v>0</v>
      </c>
      <c r="G26" s="217">
        <f t="shared" si="4"/>
        <v>0</v>
      </c>
      <c r="H26" s="430">
        <f t="shared" si="4"/>
        <v>9</v>
      </c>
      <c r="I26" s="217">
        <f t="shared" si="4"/>
        <v>56</v>
      </c>
      <c r="J26" s="430">
        <f t="shared" si="4"/>
        <v>0</v>
      </c>
      <c r="K26" s="217">
        <f t="shared" si="4"/>
        <v>0</v>
      </c>
      <c r="L26" s="430">
        <f t="shared" si="4"/>
        <v>322</v>
      </c>
      <c r="M26" s="217">
        <f t="shared" si="4"/>
        <v>328</v>
      </c>
      <c r="N26" s="430">
        <f t="shared" si="4"/>
        <v>0</v>
      </c>
      <c r="O26" s="217">
        <f t="shared" si="4"/>
        <v>0</v>
      </c>
      <c r="P26" s="881">
        <f t="shared" si="4"/>
        <v>17366</v>
      </c>
      <c r="Q26" s="217">
        <f t="shared" si="4"/>
        <v>20166</v>
      </c>
      <c r="S26" s="88"/>
      <c r="U26" s="88"/>
    </row>
    <row r="27" spans="1:21" ht="18" customHeight="1">
      <c r="A27" s="394" t="s">
        <v>90</v>
      </c>
      <c r="B27" s="428"/>
      <c r="C27" s="429"/>
      <c r="D27" s="428"/>
      <c r="E27" s="429"/>
      <c r="F27" s="428"/>
      <c r="G27" s="429"/>
      <c r="H27" s="428"/>
      <c r="I27" s="429"/>
      <c r="J27" s="428"/>
      <c r="K27" s="429"/>
      <c r="L27" s="428"/>
      <c r="M27" s="429"/>
      <c r="N27" s="428"/>
      <c r="O27" s="429"/>
      <c r="P27" s="68"/>
      <c r="Q27" s="429"/>
      <c r="S27" s="88"/>
    </row>
    <row r="28" spans="1:21" ht="17.25" customHeight="1">
      <c r="A28" s="182" t="s">
        <v>91</v>
      </c>
      <c r="B28" s="353">
        <v>452</v>
      </c>
      <c r="C28" s="340">
        <v>388</v>
      </c>
      <c r="D28" s="353">
        <v>243</v>
      </c>
      <c r="E28" s="340">
        <v>219</v>
      </c>
      <c r="F28" s="353">
        <v>0</v>
      </c>
      <c r="G28" s="340">
        <v>0</v>
      </c>
      <c r="H28" s="353">
        <v>0</v>
      </c>
      <c r="I28" s="340">
        <v>0</v>
      </c>
      <c r="J28" s="353"/>
      <c r="K28" s="340"/>
      <c r="L28" s="353"/>
      <c r="M28" s="340">
        <v>0</v>
      </c>
      <c r="N28" s="353"/>
      <c r="O28" s="340"/>
      <c r="P28" s="68">
        <f>+N28+J28+H28+F28+D28+B28</f>
        <v>695</v>
      </c>
      <c r="Q28" s="429">
        <f t="shared" si="3"/>
        <v>607</v>
      </c>
      <c r="S28" s="88"/>
    </row>
    <row r="29" spans="1:21" ht="18" customHeight="1">
      <c r="A29" s="182" t="s">
        <v>92</v>
      </c>
      <c r="B29" s="353">
        <v>8513</v>
      </c>
      <c r="C29" s="340">
        <v>7961</v>
      </c>
      <c r="D29" s="353">
        <v>7857</v>
      </c>
      <c r="E29" s="340">
        <v>8842</v>
      </c>
      <c r="F29" s="353">
        <v>855</v>
      </c>
      <c r="G29" s="340">
        <v>1077</v>
      </c>
      <c r="H29" s="353">
        <v>725</v>
      </c>
      <c r="I29" s="340">
        <v>981</v>
      </c>
      <c r="J29" s="353"/>
      <c r="K29" s="340"/>
      <c r="L29" s="353">
        <v>10596</v>
      </c>
      <c r="M29" s="340">
        <v>8642</v>
      </c>
      <c r="N29" s="353">
        <v>4</v>
      </c>
      <c r="O29" s="340">
        <v>4</v>
      </c>
      <c r="P29" s="68">
        <f t="shared" si="3"/>
        <v>28550</v>
      </c>
      <c r="Q29" s="429">
        <f t="shared" si="3"/>
        <v>27507</v>
      </c>
      <c r="R29" s="352"/>
      <c r="S29" s="88"/>
      <c r="U29" s="88"/>
    </row>
    <row r="30" spans="1:21" ht="18" customHeight="1">
      <c r="A30" s="927" t="s">
        <v>93</v>
      </c>
      <c r="B30" s="353">
        <v>0</v>
      </c>
      <c r="C30" s="340">
        <v>0</v>
      </c>
      <c r="D30" s="353">
        <v>0</v>
      </c>
      <c r="E30" s="340">
        <v>0</v>
      </c>
      <c r="F30" s="353">
        <v>0</v>
      </c>
      <c r="G30" s="340">
        <v>0</v>
      </c>
      <c r="H30" s="353">
        <v>0</v>
      </c>
      <c r="I30" s="340">
        <v>0</v>
      </c>
      <c r="J30" s="353"/>
      <c r="K30" s="340"/>
      <c r="L30" s="353">
        <v>3697</v>
      </c>
      <c r="M30" s="340">
        <v>0</v>
      </c>
      <c r="N30" s="353">
        <v>125</v>
      </c>
      <c r="O30" s="340">
        <v>125</v>
      </c>
      <c r="P30" s="68">
        <f t="shared" si="3"/>
        <v>3822</v>
      </c>
      <c r="Q30" s="429">
        <f t="shared" si="3"/>
        <v>125</v>
      </c>
      <c r="R30" s="352"/>
      <c r="S30" s="88"/>
    </row>
    <row r="31" spans="1:21" ht="18" customHeight="1">
      <c r="A31" s="928" t="s">
        <v>94</v>
      </c>
      <c r="B31" s="353" t="s">
        <v>1186</v>
      </c>
      <c r="C31" s="340" t="s">
        <v>1186</v>
      </c>
      <c r="D31" s="353" t="s">
        <v>1186</v>
      </c>
      <c r="E31" s="340" t="s">
        <v>1186</v>
      </c>
      <c r="F31" s="353">
        <v>0</v>
      </c>
      <c r="G31" s="340" t="s">
        <v>1186</v>
      </c>
      <c r="H31" s="353" t="s">
        <v>1186</v>
      </c>
      <c r="I31" s="340" t="s">
        <v>1186</v>
      </c>
      <c r="J31" s="353"/>
      <c r="K31" s="340"/>
      <c r="L31" s="353" t="s">
        <v>1186</v>
      </c>
      <c r="M31" s="340" t="s">
        <v>1186</v>
      </c>
      <c r="N31" s="353">
        <v>177</v>
      </c>
      <c r="O31" s="340">
        <v>177</v>
      </c>
      <c r="P31" s="68" t="e">
        <f t="shared" si="3"/>
        <v>#VALUE!</v>
      </c>
      <c r="Q31" s="340">
        <f>+O31</f>
        <v>177</v>
      </c>
      <c r="S31" s="88"/>
    </row>
    <row r="32" spans="1:21" ht="16.5" customHeight="1">
      <c r="A32" s="398" t="s">
        <v>95</v>
      </c>
      <c r="B32" s="357" t="s">
        <v>1186</v>
      </c>
      <c r="C32" s="356" t="s">
        <v>1186</v>
      </c>
      <c r="D32" s="357" t="s">
        <v>1186</v>
      </c>
      <c r="E32" s="356" t="s">
        <v>1186</v>
      </c>
      <c r="F32" s="357">
        <v>118</v>
      </c>
      <c r="G32" s="356" t="s">
        <v>1186</v>
      </c>
      <c r="H32" s="357" t="s">
        <v>1186</v>
      </c>
      <c r="I32" s="356" t="s">
        <v>1186</v>
      </c>
      <c r="J32" s="398"/>
      <c r="K32" s="184"/>
      <c r="L32" s="357" t="s">
        <v>1186</v>
      </c>
      <c r="M32" s="356" t="s">
        <v>1186</v>
      </c>
      <c r="N32" s="357">
        <v>206</v>
      </c>
      <c r="O32" s="356">
        <v>206</v>
      </c>
      <c r="P32" s="881" t="e">
        <f>+N32+J32+H32+F32+D32+B32+L32</f>
        <v>#VALUE!</v>
      </c>
      <c r="Q32" s="356">
        <f>+O32</f>
        <v>206</v>
      </c>
      <c r="S32" s="88"/>
    </row>
    <row r="33" spans="1:20">
      <c r="A33" s="10"/>
      <c r="B33" s="10"/>
      <c r="C33" s="10"/>
      <c r="D33" s="10"/>
      <c r="E33" s="10"/>
      <c r="F33" s="10"/>
      <c r="G33" s="10"/>
      <c r="H33" s="10"/>
      <c r="I33" s="10"/>
      <c r="J33" s="10"/>
      <c r="K33" s="10"/>
      <c r="L33" s="10"/>
      <c r="M33" s="10"/>
      <c r="N33" s="10"/>
      <c r="O33" s="10"/>
      <c r="P33" s="10"/>
      <c r="Q33" s="10"/>
    </row>
    <row r="34" spans="1:20" s="1069" customFormat="1">
      <c r="A34" s="949" t="s">
        <v>1478</v>
      </c>
      <c r="B34" s="950"/>
      <c r="C34" s="950"/>
      <c r="D34" s="950"/>
      <c r="E34" s="950"/>
      <c r="F34" s="950"/>
      <c r="G34" s="950"/>
      <c r="H34" s="950"/>
      <c r="I34" s="950"/>
      <c r="J34" s="950"/>
      <c r="K34" s="950"/>
      <c r="L34" s="950"/>
      <c r="M34" s="950"/>
      <c r="N34" s="950"/>
      <c r="O34" s="950"/>
      <c r="P34" s="950"/>
      <c r="Q34" s="950"/>
    </row>
    <row r="35" spans="1:20" s="1069" customFormat="1">
      <c r="A35" s="949"/>
      <c r="B35" s="950"/>
      <c r="C35" s="950"/>
      <c r="D35" s="950"/>
      <c r="E35" s="950"/>
      <c r="F35" s="950"/>
      <c r="G35" s="950"/>
      <c r="H35" s="950"/>
      <c r="I35" s="950"/>
      <c r="J35" s="950"/>
      <c r="K35" s="950"/>
      <c r="L35" s="950"/>
      <c r="M35" s="950"/>
      <c r="N35" s="950"/>
      <c r="O35" s="950"/>
      <c r="P35" s="950"/>
      <c r="Q35" s="950"/>
    </row>
    <row r="36" spans="1:20" s="1069" customFormat="1">
      <c r="A36" s="949" t="s">
        <v>848</v>
      </c>
      <c r="B36" s="950"/>
      <c r="C36" s="950"/>
      <c r="D36" s="950"/>
      <c r="E36" s="950"/>
      <c r="F36" s="950"/>
      <c r="G36" s="950"/>
      <c r="H36" s="950"/>
      <c r="I36" s="950"/>
      <c r="J36" s="950"/>
      <c r="K36" s="950"/>
      <c r="L36" s="950"/>
      <c r="M36" s="950"/>
      <c r="N36" s="950"/>
      <c r="O36" s="950"/>
      <c r="P36" s="950"/>
      <c r="Q36" s="950"/>
    </row>
    <row r="40" spans="1:20" ht="17.25" customHeight="1">
      <c r="A40" s="1090"/>
      <c r="B40" s="1075" t="s">
        <v>14</v>
      </c>
      <c r="C40" s="967"/>
      <c r="D40" s="967"/>
      <c r="E40" s="967"/>
      <c r="F40" s="967"/>
      <c r="G40" s="967"/>
      <c r="H40" s="967"/>
      <c r="I40" s="967"/>
      <c r="J40" s="967"/>
      <c r="K40" s="967"/>
      <c r="L40" s="967"/>
      <c r="M40" s="967"/>
      <c r="N40" s="967"/>
      <c r="O40" s="967"/>
      <c r="P40" s="967"/>
      <c r="Q40" s="1060"/>
    </row>
    <row r="41" spans="1:20" ht="15.75" customHeight="1">
      <c r="A41" s="1493" t="s">
        <v>70</v>
      </c>
      <c r="B41" s="1063" t="s">
        <v>36</v>
      </c>
      <c r="C41" s="1064"/>
      <c r="D41" s="1386" t="s">
        <v>808</v>
      </c>
      <c r="E41" s="1064"/>
      <c r="F41" s="1386" t="s">
        <v>809</v>
      </c>
      <c r="G41" s="1064"/>
      <c r="H41" s="1386" t="s">
        <v>71</v>
      </c>
      <c r="I41" s="1064"/>
      <c r="J41" s="1386" t="s">
        <v>1284</v>
      </c>
      <c r="K41" s="1064"/>
      <c r="L41" s="1386" t="s">
        <v>72</v>
      </c>
      <c r="M41" s="1064"/>
      <c r="N41" s="1386" t="s">
        <v>1265</v>
      </c>
      <c r="O41" s="1064"/>
      <c r="P41" s="1063" t="s">
        <v>594</v>
      </c>
      <c r="Q41" s="1064"/>
    </row>
    <row r="42" spans="1:20" ht="15" customHeight="1">
      <c r="A42" s="1270"/>
      <c r="B42" s="1047">
        <f>+B8</f>
        <v>2022</v>
      </c>
      <c r="C42" s="1048">
        <f t="shared" ref="C42:I42" si="5">+C8</f>
        <v>2023</v>
      </c>
      <c r="D42" s="1088">
        <f>+D8</f>
        <v>2022</v>
      </c>
      <c r="E42" s="1048">
        <f t="shared" si="5"/>
        <v>2023</v>
      </c>
      <c r="F42" s="1088">
        <f>+F8</f>
        <v>2022</v>
      </c>
      <c r="G42" s="1048">
        <f t="shared" si="5"/>
        <v>2023</v>
      </c>
      <c r="H42" s="1088">
        <f>+H8</f>
        <v>2022</v>
      </c>
      <c r="I42" s="1048">
        <f t="shared" si="5"/>
        <v>2023</v>
      </c>
      <c r="J42" s="1088">
        <f t="shared" ref="J42:Q42" si="6">+J8</f>
        <v>2022</v>
      </c>
      <c r="K42" s="1048">
        <f t="shared" si="6"/>
        <v>2023</v>
      </c>
      <c r="L42" s="1088">
        <f>+L8</f>
        <v>2022</v>
      </c>
      <c r="M42" s="1048">
        <f>+M8</f>
        <v>2023</v>
      </c>
      <c r="N42" s="1088">
        <f>+J42</f>
        <v>2022</v>
      </c>
      <c r="O42" s="1048">
        <f>+K42</f>
        <v>2023</v>
      </c>
      <c r="P42" s="1047">
        <f t="shared" si="6"/>
        <v>2022</v>
      </c>
      <c r="Q42" s="1048">
        <f t="shared" si="6"/>
        <v>2023</v>
      </c>
    </row>
    <row r="43" spans="1:20" ht="20.25" customHeight="1">
      <c r="A43" s="394" t="s">
        <v>96</v>
      </c>
      <c r="B43" s="353">
        <v>915600</v>
      </c>
      <c r="C43" s="340">
        <v>881962</v>
      </c>
      <c r="D43" s="352">
        <v>576426</v>
      </c>
      <c r="E43" s="352">
        <v>703311</v>
      </c>
      <c r="F43" s="353">
        <v>126230</v>
      </c>
      <c r="G43" s="340">
        <v>183720</v>
      </c>
      <c r="H43" s="352">
        <v>1216</v>
      </c>
      <c r="I43" s="352">
        <v>1582</v>
      </c>
      <c r="J43" s="353">
        <v>0</v>
      </c>
      <c r="K43" s="340">
        <v>0</v>
      </c>
      <c r="L43" s="353">
        <v>139844</v>
      </c>
      <c r="M43" s="340">
        <v>189717</v>
      </c>
      <c r="N43" s="352">
        <v>522</v>
      </c>
      <c r="O43" s="340">
        <v>618</v>
      </c>
      <c r="P43" s="428">
        <f>+N43+J43+H43+F43+D43+B43+L43</f>
        <v>1759838</v>
      </c>
      <c r="Q43" s="429">
        <f>+O43+K43+I43+G43+E43+C43+M43</f>
        <v>1960910</v>
      </c>
      <c r="R43" s="88"/>
      <c r="S43" s="88"/>
      <c r="T43" s="88"/>
    </row>
    <row r="44" spans="1:20" ht="15.75" customHeight="1">
      <c r="A44" s="182" t="s">
        <v>97</v>
      </c>
      <c r="B44" s="353">
        <v>250466</v>
      </c>
      <c r="C44" s="340">
        <v>307273</v>
      </c>
      <c r="D44" s="352">
        <v>170004</v>
      </c>
      <c r="E44" s="340">
        <v>192587</v>
      </c>
      <c r="F44" s="353">
        <v>35717</v>
      </c>
      <c r="G44" s="340">
        <v>42836</v>
      </c>
      <c r="H44" s="352">
        <v>0</v>
      </c>
      <c r="I44" s="352">
        <v>0</v>
      </c>
      <c r="J44" s="353"/>
      <c r="K44" s="340"/>
      <c r="L44" s="353">
        <v>52365</v>
      </c>
      <c r="M44" s="340">
        <v>75985</v>
      </c>
      <c r="N44" s="352"/>
      <c r="O44" s="340"/>
      <c r="P44" s="428">
        <f>+N44+J44+H44+F44+D44+B44+L44</f>
        <v>508552</v>
      </c>
      <c r="Q44" s="429">
        <f t="shared" ref="Q44:Q50" si="7">+O44+K44+I44+G44+E44+C44+M44</f>
        <v>618681</v>
      </c>
      <c r="R44" s="88"/>
      <c r="S44" s="88"/>
      <c r="T44" s="88"/>
    </row>
    <row r="45" spans="1:20" ht="15.75" customHeight="1">
      <c r="A45" s="182" t="s">
        <v>98</v>
      </c>
      <c r="B45" s="353">
        <v>405991</v>
      </c>
      <c r="C45" s="340">
        <v>424839</v>
      </c>
      <c r="D45" s="352">
        <v>313572</v>
      </c>
      <c r="E45" s="340">
        <v>392384</v>
      </c>
      <c r="F45" s="353">
        <v>68496</v>
      </c>
      <c r="G45" s="340">
        <v>101683</v>
      </c>
      <c r="H45" s="352">
        <v>338</v>
      </c>
      <c r="I45" s="352">
        <v>473</v>
      </c>
      <c r="J45" s="353"/>
      <c r="K45" s="340"/>
      <c r="L45" s="353">
        <v>67796</v>
      </c>
      <c r="M45" s="340">
        <v>84086</v>
      </c>
      <c r="N45" s="352"/>
      <c r="O45" s="340"/>
      <c r="P45" s="428">
        <f>+N45+J45+H45+F45+D45+B45+L45</f>
        <v>856193</v>
      </c>
      <c r="Q45" s="429">
        <f t="shared" si="7"/>
        <v>1003465</v>
      </c>
      <c r="R45" s="88"/>
      <c r="S45" s="88"/>
      <c r="T45" s="88"/>
    </row>
    <row r="46" spans="1:20" ht="15.75" customHeight="1">
      <c r="A46" s="182" t="s">
        <v>99</v>
      </c>
      <c r="B46" s="353">
        <v>22098</v>
      </c>
      <c r="C46" s="340">
        <v>31542</v>
      </c>
      <c r="D46" s="352">
        <v>22395</v>
      </c>
      <c r="E46" s="340">
        <v>33455</v>
      </c>
      <c r="F46" s="353">
        <v>4617</v>
      </c>
      <c r="G46" s="340">
        <v>11208</v>
      </c>
      <c r="H46" s="352">
        <v>0</v>
      </c>
      <c r="I46" s="352">
        <v>0</v>
      </c>
      <c r="J46" s="353"/>
      <c r="K46" s="340"/>
      <c r="L46" s="353">
        <v>0</v>
      </c>
      <c r="M46" s="340">
        <v>0</v>
      </c>
      <c r="N46" s="352"/>
      <c r="O46" s="340"/>
      <c r="P46" s="428">
        <f>+N46+J46+H46+F46+D46+B46+L46</f>
        <v>49110</v>
      </c>
      <c r="Q46" s="429">
        <f t="shared" si="7"/>
        <v>76205</v>
      </c>
      <c r="R46" s="88"/>
      <c r="S46" s="88"/>
      <c r="T46" s="88"/>
    </row>
    <row r="47" spans="1:20" ht="15.75" customHeight="1">
      <c r="A47" s="182" t="s">
        <v>1353</v>
      </c>
      <c r="B47" s="353">
        <v>0</v>
      </c>
      <c r="C47" s="340">
        <v>0</v>
      </c>
      <c r="D47" s="352">
        <v>0</v>
      </c>
      <c r="E47" s="340">
        <v>0</v>
      </c>
      <c r="F47" s="353">
        <v>0</v>
      </c>
      <c r="G47" s="340">
        <v>0</v>
      </c>
      <c r="H47" s="352">
        <v>0</v>
      </c>
      <c r="I47" s="352">
        <v>0</v>
      </c>
      <c r="J47" s="353"/>
      <c r="K47" s="340"/>
      <c r="L47" s="353">
        <v>0</v>
      </c>
      <c r="M47" s="340">
        <v>0</v>
      </c>
      <c r="N47" s="352"/>
      <c r="O47" s="340"/>
      <c r="P47" s="428"/>
      <c r="Q47" s="429">
        <f t="shared" si="7"/>
        <v>0</v>
      </c>
      <c r="R47" s="88"/>
      <c r="S47" s="88"/>
      <c r="T47" s="88"/>
    </row>
    <row r="48" spans="1:20" ht="15.75" customHeight="1">
      <c r="A48" s="182" t="s">
        <v>100</v>
      </c>
      <c r="B48" s="353">
        <v>25943</v>
      </c>
      <c r="C48" s="340">
        <v>31826</v>
      </c>
      <c r="D48" s="352">
        <v>22815</v>
      </c>
      <c r="E48" s="340">
        <v>26791</v>
      </c>
      <c r="F48" s="353">
        <v>563</v>
      </c>
      <c r="G48" s="340">
        <v>0</v>
      </c>
      <c r="H48" s="352">
        <v>0</v>
      </c>
      <c r="I48" s="352">
        <v>0</v>
      </c>
      <c r="J48" s="353"/>
      <c r="K48" s="340"/>
      <c r="L48" s="353">
        <v>0</v>
      </c>
      <c r="M48" s="340">
        <v>0</v>
      </c>
      <c r="N48" s="352"/>
      <c r="O48" s="340"/>
      <c r="P48" s="428">
        <f>+N48+J48+H48+F48+D48+B48+L48</f>
        <v>49321</v>
      </c>
      <c r="Q48" s="429">
        <f t="shared" si="7"/>
        <v>58617</v>
      </c>
      <c r="R48" s="88"/>
      <c r="S48" s="88"/>
      <c r="T48" s="88"/>
    </row>
    <row r="49" spans="1:20" ht="15.75" customHeight="1">
      <c r="A49" s="182" t="s">
        <v>101</v>
      </c>
      <c r="B49" s="353">
        <v>188790</v>
      </c>
      <c r="C49" s="340">
        <v>56309</v>
      </c>
      <c r="D49" s="352">
        <v>28711</v>
      </c>
      <c r="E49" s="340">
        <v>27678</v>
      </c>
      <c r="F49" s="353">
        <v>6591</v>
      </c>
      <c r="G49" s="340">
        <v>8098</v>
      </c>
      <c r="H49" s="352">
        <v>0</v>
      </c>
      <c r="I49" s="352">
        <v>309</v>
      </c>
      <c r="J49" s="353">
        <v>0</v>
      </c>
      <c r="K49" s="340">
        <v>0</v>
      </c>
      <c r="L49" s="353">
        <v>4926</v>
      </c>
      <c r="M49" s="340">
        <v>6078</v>
      </c>
      <c r="N49" s="352"/>
      <c r="O49" s="340"/>
      <c r="P49" s="428">
        <f>SUM(P50:P52)</f>
        <v>229018</v>
      </c>
      <c r="Q49" s="429">
        <f>SUM(Q50:Q52)</f>
        <v>98472</v>
      </c>
      <c r="R49" s="88"/>
      <c r="S49" s="88"/>
      <c r="T49" s="88"/>
    </row>
    <row r="50" spans="1:20" ht="15.75" customHeight="1">
      <c r="A50" s="182" t="s">
        <v>102</v>
      </c>
      <c r="B50" s="353">
        <v>23961</v>
      </c>
      <c r="C50" s="340">
        <v>31463</v>
      </c>
      <c r="D50" s="352">
        <v>24022</v>
      </c>
      <c r="E50" s="340">
        <v>26497</v>
      </c>
      <c r="F50" s="353">
        <v>6551</v>
      </c>
      <c r="G50" s="340">
        <v>8011</v>
      </c>
      <c r="H50" s="352">
        <v>0</v>
      </c>
      <c r="I50" s="352">
        <v>0</v>
      </c>
      <c r="J50" s="353"/>
      <c r="K50" s="340"/>
      <c r="L50" s="353">
        <v>4621</v>
      </c>
      <c r="M50" s="340">
        <v>5533</v>
      </c>
      <c r="N50" s="352"/>
      <c r="O50" s="340"/>
      <c r="P50" s="428">
        <f>+O50+J50+H50+F50+D50+B50+L50</f>
        <v>59155</v>
      </c>
      <c r="Q50" s="429">
        <f t="shared" si="7"/>
        <v>71504</v>
      </c>
      <c r="R50" s="88"/>
      <c r="S50" s="88"/>
      <c r="T50" s="88"/>
    </row>
    <row r="51" spans="1:20" ht="15.75" customHeight="1">
      <c r="A51" s="182" t="s">
        <v>103</v>
      </c>
      <c r="B51" s="353">
        <v>2101</v>
      </c>
      <c r="C51" s="340">
        <v>3679</v>
      </c>
      <c r="D51" s="352">
        <v>629</v>
      </c>
      <c r="E51" s="340">
        <v>830</v>
      </c>
      <c r="F51" s="353">
        <v>40</v>
      </c>
      <c r="G51" s="340">
        <v>87</v>
      </c>
      <c r="H51" s="352">
        <v>0</v>
      </c>
      <c r="I51" s="352">
        <v>0</v>
      </c>
      <c r="J51" s="353"/>
      <c r="K51" s="340"/>
      <c r="L51" s="353">
        <v>305</v>
      </c>
      <c r="M51" s="340">
        <v>545</v>
      </c>
      <c r="N51" s="352"/>
      <c r="O51" s="340"/>
      <c r="P51" s="428">
        <f>+O51+J51+H51+F51+D51+B51+L51</f>
        <v>3075</v>
      </c>
      <c r="Q51" s="429">
        <f>+O51+K51+I51+G51+E51+C51+M51</f>
        <v>5141</v>
      </c>
      <c r="R51" s="88"/>
      <c r="S51" s="88"/>
      <c r="T51" s="88"/>
    </row>
    <row r="52" spans="1:20" ht="15.75" customHeight="1">
      <c r="A52" s="182" t="s">
        <v>104</v>
      </c>
      <c r="B52" s="353">
        <v>162728</v>
      </c>
      <c r="C52" s="340">
        <v>21167</v>
      </c>
      <c r="D52" s="352">
        <v>4060</v>
      </c>
      <c r="E52" s="340">
        <v>351</v>
      </c>
      <c r="F52" s="353">
        <v>0</v>
      </c>
      <c r="G52" s="340">
        <v>0</v>
      </c>
      <c r="H52" s="352">
        <v>0</v>
      </c>
      <c r="I52" s="352">
        <v>309</v>
      </c>
      <c r="J52" s="353"/>
      <c r="K52" s="340"/>
      <c r="L52" s="353">
        <v>0</v>
      </c>
      <c r="M52" s="340">
        <v>0</v>
      </c>
      <c r="N52" s="352"/>
      <c r="O52" s="340"/>
      <c r="P52" s="428">
        <f>+O52+J52+H52+F52+D52+B52+L52</f>
        <v>166788</v>
      </c>
      <c r="Q52" s="429">
        <f>+O52+K52+I52+G52+E52+C52+M52</f>
        <v>21827</v>
      </c>
      <c r="R52" s="88"/>
      <c r="S52" s="88"/>
      <c r="T52" s="88"/>
    </row>
    <row r="53" spans="1:20" ht="15.75" customHeight="1">
      <c r="A53" s="182" t="s">
        <v>105</v>
      </c>
      <c r="B53" s="353">
        <v>52</v>
      </c>
      <c r="C53" s="340">
        <v>273</v>
      </c>
      <c r="D53" s="352">
        <v>0</v>
      </c>
      <c r="E53" s="340">
        <v>0</v>
      </c>
      <c r="F53" s="353">
        <v>0</v>
      </c>
      <c r="G53" s="340">
        <v>0</v>
      </c>
      <c r="H53" s="352">
        <v>0</v>
      </c>
      <c r="I53" s="352">
        <v>0</v>
      </c>
      <c r="J53" s="353"/>
      <c r="K53" s="340"/>
      <c r="L53" s="353">
        <v>0</v>
      </c>
      <c r="M53" s="340">
        <v>0</v>
      </c>
      <c r="N53" s="352"/>
      <c r="O53" s="340"/>
      <c r="P53" s="428">
        <f>+O53+J53+H53+F53+D53+B53+L53</f>
        <v>52</v>
      </c>
      <c r="Q53" s="429">
        <f>+O53+K53+I53+G53+E53+C53+M53</f>
        <v>273</v>
      </c>
      <c r="R53" s="88"/>
      <c r="S53" s="88"/>
      <c r="T53" s="88"/>
    </row>
    <row r="54" spans="1:20" ht="15.75" customHeight="1">
      <c r="A54" s="182" t="s">
        <v>106</v>
      </c>
      <c r="B54" s="353">
        <v>1321</v>
      </c>
      <c r="C54" s="340">
        <v>1510</v>
      </c>
      <c r="D54" s="352">
        <v>601</v>
      </c>
      <c r="E54" s="340">
        <v>979</v>
      </c>
      <c r="F54" s="353">
        <v>101</v>
      </c>
      <c r="G54" s="340">
        <v>94</v>
      </c>
      <c r="H54" s="352">
        <v>0</v>
      </c>
      <c r="I54" s="352">
        <v>0</v>
      </c>
      <c r="J54" s="353"/>
      <c r="K54" s="340"/>
      <c r="L54" s="353">
        <v>0</v>
      </c>
      <c r="M54" s="340">
        <v>0</v>
      </c>
      <c r="N54" s="352"/>
      <c r="O54" s="340"/>
      <c r="P54" s="428">
        <f>+O54+J54+H54+F54+D54+B54+L54</f>
        <v>2023</v>
      </c>
      <c r="Q54" s="429">
        <f>+O54+K54+I54+G54+E54+C54+M54</f>
        <v>2583</v>
      </c>
      <c r="R54" s="88"/>
      <c r="S54" s="88"/>
      <c r="T54" s="88"/>
    </row>
    <row r="55" spans="1:20" ht="15.75" customHeight="1">
      <c r="A55" s="182" t="s">
        <v>107</v>
      </c>
      <c r="B55" s="353">
        <v>20939</v>
      </c>
      <c r="C55" s="340">
        <v>28390</v>
      </c>
      <c r="D55" s="352">
        <v>18328</v>
      </c>
      <c r="E55" s="340">
        <v>29437</v>
      </c>
      <c r="F55" s="353">
        <v>10145</v>
      </c>
      <c r="G55" s="340">
        <v>19801</v>
      </c>
      <c r="H55" s="352">
        <v>878</v>
      </c>
      <c r="I55" s="352">
        <v>800</v>
      </c>
      <c r="J55" s="353"/>
      <c r="K55" s="340"/>
      <c r="L55" s="353">
        <v>14757</v>
      </c>
      <c r="M55" s="340">
        <v>23568</v>
      </c>
      <c r="N55" s="352">
        <v>522</v>
      </c>
      <c r="O55" s="340">
        <v>618</v>
      </c>
      <c r="P55" s="428">
        <f>+N55+J55+H55+F55+D55+B55+L55</f>
        <v>65569</v>
      </c>
      <c r="Q55" s="429">
        <f>+O55+K55+I55+G55+E55+C55+M55</f>
        <v>102614</v>
      </c>
      <c r="R55" s="88"/>
      <c r="S55" s="88"/>
      <c r="T55" s="88"/>
    </row>
    <row r="56" spans="1:20" ht="18.75" customHeight="1">
      <c r="A56" s="394" t="s">
        <v>108</v>
      </c>
      <c r="B56" s="358">
        <v>48045</v>
      </c>
      <c r="C56" s="360">
        <v>50317</v>
      </c>
      <c r="D56" s="359">
        <v>51633</v>
      </c>
      <c r="E56" s="360">
        <v>62761</v>
      </c>
      <c r="F56" s="358">
        <v>13143</v>
      </c>
      <c r="G56" s="360">
        <v>19440</v>
      </c>
      <c r="H56" s="359">
        <v>5563</v>
      </c>
      <c r="I56" s="359">
        <v>4583</v>
      </c>
      <c r="J56" s="358">
        <v>0</v>
      </c>
      <c r="K56" s="360">
        <v>0</v>
      </c>
      <c r="L56" s="358">
        <v>843</v>
      </c>
      <c r="M56" s="360">
        <v>174</v>
      </c>
      <c r="N56" s="359">
        <v>786</v>
      </c>
      <c r="O56" s="360">
        <v>0</v>
      </c>
      <c r="P56" s="358">
        <f>SUM(P57:P60)+P64</f>
        <v>120013</v>
      </c>
      <c r="Q56" s="360">
        <f>SUM(Q57:Q60)+Q64</f>
        <v>137275</v>
      </c>
      <c r="R56" s="88"/>
      <c r="S56" s="88"/>
      <c r="T56" s="88"/>
    </row>
    <row r="57" spans="1:20" ht="13.5" customHeight="1">
      <c r="A57" s="182" t="s">
        <v>109</v>
      </c>
      <c r="B57" s="353">
        <v>21785</v>
      </c>
      <c r="C57" s="340">
        <v>31459</v>
      </c>
      <c r="D57" s="352">
        <v>36291</v>
      </c>
      <c r="E57" s="340">
        <v>52194</v>
      </c>
      <c r="F57" s="353">
        <v>12604</v>
      </c>
      <c r="G57" s="340">
        <v>18971</v>
      </c>
      <c r="H57" s="352">
        <v>5563</v>
      </c>
      <c r="I57" s="352">
        <v>4583</v>
      </c>
      <c r="J57" s="353"/>
      <c r="K57" s="340"/>
      <c r="L57" s="353">
        <v>0</v>
      </c>
      <c r="M57" s="340">
        <v>0</v>
      </c>
      <c r="N57" s="352"/>
      <c r="O57" s="340"/>
      <c r="P57" s="428">
        <f>+O57+J57+H57+F57+D57+B57+L57</f>
        <v>76243</v>
      </c>
      <c r="Q57" s="429">
        <f>+O57+K57+I57+G57+E57+C57+M57</f>
        <v>107207</v>
      </c>
      <c r="R57" s="88"/>
      <c r="S57" s="88"/>
      <c r="T57" s="88"/>
    </row>
    <row r="58" spans="1:20" ht="13.5" customHeight="1">
      <c r="A58" s="182" t="s">
        <v>110</v>
      </c>
      <c r="B58" s="353">
        <v>19</v>
      </c>
      <c r="C58" s="340">
        <v>0</v>
      </c>
      <c r="D58" s="352">
        <v>58</v>
      </c>
      <c r="E58" s="340">
        <v>0</v>
      </c>
      <c r="F58" s="353">
        <v>0</v>
      </c>
      <c r="G58" s="340">
        <v>0</v>
      </c>
      <c r="H58" s="352">
        <v>0</v>
      </c>
      <c r="I58" s="352">
        <v>0</v>
      </c>
      <c r="J58" s="353"/>
      <c r="K58" s="340"/>
      <c r="L58" s="353">
        <v>0</v>
      </c>
      <c r="M58" s="340">
        <v>0</v>
      </c>
      <c r="N58" s="352"/>
      <c r="O58" s="340"/>
      <c r="P58" s="428">
        <f>+O58+J58+H58+F58+D58+B58+L58</f>
        <v>77</v>
      </c>
      <c r="Q58" s="429">
        <f>+O58+K58+I58+G58+E58+C58+M58</f>
        <v>0</v>
      </c>
      <c r="R58" s="88"/>
      <c r="S58" s="88"/>
      <c r="T58" s="88"/>
    </row>
    <row r="59" spans="1:20" ht="13.5" customHeight="1">
      <c r="A59" s="182" t="s">
        <v>111</v>
      </c>
      <c r="B59" s="353">
        <v>13935</v>
      </c>
      <c r="C59" s="340">
        <v>6854</v>
      </c>
      <c r="D59" s="352">
        <v>8609</v>
      </c>
      <c r="E59" s="340">
        <v>0</v>
      </c>
      <c r="F59" s="353">
        <v>0</v>
      </c>
      <c r="G59" s="340">
        <v>0</v>
      </c>
      <c r="H59" s="352">
        <v>0</v>
      </c>
      <c r="I59" s="352">
        <v>0</v>
      </c>
      <c r="J59" s="353"/>
      <c r="K59" s="340"/>
      <c r="L59" s="353">
        <v>0</v>
      </c>
      <c r="M59" s="340">
        <v>0</v>
      </c>
      <c r="N59" s="352"/>
      <c r="O59" s="340"/>
      <c r="P59" s="428">
        <f>+O59+J59+H59+F59+D59+B59+L59</f>
        <v>22544</v>
      </c>
      <c r="Q59" s="429">
        <f>+O59+K59+I59+G59+E59+C59+M59</f>
        <v>6854</v>
      </c>
      <c r="R59" s="88"/>
      <c r="S59" s="88"/>
      <c r="T59" s="88"/>
    </row>
    <row r="60" spans="1:20" ht="13.5" customHeight="1">
      <c r="A60" s="182" t="s">
        <v>112</v>
      </c>
      <c r="B60" s="353">
        <v>9777</v>
      </c>
      <c r="C60" s="340">
        <v>9271</v>
      </c>
      <c r="D60" s="352">
        <v>6675</v>
      </c>
      <c r="E60" s="340">
        <v>10567</v>
      </c>
      <c r="F60" s="353">
        <v>539</v>
      </c>
      <c r="G60" s="340">
        <v>469</v>
      </c>
      <c r="H60" s="352">
        <v>0</v>
      </c>
      <c r="I60" s="352">
        <v>0</v>
      </c>
      <c r="J60" s="353"/>
      <c r="K60" s="340"/>
      <c r="L60" s="353">
        <v>843</v>
      </c>
      <c r="M60" s="340">
        <v>174</v>
      </c>
      <c r="N60" s="352">
        <v>786</v>
      </c>
      <c r="O60" s="340">
        <v>0</v>
      </c>
      <c r="P60" s="353">
        <f>SUM(P61:P63)</f>
        <v>18620</v>
      </c>
      <c r="Q60" s="429">
        <f>SUM(Q61:Q63)</f>
        <v>20481</v>
      </c>
      <c r="R60" s="88"/>
      <c r="S60" s="88"/>
      <c r="T60" s="88"/>
    </row>
    <row r="61" spans="1:20" ht="13.5" customHeight="1">
      <c r="A61" s="182" t="s">
        <v>113</v>
      </c>
      <c r="B61" s="353">
        <v>6193</v>
      </c>
      <c r="C61" s="340">
        <v>5371</v>
      </c>
      <c r="D61" s="352">
        <v>3557</v>
      </c>
      <c r="E61" s="340">
        <v>7858</v>
      </c>
      <c r="F61" s="353">
        <v>0</v>
      </c>
      <c r="G61" s="340">
        <v>0</v>
      </c>
      <c r="H61" s="352">
        <v>0</v>
      </c>
      <c r="I61" s="352">
        <v>0</v>
      </c>
      <c r="J61" s="353"/>
      <c r="K61" s="340"/>
      <c r="L61" s="353">
        <v>193</v>
      </c>
      <c r="M61" s="340">
        <v>0</v>
      </c>
      <c r="N61" s="352"/>
      <c r="O61" s="340"/>
      <c r="P61" s="428">
        <f>+O61+J61+H61+F61+D61+B61+L61</f>
        <v>9943</v>
      </c>
      <c r="Q61" s="429">
        <f t="shared" ref="Q61:Q68" si="8">+O61+K61+I61+G61+E61+C61+M61</f>
        <v>13229</v>
      </c>
      <c r="R61" s="88"/>
      <c r="S61" s="88"/>
      <c r="T61" s="88"/>
    </row>
    <row r="62" spans="1:20" ht="13.5" customHeight="1">
      <c r="A62" s="182" t="s">
        <v>1005</v>
      </c>
      <c r="B62" s="353">
        <v>2753</v>
      </c>
      <c r="C62" s="340">
        <v>3152</v>
      </c>
      <c r="D62" s="352">
        <v>2280</v>
      </c>
      <c r="E62" s="340">
        <v>1722</v>
      </c>
      <c r="F62" s="353">
        <v>539</v>
      </c>
      <c r="G62" s="340">
        <v>469</v>
      </c>
      <c r="H62" s="352">
        <v>0</v>
      </c>
      <c r="I62" s="352">
        <v>0</v>
      </c>
      <c r="J62" s="353"/>
      <c r="K62" s="340"/>
      <c r="L62" s="353">
        <v>650</v>
      </c>
      <c r="M62" s="340">
        <v>174</v>
      </c>
      <c r="N62" s="352">
        <v>786</v>
      </c>
      <c r="O62" s="340">
        <v>0</v>
      </c>
      <c r="P62" s="428">
        <f>+N62+J62+H62+F62+D62+B62+L62</f>
        <v>7008</v>
      </c>
      <c r="Q62" s="429">
        <f t="shared" si="8"/>
        <v>5517</v>
      </c>
      <c r="R62" s="88"/>
      <c r="S62" s="88"/>
      <c r="T62" s="88"/>
    </row>
    <row r="63" spans="1:20" ht="13.5" customHeight="1">
      <c r="A63" s="182" t="s">
        <v>1006</v>
      </c>
      <c r="B63" s="353">
        <v>831</v>
      </c>
      <c r="C63" s="340">
        <v>748</v>
      </c>
      <c r="D63" s="352">
        <v>838</v>
      </c>
      <c r="E63" s="340">
        <v>987</v>
      </c>
      <c r="F63" s="353"/>
      <c r="G63" s="340">
        <v>0</v>
      </c>
      <c r="H63" s="352"/>
      <c r="I63" s="352">
        <v>0</v>
      </c>
      <c r="J63" s="353"/>
      <c r="K63" s="340"/>
      <c r="L63" s="353"/>
      <c r="M63" s="340">
        <v>0</v>
      </c>
      <c r="N63" s="352"/>
      <c r="O63" s="340"/>
      <c r="P63" s="428">
        <f t="shared" ref="P63:P68" si="9">+O63+J63+H63+F63+D63+B63+L63</f>
        <v>1669</v>
      </c>
      <c r="Q63" s="429">
        <f t="shared" si="8"/>
        <v>1735</v>
      </c>
      <c r="R63" s="88"/>
      <c r="S63" s="88"/>
      <c r="T63" s="88"/>
    </row>
    <row r="64" spans="1:20" ht="13.5" customHeight="1">
      <c r="A64" s="398" t="s">
        <v>1041</v>
      </c>
      <c r="B64" s="357">
        <v>2529</v>
      </c>
      <c r="C64" s="356">
        <v>2733</v>
      </c>
      <c r="D64" s="355">
        <v>0</v>
      </c>
      <c r="E64" s="356">
        <v>0</v>
      </c>
      <c r="F64" s="357"/>
      <c r="G64" s="356">
        <v>0</v>
      </c>
      <c r="H64" s="355"/>
      <c r="I64" s="355">
        <v>0</v>
      </c>
      <c r="J64" s="357"/>
      <c r="K64" s="356"/>
      <c r="L64" s="357"/>
      <c r="M64" s="356">
        <v>0</v>
      </c>
      <c r="N64" s="355"/>
      <c r="O64" s="356"/>
      <c r="P64" s="430">
        <f t="shared" si="9"/>
        <v>2529</v>
      </c>
      <c r="Q64" s="429">
        <f t="shared" si="8"/>
        <v>2733</v>
      </c>
      <c r="R64" s="88"/>
      <c r="T64" s="88"/>
    </row>
    <row r="65" spans="1:20" ht="23.25" customHeight="1">
      <c r="A65" s="182" t="s">
        <v>114</v>
      </c>
      <c r="B65" s="353">
        <v>7033</v>
      </c>
      <c r="C65" s="340">
        <v>9212</v>
      </c>
      <c r="D65" s="352">
        <v>0</v>
      </c>
      <c r="E65" s="340">
        <v>0</v>
      </c>
      <c r="F65" s="353"/>
      <c r="G65" s="340">
        <v>0</v>
      </c>
      <c r="H65" s="352"/>
      <c r="I65" s="352">
        <v>0</v>
      </c>
      <c r="J65" s="932"/>
      <c r="K65" s="340"/>
      <c r="L65" s="932"/>
      <c r="M65" s="933">
        <v>0</v>
      </c>
      <c r="N65" s="842"/>
      <c r="O65" s="933"/>
      <c r="P65" s="430">
        <f t="shared" si="9"/>
        <v>7033</v>
      </c>
      <c r="Q65" s="433">
        <f t="shared" si="8"/>
        <v>9212</v>
      </c>
      <c r="R65" s="88"/>
      <c r="T65" s="88"/>
    </row>
    <row r="66" spans="1:20" ht="21.75" customHeight="1">
      <c r="A66" s="929" t="s">
        <v>115</v>
      </c>
      <c r="B66" s="934">
        <v>0</v>
      </c>
      <c r="C66" s="431">
        <v>0</v>
      </c>
      <c r="D66" s="432">
        <v>243</v>
      </c>
      <c r="E66" s="432">
        <v>0</v>
      </c>
      <c r="F66" s="934"/>
      <c r="G66" s="431">
        <v>0</v>
      </c>
      <c r="H66" s="432"/>
      <c r="I66" s="432">
        <v>0</v>
      </c>
      <c r="J66" s="934"/>
      <c r="K66" s="431"/>
      <c r="L66" s="934"/>
      <c r="M66" s="431">
        <v>13228</v>
      </c>
      <c r="N66" s="432"/>
      <c r="O66" s="431"/>
      <c r="P66" s="428">
        <f t="shared" si="9"/>
        <v>243</v>
      </c>
      <c r="Q66" s="340"/>
    </row>
    <row r="67" spans="1:20" ht="18.75" customHeight="1">
      <c r="A67" s="930" t="s">
        <v>116</v>
      </c>
      <c r="B67" s="934">
        <v>2748</v>
      </c>
      <c r="C67" s="431">
        <v>2996</v>
      </c>
      <c r="D67" s="432"/>
      <c r="E67" s="432">
        <v>0</v>
      </c>
      <c r="F67" s="934"/>
      <c r="G67" s="431">
        <v>0</v>
      </c>
      <c r="H67" s="432"/>
      <c r="I67" s="432">
        <v>0</v>
      </c>
      <c r="J67" s="143"/>
      <c r="K67" s="431"/>
      <c r="L67" s="143"/>
      <c r="M67" s="265">
        <v>0</v>
      </c>
      <c r="N67" s="435"/>
      <c r="O67" s="265"/>
      <c r="P67" s="434">
        <f t="shared" si="9"/>
        <v>2748</v>
      </c>
      <c r="Q67" s="433">
        <f t="shared" si="8"/>
        <v>2996</v>
      </c>
    </row>
    <row r="68" spans="1:20" ht="16.5" customHeight="1">
      <c r="A68" s="931" t="s">
        <v>117</v>
      </c>
      <c r="B68" s="934">
        <v>791</v>
      </c>
      <c r="C68" s="431">
        <v>756</v>
      </c>
      <c r="D68" s="432"/>
      <c r="E68" s="432">
        <v>0</v>
      </c>
      <c r="F68" s="934"/>
      <c r="G68" s="431">
        <v>0</v>
      </c>
      <c r="H68" s="432"/>
      <c r="I68" s="432">
        <v>0</v>
      </c>
      <c r="J68" s="143"/>
      <c r="K68" s="431"/>
      <c r="L68" s="143"/>
      <c r="M68" s="265">
        <v>0</v>
      </c>
      <c r="N68" s="435"/>
      <c r="O68" s="265"/>
      <c r="P68" s="434">
        <f t="shared" si="9"/>
        <v>791</v>
      </c>
      <c r="Q68" s="433">
        <f t="shared" si="8"/>
        <v>756</v>
      </c>
    </row>
    <row r="69" spans="1:20">
      <c r="A69" s="10" t="s">
        <v>644</v>
      </c>
    </row>
    <row r="71" spans="1:20">
      <c r="A71" t="s">
        <v>1282</v>
      </c>
    </row>
  </sheetData>
  <phoneticPr fontId="18" type="noConversion"/>
  <pageMargins left="1.3779527559055118" right="0.78740157480314965" top="0.59055118110236227" bottom="0.78740157480314965" header="0.51181102362204722" footer="0.51181102362204722"/>
  <pageSetup paperSize="5" orientation="landscape" horizontalDpi="300" verticalDpi="300" r:id="rId1"/>
  <headerFooter alignWithMargins="0"/>
  <ignoredErrors>
    <ignoredError sqref="P56:Q56 P60 P62" formula="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Z64"/>
  <sheetViews>
    <sheetView workbookViewId="0">
      <selection activeCell="X20" sqref="X20"/>
    </sheetView>
  </sheetViews>
  <sheetFormatPr baseColWidth="10" defaultRowHeight="12.75"/>
  <cols>
    <col min="1" max="1" width="6" customWidth="1"/>
    <col min="2" max="8" width="7.28515625" customWidth="1"/>
    <col min="9" max="9" width="8" customWidth="1"/>
    <col min="10" max="10" width="9.28515625" customWidth="1"/>
    <col min="11" max="11" width="6.28515625" customWidth="1"/>
    <col min="12" max="12" width="8.28515625" customWidth="1"/>
    <col min="13" max="13" width="7.28515625" customWidth="1"/>
    <col min="14" max="14" width="10.42578125" customWidth="1"/>
    <col min="15" max="15" width="8.28515625" style="1511" customWidth="1"/>
    <col min="16" max="17" width="6.42578125" style="1511" customWidth="1"/>
    <col min="18" max="18" width="8" style="1511" customWidth="1"/>
    <col min="19" max="20" width="6.42578125" style="1511" customWidth="1"/>
    <col min="21" max="21" width="7.7109375" style="1511" customWidth="1"/>
    <col min="22" max="26" width="6.42578125" style="1511" customWidth="1"/>
  </cols>
  <sheetData>
    <row r="1" spans="1:26" s="1069" customFormat="1">
      <c r="A1" s="949" t="s">
        <v>118</v>
      </c>
      <c r="B1" s="950"/>
      <c r="C1" s="950"/>
      <c r="D1" s="950"/>
      <c r="E1" s="950"/>
      <c r="F1" s="950"/>
      <c r="G1" s="950"/>
      <c r="H1" s="950"/>
      <c r="I1" s="950"/>
      <c r="J1" s="950"/>
      <c r="K1" s="950"/>
      <c r="L1" s="950"/>
      <c r="M1" s="950"/>
      <c r="O1" s="1511"/>
      <c r="P1" s="1511"/>
      <c r="Q1" s="1511"/>
      <c r="R1" s="1511"/>
      <c r="S1" s="1511"/>
      <c r="T1" s="1511"/>
      <c r="U1" s="1511"/>
      <c r="V1" s="1511"/>
      <c r="W1" s="1511"/>
      <c r="X1" s="1511"/>
      <c r="Y1" s="1511"/>
      <c r="Z1" s="1511"/>
    </row>
    <row r="2" spans="1:26" s="1069" customFormat="1">
      <c r="A2" s="949" t="s">
        <v>848</v>
      </c>
      <c r="B2" s="950"/>
      <c r="C2" s="950"/>
      <c r="D2" s="950"/>
      <c r="E2" s="950"/>
      <c r="F2" s="950"/>
      <c r="G2" s="950"/>
      <c r="H2" s="950"/>
      <c r="I2" s="950"/>
      <c r="J2" s="950"/>
      <c r="K2" s="950"/>
      <c r="L2" s="950"/>
      <c r="M2" s="950"/>
      <c r="O2" s="1511"/>
      <c r="P2" s="1511"/>
      <c r="Q2" s="1511"/>
      <c r="R2" s="1511"/>
      <c r="S2" s="1511"/>
      <c r="T2" s="1511"/>
      <c r="U2" s="1511"/>
      <c r="V2" s="1511"/>
      <c r="W2" s="1511"/>
      <c r="X2" s="1511"/>
      <c r="Y2" s="1511"/>
      <c r="Z2" s="1511"/>
    </row>
    <row r="3" spans="1:26" s="1069" customFormat="1">
      <c r="A3" s="949" t="s">
        <v>1558</v>
      </c>
      <c r="B3" s="950"/>
      <c r="C3" s="950"/>
      <c r="D3" s="950"/>
      <c r="E3" s="950"/>
      <c r="F3" s="950"/>
      <c r="G3" s="950"/>
      <c r="H3" s="950"/>
      <c r="I3" s="950"/>
      <c r="J3" s="950"/>
      <c r="K3" s="950"/>
      <c r="L3" s="950"/>
      <c r="M3" s="950"/>
      <c r="O3" s="1511"/>
      <c r="P3" s="1511"/>
      <c r="Q3" s="1511"/>
      <c r="R3" s="1511"/>
      <c r="S3" s="1511"/>
      <c r="T3" s="1511"/>
      <c r="U3" s="1511"/>
      <c r="V3" s="1511"/>
      <c r="W3" s="1511"/>
      <c r="X3" s="1511"/>
      <c r="Y3" s="1511"/>
      <c r="Z3" s="1511"/>
    </row>
    <row r="4" spans="1:26" s="1069" customFormat="1">
      <c r="A4" s="949" t="s">
        <v>119</v>
      </c>
      <c r="B4" s="950"/>
      <c r="C4" s="950"/>
      <c r="D4" s="950"/>
      <c r="E4" s="950"/>
      <c r="F4" s="950"/>
      <c r="G4" s="950"/>
      <c r="H4" s="950"/>
      <c r="I4" s="950"/>
      <c r="J4" s="950"/>
      <c r="K4" s="950"/>
      <c r="L4" s="950"/>
      <c r="M4" s="950"/>
      <c r="O4" s="1511"/>
      <c r="P4" s="1511"/>
      <c r="Q4" s="1511"/>
      <c r="R4" s="1511"/>
      <c r="S4" s="1511"/>
      <c r="T4" s="1511"/>
      <c r="U4" s="1511"/>
      <c r="V4" s="1511"/>
      <c r="W4" s="1511"/>
      <c r="X4" s="1511"/>
      <c r="Y4" s="1511"/>
      <c r="Z4" s="1511"/>
    </row>
    <row r="5" spans="1:26">
      <c r="A5" s="1"/>
      <c r="B5" s="1"/>
      <c r="C5" s="1"/>
      <c r="D5" s="1"/>
      <c r="E5" s="1"/>
      <c r="F5" s="1"/>
      <c r="G5" s="1"/>
      <c r="H5" s="1"/>
      <c r="I5" s="1"/>
      <c r="J5" s="1"/>
      <c r="K5" s="1"/>
      <c r="L5" s="1"/>
      <c r="M5" s="1"/>
    </row>
    <row r="7" spans="1:26">
      <c r="O7" s="1658" t="s">
        <v>62</v>
      </c>
      <c r="P7" s="1658"/>
      <c r="Q7" s="1658"/>
      <c r="R7" s="1658" t="s">
        <v>63</v>
      </c>
      <c r="S7" s="1658"/>
      <c r="T7" s="1658"/>
      <c r="U7" s="1658" t="s">
        <v>808</v>
      </c>
      <c r="V7" s="1658"/>
      <c r="W7" s="1658"/>
      <c r="X7" s="1658" t="s">
        <v>809</v>
      </c>
      <c r="Y7" s="1658"/>
      <c r="Z7" s="1658"/>
    </row>
    <row r="8" spans="1:26" ht="18" customHeight="1">
      <c r="A8" s="1063" t="s">
        <v>597</v>
      </c>
      <c r="B8" s="1063" t="s">
        <v>36</v>
      </c>
      <c r="C8" s="1064"/>
      <c r="D8" s="1063" t="s">
        <v>808</v>
      </c>
      <c r="E8" s="1064"/>
      <c r="F8" s="1386" t="s">
        <v>809</v>
      </c>
      <c r="G8" s="1386"/>
      <c r="H8" s="1063" t="s">
        <v>71</v>
      </c>
      <c r="I8" s="1064"/>
      <c r="J8" s="1063" t="s">
        <v>120</v>
      </c>
      <c r="K8" s="1064"/>
      <c r="L8" s="1063" t="s">
        <v>474</v>
      </c>
      <c r="M8" s="1064"/>
      <c r="O8" s="1659"/>
      <c r="P8" s="1659"/>
      <c r="Q8" s="1659"/>
      <c r="R8" s="1659"/>
      <c r="S8" s="1659"/>
      <c r="T8" s="1659"/>
      <c r="U8" s="1659"/>
      <c r="V8" s="1659"/>
      <c r="W8" s="1659"/>
      <c r="X8" s="1659"/>
      <c r="Y8" s="1659"/>
      <c r="Z8" s="1659"/>
    </row>
    <row r="9" spans="1:26" ht="18" customHeight="1">
      <c r="A9" s="1387"/>
      <c r="B9" s="1388" t="s">
        <v>121</v>
      </c>
      <c r="C9" s="1389" t="s">
        <v>122</v>
      </c>
      <c r="D9" s="1388" t="s">
        <v>121</v>
      </c>
      <c r="E9" s="1389" t="s">
        <v>122</v>
      </c>
      <c r="F9" s="1388" t="s">
        <v>121</v>
      </c>
      <c r="G9" s="1389" t="s">
        <v>122</v>
      </c>
      <c r="H9" s="1388" t="s">
        <v>121</v>
      </c>
      <c r="I9" s="1389" t="s">
        <v>122</v>
      </c>
      <c r="J9" s="1388" t="s">
        <v>121</v>
      </c>
      <c r="K9" s="1389" t="s">
        <v>122</v>
      </c>
      <c r="L9" s="1388" t="s">
        <v>121</v>
      </c>
      <c r="M9" s="1389" t="s">
        <v>122</v>
      </c>
      <c r="O9" s="1658" t="s">
        <v>65</v>
      </c>
      <c r="P9" s="1658" t="s">
        <v>123</v>
      </c>
      <c r="Q9" s="1658" t="s">
        <v>124</v>
      </c>
      <c r="R9" s="1658" t="s">
        <v>65</v>
      </c>
      <c r="S9" s="1658" t="s">
        <v>123</v>
      </c>
      <c r="T9" s="1658" t="s">
        <v>124</v>
      </c>
      <c r="U9" s="1658" t="s">
        <v>65</v>
      </c>
      <c r="V9" s="1658" t="s">
        <v>123</v>
      </c>
      <c r="W9" s="1658" t="s">
        <v>124</v>
      </c>
      <c r="X9" s="1658" t="s">
        <v>65</v>
      </c>
      <c r="Y9" s="1658" t="s">
        <v>123</v>
      </c>
      <c r="Z9" s="1658" t="s">
        <v>124</v>
      </c>
    </row>
    <row r="10" spans="1:26" ht="18" customHeight="1">
      <c r="A10" s="149">
        <v>2014</v>
      </c>
      <c r="B10" s="199">
        <v>498600</v>
      </c>
      <c r="C10" s="423">
        <v>49140</v>
      </c>
      <c r="D10" s="199">
        <v>468195</v>
      </c>
      <c r="E10" s="423">
        <v>51292</v>
      </c>
      <c r="F10" s="424">
        <v>125415</v>
      </c>
      <c r="G10" s="424">
        <v>15957</v>
      </c>
      <c r="H10" s="199">
        <v>3152</v>
      </c>
      <c r="I10" s="423">
        <v>6918</v>
      </c>
      <c r="J10" s="199">
        <v>113168</v>
      </c>
      <c r="K10" s="151">
        <v>362</v>
      </c>
      <c r="L10" s="199">
        <v>1208530</v>
      </c>
      <c r="M10" s="423">
        <v>123669</v>
      </c>
      <c r="O10" s="1660">
        <v>260629</v>
      </c>
      <c r="P10" s="1511">
        <v>437.45899343511275</v>
      </c>
      <c r="Q10" s="1512">
        <v>47.530397615000638</v>
      </c>
      <c r="R10" s="1511">
        <v>114848</v>
      </c>
      <c r="S10" s="1512">
        <v>408.62512463447536</v>
      </c>
      <c r="T10" s="1512">
        <v>41.702946503204238</v>
      </c>
      <c r="U10" s="1511">
        <v>107079</v>
      </c>
      <c r="V10" s="1512">
        <v>415.34381157836737</v>
      </c>
      <c r="W10" s="1512">
        <v>48.237282753854629</v>
      </c>
      <c r="X10" s="1511">
        <v>38702</v>
      </c>
      <c r="Y10" s="1512">
        <v>287.13503178130327</v>
      </c>
      <c r="Z10" s="1512">
        <v>46.323187432174045</v>
      </c>
    </row>
    <row r="11" spans="1:26" ht="18" customHeight="1">
      <c r="A11" s="149">
        <v>2015</v>
      </c>
      <c r="B11" s="152">
        <v>473097</v>
      </c>
      <c r="C11" s="151">
        <v>45888</v>
      </c>
      <c r="D11" s="152">
        <v>452639</v>
      </c>
      <c r="E11" s="151">
        <v>51277</v>
      </c>
      <c r="F11" s="153">
        <v>150894</v>
      </c>
      <c r="G11" s="153">
        <v>16765</v>
      </c>
      <c r="H11" s="152">
        <v>3228</v>
      </c>
      <c r="I11" s="151">
        <v>7122</v>
      </c>
      <c r="J11" s="152">
        <v>111616</v>
      </c>
      <c r="K11" s="151">
        <v>584</v>
      </c>
      <c r="L11" s="199">
        <v>1191474</v>
      </c>
      <c r="M11" s="423">
        <v>121636</v>
      </c>
      <c r="O11" s="1660">
        <v>263459</v>
      </c>
      <c r="P11" s="1511">
        <v>458.71653653889223</v>
      </c>
      <c r="Q11" s="1512">
        <v>46.940510667694028</v>
      </c>
      <c r="R11" s="1511">
        <v>116115</v>
      </c>
      <c r="S11" s="1512">
        <v>412.95003354287275</v>
      </c>
      <c r="T11" s="1512">
        <v>42.320113680403047</v>
      </c>
      <c r="U11" s="1511">
        <v>108270</v>
      </c>
      <c r="V11" s="1512">
        <v>432.43280687170966</v>
      </c>
      <c r="W11" s="1512">
        <v>47.374157199593611</v>
      </c>
      <c r="X11" s="1511">
        <v>39074</v>
      </c>
      <c r="Y11" s="1512">
        <v>320.96790704816505</v>
      </c>
      <c r="Z11" s="1512">
        <v>40.837897323028102</v>
      </c>
    </row>
    <row r="12" spans="1:26" ht="18" customHeight="1">
      <c r="A12" s="181">
        <v>2016</v>
      </c>
      <c r="B12" s="424">
        <v>474928</v>
      </c>
      <c r="C12" s="423">
        <v>45156</v>
      </c>
      <c r="D12" s="424">
        <v>426887</v>
      </c>
      <c r="E12" s="423">
        <v>52925</v>
      </c>
      <c r="F12" s="424">
        <v>147018</v>
      </c>
      <c r="G12" s="423">
        <v>18058</v>
      </c>
      <c r="H12" s="424">
        <v>4155</v>
      </c>
      <c r="I12" s="423">
        <v>9181</v>
      </c>
      <c r="J12" s="424">
        <v>113628</v>
      </c>
      <c r="K12" s="151">
        <v>525</v>
      </c>
      <c r="L12" s="199">
        <v>1166616</v>
      </c>
      <c r="M12" s="423">
        <v>125845</v>
      </c>
      <c r="O12" s="1660">
        <v>266356</v>
      </c>
      <c r="P12" s="1511">
        <v>447.32388232290623</v>
      </c>
      <c r="Q12" s="1512">
        <v>45.666701707489224</v>
      </c>
      <c r="R12" s="1511">
        <v>117430</v>
      </c>
      <c r="S12" s="1512">
        <v>387.40020143955587</v>
      </c>
      <c r="T12" s="1512">
        <v>39.076896874733883</v>
      </c>
      <c r="U12" s="1511">
        <v>109467</v>
      </c>
      <c r="V12" s="1512">
        <v>413.49356427051072</v>
      </c>
      <c r="W12" s="1512">
        <v>46.842427398211335</v>
      </c>
      <c r="X12" s="1511">
        <v>39459</v>
      </c>
      <c r="Y12" s="1512">
        <v>382.40705542461797</v>
      </c>
      <c r="Z12" s="1512">
        <v>42.487138548873517</v>
      </c>
    </row>
    <row r="13" spans="1:26" ht="18" customHeight="1">
      <c r="A13" s="149">
        <v>2017</v>
      </c>
      <c r="B13" s="199">
        <v>445785</v>
      </c>
      <c r="C13" s="423">
        <v>50873</v>
      </c>
      <c r="D13" s="199">
        <v>381743</v>
      </c>
      <c r="E13" s="423">
        <v>52582</v>
      </c>
      <c r="F13" s="424">
        <v>112272</v>
      </c>
      <c r="G13" s="424">
        <v>18638</v>
      </c>
      <c r="H13" s="199">
        <v>3937</v>
      </c>
      <c r="I13" s="423">
        <v>9408</v>
      </c>
      <c r="J13" s="199">
        <v>108492</v>
      </c>
      <c r="K13" s="151">
        <v>1070</v>
      </c>
      <c r="L13" s="424">
        <v>1052229</v>
      </c>
      <c r="M13" s="423">
        <v>132571</v>
      </c>
      <c r="O13" s="1660">
        <v>269239</v>
      </c>
      <c r="P13" s="1511">
        <v>433.30126764696047</v>
      </c>
      <c r="Q13" s="1512">
        <v>46.740999632296955</v>
      </c>
      <c r="R13" s="1511">
        <v>118733</v>
      </c>
      <c r="S13" s="1512">
        <v>385.02784781392637</v>
      </c>
      <c r="T13" s="1512">
        <v>38.031549779757945</v>
      </c>
      <c r="U13" s="1511">
        <v>110666</v>
      </c>
      <c r="V13" s="1512">
        <v>385.74358881680013</v>
      </c>
      <c r="W13" s="1512">
        <v>47.824083277610107</v>
      </c>
      <c r="X13" s="1511">
        <v>39840</v>
      </c>
      <c r="Y13" s="1512">
        <v>369.02108433734941</v>
      </c>
      <c r="Z13" s="1512">
        <v>45.326305220883533</v>
      </c>
    </row>
    <row r="14" spans="1:26" ht="18" customHeight="1">
      <c r="A14" s="149">
        <v>2018</v>
      </c>
      <c r="B14" s="199">
        <v>617004</v>
      </c>
      <c r="C14" s="423">
        <v>46413</v>
      </c>
      <c r="D14" s="199">
        <v>462733</v>
      </c>
      <c r="E14" s="423">
        <v>53616</v>
      </c>
      <c r="F14" s="424">
        <v>140010</v>
      </c>
      <c r="G14" s="424">
        <v>19318</v>
      </c>
      <c r="H14" s="199">
        <v>3390</v>
      </c>
      <c r="I14" s="423">
        <v>5785</v>
      </c>
      <c r="J14" s="199">
        <v>137110</v>
      </c>
      <c r="K14" s="151">
        <v>3180</v>
      </c>
      <c r="L14" s="199">
        <v>1360247</v>
      </c>
      <c r="M14" s="423">
        <v>128312</v>
      </c>
      <c r="O14" s="1660">
        <v>272453</v>
      </c>
      <c r="P14" s="1511">
        <v>386.20569419312687</v>
      </c>
      <c r="Q14" s="1512">
        <v>48.658300697735022</v>
      </c>
      <c r="R14" s="1511">
        <v>120187</v>
      </c>
      <c r="S14" s="1512">
        <v>357.77861602914976</v>
      </c>
      <c r="T14" s="1512">
        <v>42.328205213542233</v>
      </c>
      <c r="U14" s="1511">
        <v>111997</v>
      </c>
      <c r="V14" s="1512">
        <v>340.85109422573822</v>
      </c>
      <c r="W14" s="1512">
        <v>46.949471860853414</v>
      </c>
      <c r="X14" s="1511">
        <v>40269</v>
      </c>
      <c r="Y14" s="1512">
        <v>278.80503613201222</v>
      </c>
      <c r="Z14" s="1512">
        <v>46.283741836151876</v>
      </c>
    </row>
    <row r="15" spans="1:26" ht="18" customHeight="1">
      <c r="A15" s="188">
        <v>2019</v>
      </c>
      <c r="B15" s="199">
        <v>674460</v>
      </c>
      <c r="C15" s="424">
        <v>51278</v>
      </c>
      <c r="D15" s="199">
        <v>486123</v>
      </c>
      <c r="E15" s="424">
        <v>58968</v>
      </c>
      <c r="F15" s="199">
        <v>150321</v>
      </c>
      <c r="G15" s="424">
        <v>21837</v>
      </c>
      <c r="H15" s="199">
        <v>3135</v>
      </c>
      <c r="I15" s="424">
        <v>6485</v>
      </c>
      <c r="J15" s="199">
        <v>118215</v>
      </c>
      <c r="K15" s="153">
        <v>1132</v>
      </c>
      <c r="L15" s="199">
        <v>1432254</v>
      </c>
      <c r="M15" s="423">
        <v>139700</v>
      </c>
      <c r="O15" s="1660">
        <v>276064</v>
      </c>
      <c r="P15" s="1511">
        <v>492.72885997449868</v>
      </c>
      <c r="Q15" s="1512">
        <v>46.479077315405128</v>
      </c>
      <c r="R15" s="1511">
        <v>121814</v>
      </c>
      <c r="S15" s="1512">
        <v>499.65502162188432</v>
      </c>
      <c r="T15" s="1512">
        <v>38.101531843630454</v>
      </c>
      <c r="U15" s="1511">
        <v>113484</v>
      </c>
      <c r="V15" s="1512">
        <v>407.75175355116141</v>
      </c>
      <c r="W15" s="1512">
        <v>47.245426668076554</v>
      </c>
      <c r="X15" s="1511">
        <v>40756</v>
      </c>
      <c r="Y15" s="1512">
        <v>343.5322406516832</v>
      </c>
      <c r="Z15" s="1512">
        <v>47.399155952497793</v>
      </c>
    </row>
    <row r="16" spans="1:26" ht="18" customHeight="1">
      <c r="A16" s="188">
        <v>2020</v>
      </c>
      <c r="B16" s="199">
        <v>742682</v>
      </c>
      <c r="C16" s="424">
        <v>36063</v>
      </c>
      <c r="D16" s="199">
        <v>426802</v>
      </c>
      <c r="E16" s="424">
        <v>39375</v>
      </c>
      <c r="F16" s="199">
        <v>94008</v>
      </c>
      <c r="G16" s="424">
        <v>12511</v>
      </c>
      <c r="H16" s="199">
        <v>1144</v>
      </c>
      <c r="I16" s="424">
        <v>4634</v>
      </c>
      <c r="J16" s="199">
        <v>67610</v>
      </c>
      <c r="K16" s="153">
        <v>452</v>
      </c>
      <c r="L16" s="199">
        <v>1332246</v>
      </c>
      <c r="M16" s="423">
        <v>93035</v>
      </c>
      <c r="O16" s="1660">
        <v>279717</v>
      </c>
      <c r="P16" s="1512">
        <f>+L15/O16*100</f>
        <v>512.03680863158127</v>
      </c>
      <c r="Q16" s="1512">
        <v>49.943335585609745</v>
      </c>
      <c r="R16" s="1511">
        <v>123486</v>
      </c>
      <c r="S16" s="1512">
        <v>546.1833730139449</v>
      </c>
      <c r="T16" s="1512">
        <v>41.525355100983106</v>
      </c>
      <c r="U16" s="1511">
        <v>114976</v>
      </c>
      <c r="V16" s="1512">
        <v>422.80388950737546</v>
      </c>
      <c r="W16" s="1512">
        <v>51.287225160033401</v>
      </c>
      <c r="X16" s="1511">
        <v>41255</v>
      </c>
      <c r="Y16" s="1512">
        <v>364.37037934795785</v>
      </c>
      <c r="Z16" s="1512">
        <v>52.931765846564048</v>
      </c>
    </row>
    <row r="17" spans="1:26" ht="18" customHeight="1">
      <c r="A17" s="181">
        <v>2021</v>
      </c>
      <c r="B17" s="424">
        <v>915600</v>
      </c>
      <c r="C17" s="424">
        <v>48045</v>
      </c>
      <c r="D17" s="199">
        <v>576426</v>
      </c>
      <c r="E17" s="423">
        <v>51633</v>
      </c>
      <c r="F17" s="424">
        <v>126230</v>
      </c>
      <c r="G17" s="424">
        <v>13143</v>
      </c>
      <c r="H17" s="199">
        <v>1216</v>
      </c>
      <c r="I17" s="423">
        <v>5563</v>
      </c>
      <c r="J17" s="424">
        <v>139844</v>
      </c>
      <c r="K17" s="153">
        <v>843</v>
      </c>
      <c r="L17" s="199">
        <v>1759316</v>
      </c>
      <c r="M17" s="423">
        <v>119227</v>
      </c>
      <c r="O17" s="1660">
        <v>283366</v>
      </c>
      <c r="P17" s="1512">
        <f>+L16/O17*100</f>
        <v>470.15026502826737</v>
      </c>
      <c r="Q17" s="1512">
        <v>32.83209700528645</v>
      </c>
      <c r="R17" s="1511">
        <v>125139</v>
      </c>
      <c r="S17" s="1512">
        <v>593.48564396391214</v>
      </c>
      <c r="T17" s="1512">
        <v>28.818353990362716</v>
      </c>
      <c r="U17" s="1511">
        <v>116481</v>
      </c>
      <c r="V17" s="1512">
        <v>366.41340647830975</v>
      </c>
      <c r="W17" s="1512">
        <v>33.803796327298016</v>
      </c>
      <c r="X17" s="1511">
        <v>41746</v>
      </c>
      <c r="Y17" s="1512">
        <v>225.19043740717674</v>
      </c>
      <c r="Z17" s="1512">
        <v>29.969338379725002</v>
      </c>
    </row>
    <row r="18" spans="1:26" ht="18" customHeight="1">
      <c r="A18" s="181">
        <v>2022</v>
      </c>
      <c r="B18" s="424">
        <v>860813</v>
      </c>
      <c r="C18" s="424">
        <v>49762</v>
      </c>
      <c r="D18" s="199">
        <v>619236</v>
      </c>
      <c r="E18" s="423">
        <v>71515</v>
      </c>
      <c r="F18" s="424">
        <v>209001</v>
      </c>
      <c r="G18" s="424">
        <v>15771</v>
      </c>
      <c r="H18" s="199">
        <v>1789</v>
      </c>
      <c r="I18" s="423">
        <v>7881</v>
      </c>
      <c r="J18" s="424">
        <v>175387</v>
      </c>
      <c r="K18" s="153">
        <v>510</v>
      </c>
      <c r="L18" s="199">
        <v>1866266</v>
      </c>
      <c r="M18" s="423">
        <v>145749</v>
      </c>
      <c r="O18" s="1660">
        <v>286194</v>
      </c>
      <c r="P18" s="1512">
        <f>+L17/O18*100</f>
        <v>614.72847089736331</v>
      </c>
      <c r="Q18" s="1512">
        <v>41.659503693298952</v>
      </c>
      <c r="R18" s="1511">
        <v>126446</v>
      </c>
      <c r="S18" s="1512">
        <v>724.10356990335799</v>
      </c>
      <c r="T18" s="1512">
        <v>37.99645698559069</v>
      </c>
      <c r="U18" s="1511">
        <v>117628</v>
      </c>
      <c r="V18" s="1512">
        <v>490.04148672084875</v>
      </c>
      <c r="W18" s="1512">
        <v>43.895161016084607</v>
      </c>
      <c r="X18" s="1511">
        <v>42120</v>
      </c>
      <c r="Y18" s="1512">
        <v>299.6913580246914</v>
      </c>
      <c r="Z18" s="1512">
        <v>31.203703703703706</v>
      </c>
    </row>
    <row r="19" spans="1:26" ht="18" customHeight="1">
      <c r="A19" s="183">
        <v>2023</v>
      </c>
      <c r="B19" s="436">
        <f>+'72'!C$43</f>
        <v>881962</v>
      </c>
      <c r="C19" s="436">
        <f>+'72'!C$56</f>
        <v>50317</v>
      </c>
      <c r="D19" s="425">
        <f>+'72'!E$43</f>
        <v>703311</v>
      </c>
      <c r="E19" s="426">
        <f>+'72'!E$56</f>
        <v>62761</v>
      </c>
      <c r="F19" s="436">
        <f>+'72'!G$43</f>
        <v>183720</v>
      </c>
      <c r="G19" s="436">
        <f>+'72'!G$56</f>
        <v>19440</v>
      </c>
      <c r="H19" s="425">
        <f>+'72'!I$43</f>
        <v>1582</v>
      </c>
      <c r="I19" s="426">
        <f>+'72'!I$56</f>
        <v>4583</v>
      </c>
      <c r="J19" s="436">
        <f>+'72'!M43+'72'!K43</f>
        <v>189717</v>
      </c>
      <c r="K19" s="1057">
        <f>+'72'!M$56</f>
        <v>174</v>
      </c>
      <c r="L19" s="425">
        <f>+B19+D19+F19+H19+J19</f>
        <v>1960292</v>
      </c>
      <c r="M19" s="426">
        <f>+C19+E19+G19+I19+K19</f>
        <v>137275</v>
      </c>
      <c r="O19" s="1660">
        <f>+'71'!M19</f>
        <v>290863</v>
      </c>
      <c r="P19" s="1512">
        <f>+L19/O19*100</f>
        <v>673.95715508675903</v>
      </c>
      <c r="Q19" s="1512">
        <f>+M19/O19*100</f>
        <v>47.195758828039317</v>
      </c>
      <c r="R19" s="1511">
        <f>+'71'!P19</f>
        <v>128628</v>
      </c>
      <c r="S19" s="1512">
        <f>+B19/R19*100</f>
        <v>685.66875019435884</v>
      </c>
      <c r="T19" s="1512">
        <f>+C19/R19*100</f>
        <v>39.118232422178686</v>
      </c>
      <c r="U19" s="1511">
        <f>+'71'!S19</f>
        <v>119516</v>
      </c>
      <c r="V19" s="1512">
        <f>+D19/U19*100</f>
        <v>588.46597945045016</v>
      </c>
      <c r="W19" s="1512">
        <f>+E19/U19*100</f>
        <v>52.512634291642954</v>
      </c>
      <c r="X19" s="1511">
        <f>+'71'!V19</f>
        <v>42719.000000000007</v>
      </c>
      <c r="Y19" s="1512">
        <f>+F19/X19*100</f>
        <v>430.06624686907458</v>
      </c>
      <c r="Z19" s="1512">
        <f>+G19/X19*100</f>
        <v>45.506683208876602</v>
      </c>
    </row>
    <row r="20" spans="1:26" ht="18" customHeight="1">
      <c r="O20" s="1660"/>
      <c r="P20" s="1512"/>
      <c r="Q20" s="1512"/>
      <c r="S20" s="1512"/>
      <c r="T20" s="1512"/>
      <c r="V20" s="1512"/>
      <c r="W20" s="1512"/>
      <c r="Y20" s="1512"/>
      <c r="Z20" s="1512"/>
    </row>
    <row r="21" spans="1:26">
      <c r="R21" s="1660"/>
    </row>
    <row r="62" spans="1:13">
      <c r="A62" s="437"/>
      <c r="B62" s="1"/>
      <c r="C62" s="1"/>
      <c r="D62" s="1"/>
      <c r="E62" s="1"/>
      <c r="F62" s="1"/>
      <c r="G62" s="1"/>
      <c r="H62" s="1"/>
      <c r="I62" s="1"/>
      <c r="J62" s="1"/>
      <c r="K62" s="1"/>
      <c r="L62" s="1"/>
      <c r="M62" s="1"/>
    </row>
    <row r="63" spans="1:13">
      <c r="A63" s="437"/>
      <c r="B63" s="1"/>
      <c r="C63" s="1"/>
      <c r="D63" s="1"/>
      <c r="E63" s="1"/>
      <c r="F63" s="1"/>
      <c r="G63" s="1"/>
      <c r="H63" s="1"/>
      <c r="I63" s="1"/>
      <c r="J63" s="1"/>
      <c r="K63" s="1"/>
      <c r="L63" s="1"/>
      <c r="M63" s="1"/>
    </row>
    <row r="64" spans="1:13">
      <c r="A64" s="437"/>
      <c r="B64" s="1"/>
      <c r="C64" s="1"/>
      <c r="D64" s="1"/>
      <c r="E64" s="1"/>
      <c r="F64" s="1"/>
      <c r="G64" s="1"/>
      <c r="H64" s="1"/>
      <c r="I64" s="1"/>
      <c r="J64" s="1"/>
      <c r="K64" s="1"/>
      <c r="L64" s="1"/>
      <c r="M64" s="1"/>
    </row>
  </sheetData>
  <phoneticPr fontId="18"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ransitionEvaluation="1"/>
  <dimension ref="A1:AA31"/>
  <sheetViews>
    <sheetView showGridLines="0" zoomScale="75" workbookViewId="0">
      <selection activeCell="O12" sqref="O12"/>
    </sheetView>
  </sheetViews>
  <sheetFormatPr baseColWidth="10" defaultColWidth="12.5703125" defaultRowHeight="12.75"/>
  <cols>
    <col min="1" max="1" width="29.7109375" style="469" customWidth="1"/>
    <col min="2" max="2" width="9.28515625" style="469" customWidth="1"/>
    <col min="3" max="3" width="8.28515625" style="469" customWidth="1"/>
    <col min="4" max="4" width="8" style="469" customWidth="1"/>
    <col min="5" max="9" width="8.28515625" style="469" customWidth="1"/>
    <col min="10" max="10" width="7" style="469" customWidth="1"/>
    <col min="11" max="12" width="8.28515625" style="469" customWidth="1"/>
    <col min="13" max="13" width="8.5703125" style="469" customWidth="1"/>
    <col min="14" max="17" width="8.28515625" style="469" customWidth="1"/>
    <col min="18" max="18" width="10.42578125" style="469" customWidth="1"/>
    <col min="19" max="19" width="9.7109375" style="469" customWidth="1"/>
    <col min="20" max="20" width="9.42578125" style="469" customWidth="1"/>
    <col min="21" max="21" width="9.28515625" style="469" customWidth="1"/>
    <col min="22" max="22" width="8.28515625" style="469" customWidth="1"/>
    <col min="23" max="23" width="8.7109375" style="469" customWidth="1"/>
    <col min="24" max="24" width="10" style="469" customWidth="1"/>
    <col min="25" max="25" width="8.7109375" style="469" customWidth="1"/>
    <col min="26" max="26" width="10.7109375" style="440" customWidth="1"/>
    <col min="27" max="27" width="9.28515625" style="440" customWidth="1"/>
    <col min="28" max="16384" width="12.5703125" style="440"/>
  </cols>
  <sheetData>
    <row r="1" spans="1:27" s="1427" customFormat="1">
      <c r="A1" s="1424" t="s">
        <v>128</v>
      </c>
      <c r="B1" s="1424"/>
      <c r="C1" s="1425"/>
      <c r="D1" s="1425"/>
      <c r="E1" s="1425"/>
      <c r="F1" s="1425"/>
      <c r="G1" s="1425"/>
      <c r="H1" s="1425"/>
      <c r="I1" s="1425"/>
      <c r="J1" s="1425"/>
      <c r="K1" s="1426"/>
      <c r="L1" s="1425"/>
      <c r="M1" s="1425"/>
      <c r="N1" s="1425"/>
      <c r="O1" s="1425"/>
      <c r="P1" s="1425"/>
      <c r="Q1" s="1425"/>
      <c r="R1" s="1425"/>
      <c r="S1" s="1425"/>
      <c r="T1" s="1425"/>
      <c r="U1" s="1425"/>
      <c r="V1" s="1425"/>
      <c r="W1" s="1425"/>
      <c r="X1" s="1425"/>
      <c r="Y1" s="1425"/>
    </row>
    <row r="2" spans="1:27" s="1427" customFormat="1">
      <c r="A2" s="1424"/>
      <c r="B2" s="1424"/>
      <c r="C2" s="1425"/>
      <c r="D2" s="1425"/>
      <c r="E2" s="1425"/>
      <c r="F2" s="1425"/>
      <c r="G2" s="1425"/>
      <c r="H2" s="1425"/>
      <c r="I2" s="1425"/>
      <c r="J2" s="1425"/>
      <c r="K2" s="1425"/>
      <c r="L2" s="1425"/>
      <c r="M2" s="1425"/>
      <c r="N2" s="1425"/>
      <c r="O2" s="1425"/>
      <c r="P2" s="1425"/>
      <c r="Q2" s="1425"/>
      <c r="R2" s="1425"/>
      <c r="S2" s="1425"/>
      <c r="T2" s="1425"/>
      <c r="U2" s="1425"/>
      <c r="V2" s="1425"/>
      <c r="W2" s="1425"/>
      <c r="X2" s="1425"/>
      <c r="Y2" s="1425"/>
    </row>
    <row r="3" spans="1:27" s="1427" customFormat="1">
      <c r="A3" s="1424" t="s">
        <v>1541</v>
      </c>
      <c r="B3" s="1424"/>
      <c r="C3" s="1425"/>
      <c r="D3" s="1425"/>
      <c r="E3" s="1425"/>
      <c r="F3" s="1425"/>
      <c r="G3" s="1425"/>
      <c r="H3" s="1425"/>
      <c r="I3" s="1425"/>
      <c r="J3" s="1425"/>
      <c r="K3" s="1425"/>
      <c r="L3" s="1425"/>
      <c r="M3" s="1425"/>
      <c r="N3" s="1425"/>
      <c r="O3" s="1425"/>
      <c r="P3" s="1425"/>
      <c r="Q3" s="1425"/>
      <c r="R3" s="1425"/>
      <c r="S3" s="1425"/>
      <c r="T3" s="1425"/>
      <c r="U3" s="1425"/>
      <c r="V3" s="1425"/>
      <c r="W3" s="1425"/>
      <c r="X3" s="1425"/>
      <c r="Y3" s="1425"/>
    </row>
    <row r="4" spans="1:27" ht="15.75">
      <c r="A4" s="439"/>
      <c r="B4" s="439"/>
      <c r="C4" s="441"/>
      <c r="D4" s="439"/>
      <c r="E4" s="439"/>
      <c r="F4" s="439"/>
      <c r="G4" s="439"/>
      <c r="H4" s="439"/>
      <c r="I4" s="439"/>
      <c r="J4" s="439"/>
      <c r="K4" s="439"/>
      <c r="L4" s="439"/>
      <c r="M4" s="439"/>
      <c r="N4" s="439"/>
      <c r="O4" s="439"/>
      <c r="P4" s="439"/>
      <c r="Q4" s="439"/>
      <c r="R4" s="439"/>
      <c r="S4" s="439"/>
      <c r="T4" s="439"/>
      <c r="U4" s="439"/>
      <c r="V4" s="439"/>
      <c r="W4" s="439"/>
      <c r="X4" s="439"/>
      <c r="Y4" s="439"/>
    </row>
    <row r="5" spans="1:27">
      <c r="A5" s="439"/>
      <c r="B5" s="439"/>
      <c r="C5" s="439"/>
      <c r="D5" s="439"/>
      <c r="E5" s="439"/>
      <c r="F5" s="439"/>
      <c r="G5" s="439"/>
      <c r="H5" s="439"/>
      <c r="I5" s="439"/>
      <c r="J5" s="439"/>
      <c r="K5" s="439"/>
      <c r="L5" s="439"/>
      <c r="M5" s="439"/>
      <c r="N5" s="439"/>
      <c r="O5" s="439"/>
      <c r="P5" s="439"/>
      <c r="Q5" s="439"/>
      <c r="R5" s="439"/>
      <c r="S5" s="439"/>
      <c r="T5" s="439"/>
      <c r="U5" s="439"/>
      <c r="V5" s="439"/>
      <c r="W5" s="439"/>
      <c r="X5" s="439"/>
      <c r="Y5" s="439"/>
    </row>
    <row r="6" spans="1:27">
      <c r="A6" s="439"/>
      <c r="B6" s="439"/>
      <c r="C6" s="439"/>
      <c r="D6" s="439"/>
      <c r="E6" s="439"/>
      <c r="F6" s="439"/>
      <c r="G6" s="439"/>
      <c r="H6" s="439"/>
      <c r="I6" s="439"/>
      <c r="J6" s="439"/>
      <c r="K6" s="439"/>
      <c r="L6" s="439"/>
      <c r="M6" s="439"/>
      <c r="N6" s="439"/>
      <c r="O6" s="439"/>
      <c r="P6" s="439"/>
      <c r="Q6" s="439"/>
      <c r="R6" s="439"/>
      <c r="S6" s="439"/>
      <c r="T6" s="439"/>
      <c r="U6" s="439"/>
      <c r="V6" s="439"/>
      <c r="W6" s="439"/>
      <c r="X6" s="439"/>
      <c r="Y6" s="439"/>
    </row>
    <row r="7" spans="1:27">
      <c r="A7" s="439"/>
      <c r="B7" s="439"/>
      <c r="C7" s="439"/>
      <c r="D7" s="439"/>
      <c r="E7" s="439"/>
      <c r="F7" s="439"/>
      <c r="G7" s="439"/>
      <c r="H7" s="439"/>
      <c r="I7" s="439"/>
      <c r="J7" s="439"/>
      <c r="K7" s="439"/>
      <c r="L7" s="439"/>
      <c r="M7" s="439"/>
      <c r="N7" s="439"/>
      <c r="O7" s="439"/>
      <c r="P7" s="439"/>
      <c r="Q7" s="439"/>
      <c r="R7" s="439"/>
      <c r="S7" s="439"/>
      <c r="T7" s="439"/>
      <c r="U7" s="439"/>
      <c r="V7" s="439"/>
      <c r="W7" s="439"/>
      <c r="X7" s="439"/>
      <c r="Y7" s="439"/>
    </row>
    <row r="8" spans="1:27" ht="15.75">
      <c r="A8" s="442"/>
      <c r="B8" s="442"/>
      <c r="C8" s="442"/>
      <c r="D8" s="442"/>
      <c r="E8" s="442"/>
      <c r="F8" s="442"/>
      <c r="G8" s="442"/>
      <c r="H8" s="442"/>
      <c r="I8" s="442"/>
      <c r="J8" s="442"/>
      <c r="K8" s="442"/>
      <c r="L8" s="442"/>
      <c r="M8" s="442"/>
      <c r="N8" s="442"/>
      <c r="O8" s="442"/>
      <c r="P8" s="442"/>
      <c r="Q8" s="442"/>
      <c r="R8" s="442"/>
      <c r="S8" s="442"/>
      <c r="T8" s="442"/>
      <c r="U8" s="442"/>
      <c r="V8" s="442"/>
      <c r="W8" s="442"/>
      <c r="X8" s="442"/>
      <c r="Y8" s="442"/>
      <c r="Z8" s="441"/>
      <c r="AA8" s="441"/>
    </row>
    <row r="9" spans="1:27" s="444" customFormat="1" ht="21.75" customHeight="1">
      <c r="A9" s="1390"/>
      <c r="B9" s="1390"/>
      <c r="C9" s="1391"/>
      <c r="D9" s="1392"/>
      <c r="E9" s="1627" t="s">
        <v>129</v>
      </c>
      <c r="F9" s="1627"/>
      <c r="G9" s="1627"/>
      <c r="H9" s="1627"/>
      <c r="I9" s="1627"/>
      <c r="J9" s="1627"/>
      <c r="K9" s="1627"/>
      <c r="L9" s="1627"/>
      <c r="M9" s="1627"/>
      <c r="N9" s="1627"/>
      <c r="O9" s="1627"/>
      <c r="P9" s="1393"/>
      <c r="Q9" s="1625" t="s">
        <v>130</v>
      </c>
      <c r="R9" s="1394" t="s">
        <v>131</v>
      </c>
      <c r="S9" s="1395"/>
      <c r="T9" s="1396" t="s">
        <v>132</v>
      </c>
      <c r="U9" s="1397"/>
      <c r="V9" s="1394" t="s">
        <v>133</v>
      </c>
      <c r="W9" s="1398"/>
      <c r="X9" s="1398"/>
      <c r="Y9" s="1395"/>
      <c r="Z9" s="443"/>
      <c r="AA9" s="443"/>
    </row>
    <row r="10" spans="1:27" s="444" customFormat="1" ht="19.5" customHeight="1">
      <c r="A10" s="1399" t="s">
        <v>134</v>
      </c>
      <c r="B10" s="1399" t="s">
        <v>1088</v>
      </c>
      <c r="C10" s="1400"/>
      <c r="D10" s="1401" t="s">
        <v>135</v>
      </c>
      <c r="E10" s="1402" t="s">
        <v>136</v>
      </c>
      <c r="F10" s="1403"/>
      <c r="G10" s="1403"/>
      <c r="H10" s="1403"/>
      <c r="I10" s="1403"/>
      <c r="J10" s="1403"/>
      <c r="K10" s="1404"/>
      <c r="L10" s="1405" t="s">
        <v>137</v>
      </c>
      <c r="M10" s="1405"/>
      <c r="N10" s="1405"/>
      <c r="O10" s="1405"/>
      <c r="P10" s="1401" t="s">
        <v>135</v>
      </c>
      <c r="Q10" s="1626"/>
      <c r="R10" s="1406"/>
      <c r="S10" s="1407"/>
      <c r="T10" s="1408"/>
      <c r="U10" s="1408"/>
      <c r="V10" s="1409"/>
      <c r="W10" s="1410"/>
      <c r="X10" s="1410"/>
      <c r="Y10" s="1411"/>
      <c r="Z10" s="443"/>
      <c r="AA10" s="443"/>
    </row>
    <row r="11" spans="1:27" s="444" customFormat="1" ht="36" customHeight="1">
      <c r="A11" s="1399" t="s">
        <v>138</v>
      </c>
      <c r="B11" s="1399" t="s">
        <v>1089</v>
      </c>
      <c r="C11" s="1412" t="s">
        <v>139</v>
      </c>
      <c r="D11" s="1412" t="s">
        <v>140</v>
      </c>
      <c r="E11" s="1413" t="s">
        <v>957</v>
      </c>
      <c r="F11" s="1414" t="s">
        <v>955</v>
      </c>
      <c r="G11" s="1414" t="s">
        <v>141</v>
      </c>
      <c r="H11" s="1415" t="s">
        <v>142</v>
      </c>
      <c r="I11" s="1415" t="s">
        <v>143</v>
      </c>
      <c r="J11" s="1416" t="s">
        <v>1565</v>
      </c>
      <c r="K11" s="1414" t="s">
        <v>474</v>
      </c>
      <c r="L11" s="1417" t="s">
        <v>144</v>
      </c>
      <c r="M11" s="1415" t="s">
        <v>145</v>
      </c>
      <c r="N11" s="1418" t="s">
        <v>146</v>
      </c>
      <c r="O11" s="1414" t="s">
        <v>474</v>
      </c>
      <c r="P11" s="1412" t="s">
        <v>147</v>
      </c>
      <c r="Q11" s="1419" t="s">
        <v>148</v>
      </c>
      <c r="R11" s="1420" t="s">
        <v>149</v>
      </c>
      <c r="S11" s="1414" t="s">
        <v>150</v>
      </c>
      <c r="T11" s="1414" t="s">
        <v>474</v>
      </c>
      <c r="U11" s="1421" t="s">
        <v>151</v>
      </c>
      <c r="V11" s="1415" t="s">
        <v>152</v>
      </c>
      <c r="W11" s="1415" t="s">
        <v>153</v>
      </c>
      <c r="X11" s="1422" t="s">
        <v>154</v>
      </c>
      <c r="Y11" s="1423" t="s">
        <v>155</v>
      </c>
      <c r="Z11" s="443"/>
      <c r="AA11" s="443"/>
    </row>
    <row r="12" spans="1:27" ht="23.25" customHeight="1">
      <c r="A12" s="446" t="s">
        <v>582</v>
      </c>
      <c r="B12" s="650"/>
      <c r="C12" s="447">
        <f t="shared" ref="C12:J12" si="0">SUM(C13:C27)</f>
        <v>808</v>
      </c>
      <c r="D12" s="447">
        <f t="shared" si="0"/>
        <v>510</v>
      </c>
      <c r="E12" s="447">
        <f t="shared" si="0"/>
        <v>13108</v>
      </c>
      <c r="F12" s="447">
        <f t="shared" si="0"/>
        <v>0</v>
      </c>
      <c r="G12" s="447">
        <f t="shared" si="0"/>
        <v>3825</v>
      </c>
      <c r="H12" s="447">
        <f t="shared" si="0"/>
        <v>548</v>
      </c>
      <c r="I12" s="447">
        <f t="shared" si="0"/>
        <v>2210</v>
      </c>
      <c r="J12" s="447">
        <f t="shared" si="0"/>
        <v>5259</v>
      </c>
      <c r="K12" s="447">
        <f>SUM(K13:K27)-J12</f>
        <v>19691</v>
      </c>
      <c r="L12" s="447">
        <f>SUM(L13:L27)</f>
        <v>18938</v>
      </c>
      <c r="M12" s="447">
        <f>SUM(M13:M27)</f>
        <v>5245</v>
      </c>
      <c r="N12" s="447">
        <f>SUM(N13:N27)</f>
        <v>747</v>
      </c>
      <c r="O12" s="448">
        <f>L12+N12</f>
        <v>19685</v>
      </c>
      <c r="P12" s="447">
        <f t="shared" ref="P12:U12" si="1">SUM(P13:P27)</f>
        <v>530</v>
      </c>
      <c r="Q12" s="447">
        <f t="shared" si="1"/>
        <v>803</v>
      </c>
      <c r="R12" s="447">
        <f t="shared" si="1"/>
        <v>254698</v>
      </c>
      <c r="S12" s="447">
        <f t="shared" si="1"/>
        <v>210415</v>
      </c>
      <c r="T12" s="447">
        <f t="shared" si="1"/>
        <v>237885</v>
      </c>
      <c r="U12" s="447">
        <f t="shared" si="1"/>
        <v>230703</v>
      </c>
      <c r="V12" s="449">
        <f>S12/R12*100</f>
        <v>82.613526607982791</v>
      </c>
      <c r="W12" s="450">
        <f>+T12/O12</f>
        <v>12.084582169164339</v>
      </c>
      <c r="X12" s="451">
        <f>+O12/(R12/30.4)</f>
        <v>2.3495433807882273</v>
      </c>
      <c r="Y12" s="452">
        <f>(+R12-S12)/O12</f>
        <v>2.2495808991617983</v>
      </c>
      <c r="Z12" s="441"/>
      <c r="AA12" s="441"/>
    </row>
    <row r="13" spans="1:27" ht="23.25" customHeight="1">
      <c r="A13" s="648" t="s">
        <v>1199</v>
      </c>
      <c r="B13" s="445">
        <v>401</v>
      </c>
      <c r="C13" s="454">
        <f>+'76'!C13+'78'!C13+'80'!C13+'81'!C13+'82'!C13</f>
        <v>59</v>
      </c>
      <c r="D13" s="455">
        <f>+'76'!D13+'78'!D13+'80'!D13+'81'!D13+'82'!D13</f>
        <v>52</v>
      </c>
      <c r="E13" s="456">
        <f>+'76'!E13+'78'!E13+'80'!E13+'81'!E13+'82'!E13</f>
        <v>1231</v>
      </c>
      <c r="F13" s="456">
        <f>+'76'!F13+'78'!F13+'80'!F13+'81'!F13+'82'!F13</f>
        <v>0</v>
      </c>
      <c r="G13" s="456">
        <f>+'76'!G13+'78'!G13+'80'!G13+'81'!G13+'82'!G13</f>
        <v>0</v>
      </c>
      <c r="H13" s="456">
        <f>+'76'!H13+'78'!H13+'80'!H13+'81'!H13+'82'!H13</f>
        <v>224</v>
      </c>
      <c r="I13" s="456">
        <f>+'76'!I13+'78'!I13+'80'!I13+'81'!I13+'82'!I13</f>
        <v>2</v>
      </c>
      <c r="J13" s="455">
        <f>+'76'!J13+'78'!J13+'80'!J13+'81'!J13+'82'!J13</f>
        <v>4</v>
      </c>
      <c r="K13" s="448">
        <f>SUM(E13:J13)</f>
        <v>1461</v>
      </c>
      <c r="L13" s="455">
        <f>+'76'!L13+'78'!L13+'80'!L13+'81'!L13+'82'!L13</f>
        <v>1335</v>
      </c>
      <c r="M13" s="455">
        <f>+'76'!M13+'78'!M13+'80'!M13+'81'!M13+'82'!M13</f>
        <v>0</v>
      </c>
      <c r="N13" s="455">
        <f>+'76'!N13+'78'!N13+'80'!N13+'81'!N13+'82'!N13</f>
        <v>133</v>
      </c>
      <c r="O13" s="448">
        <f>SUM(L13:N13)</f>
        <v>1468</v>
      </c>
      <c r="P13" s="457">
        <f>SUM(D13,K13)-O13</f>
        <v>45</v>
      </c>
      <c r="Q13" s="455">
        <f>+'76'!Q13+'78'!Q13+'80'!Q13+'81'!Q13+'82'!Q13</f>
        <v>75</v>
      </c>
      <c r="R13" s="455">
        <f>+'76'!R13+'78'!R13+'80'!R13+'81'!R13+'82'!R13</f>
        <v>22670</v>
      </c>
      <c r="S13" s="455">
        <f>+'76'!S13+'78'!S13+'80'!S13+'81'!S13+'82'!S13</f>
        <v>16676</v>
      </c>
      <c r="T13" s="455">
        <f>+'76'!T13+'78'!T13+'80'!T13+'81'!T13+'82'!T13</f>
        <v>15595</v>
      </c>
      <c r="U13" s="456">
        <f>+'76'!U13+'78'!U13+'80'!U13+'81'!U13+'82'!U13</f>
        <v>15013</v>
      </c>
      <c r="V13" s="449">
        <f>S13/R13*100</f>
        <v>73.55977062196736</v>
      </c>
      <c r="W13" s="450">
        <f>+T13/O13</f>
        <v>10.623297002724795</v>
      </c>
      <c r="X13" s="451">
        <f>+O13/(R13/30.4)</f>
        <v>1.9685575650639611</v>
      </c>
      <c r="Y13" s="452">
        <f>(+R13-S13)/O13</f>
        <v>4.0831062670299731</v>
      </c>
      <c r="Z13" s="441"/>
      <c r="AA13" s="441"/>
    </row>
    <row r="14" spans="1:27" ht="23.25" customHeight="1">
      <c r="A14" s="648" t="s">
        <v>1090</v>
      </c>
      <c r="B14" s="445">
        <v>403</v>
      </c>
      <c r="C14" s="454">
        <f>+'76'!C14+'78'!C14+'80'!C14+'81'!C14+'82'!C14</f>
        <v>156</v>
      </c>
      <c r="D14" s="455">
        <f>+'76'!D14+'78'!D14+'80'!D14+'81'!D14+'82'!D14</f>
        <v>76</v>
      </c>
      <c r="E14" s="456">
        <f>+'76'!E14+'78'!E14+'80'!E14+'81'!E14+'82'!E14</f>
        <v>5337</v>
      </c>
      <c r="F14" s="456">
        <f>+'76'!F14+'78'!F14+'80'!F14+'81'!F14+'82'!F14</f>
        <v>0</v>
      </c>
      <c r="G14" s="456">
        <f>+'76'!G14+'78'!G14+'80'!G14+'81'!G14+'82'!G14</f>
        <v>1214</v>
      </c>
      <c r="H14" s="456">
        <f>+'76'!H14+'78'!H14+'80'!H14+'81'!H14+'82'!H14</f>
        <v>58</v>
      </c>
      <c r="I14" s="456">
        <f>+'76'!I14+'78'!I14+'80'!I14+'81'!I14+'82'!I14</f>
        <v>63</v>
      </c>
      <c r="J14" s="455">
        <f>+'76'!J14+'78'!J14+'80'!J14+'81'!J14+'82'!J14</f>
        <v>1626</v>
      </c>
      <c r="K14" s="448">
        <f>SUM(E14:J14)</f>
        <v>8298</v>
      </c>
      <c r="L14" s="455">
        <f>+'76'!L14+'78'!L14+'80'!L14+'81'!L14+'82'!L14</f>
        <v>6656</v>
      </c>
      <c r="M14" s="455">
        <f>+'76'!M14+'78'!M14+'80'!M14+'81'!M14+'82'!M14</f>
        <v>1302</v>
      </c>
      <c r="N14" s="455">
        <f>+'76'!N14+'78'!N14+'80'!N14+'81'!N14+'82'!N14</f>
        <v>343</v>
      </c>
      <c r="O14" s="448">
        <f>SUM(L14:N14)</f>
        <v>8301</v>
      </c>
      <c r="P14" s="457">
        <f>SUM(D14,K14)-O14</f>
        <v>73</v>
      </c>
      <c r="Q14" s="455">
        <f>+'76'!Q14+'78'!Q14+'80'!Q14+'81'!Q14+'82'!Q14</f>
        <v>213</v>
      </c>
      <c r="R14" s="455">
        <f>+'76'!R14+'78'!R14+'80'!R14+'81'!R14+'82'!R14</f>
        <v>56091</v>
      </c>
      <c r="S14" s="455">
        <f>+'76'!S14+'78'!S14+'80'!S14+'81'!S14+'82'!S14</f>
        <v>48162</v>
      </c>
      <c r="T14" s="455">
        <f>+'76'!T14+'78'!T14+'80'!T14+'81'!T14+'82'!T14</f>
        <v>48744</v>
      </c>
      <c r="U14" s="456">
        <f>+'76'!U14+'78'!U14+'80'!U14+'81'!U14+'82'!U14</f>
        <v>46974</v>
      </c>
      <c r="V14" s="449">
        <f>S14/R14*100</f>
        <v>85.864042359736857</v>
      </c>
      <c r="W14" s="450">
        <f>+T14/O14</f>
        <v>5.8720636067943621</v>
      </c>
      <c r="X14" s="451">
        <f>+O14/(R14/30.4)</f>
        <v>4.4989463550302187</v>
      </c>
      <c r="Y14" s="452">
        <f>(+R14-S14)/O14</f>
        <v>0.95518612215395737</v>
      </c>
      <c r="Z14" s="441"/>
      <c r="AA14" s="441"/>
    </row>
    <row r="15" spans="1:27" ht="23.25" customHeight="1">
      <c r="A15" s="648" t="s">
        <v>1091</v>
      </c>
      <c r="B15" s="445">
        <v>404</v>
      </c>
      <c r="C15" s="454">
        <f>+'76'!C15+'78'!C15+'80'!C15+'81'!C15+'82'!C15</f>
        <v>36</v>
      </c>
      <c r="D15" s="455">
        <f>+'76'!D15+'78'!D15+'80'!D15+'81'!D15+'82'!D15</f>
        <v>66</v>
      </c>
      <c r="E15" s="456">
        <f>+'76'!E15+'78'!E15+'80'!E15+'81'!E15+'82'!E15</f>
        <v>1457</v>
      </c>
      <c r="F15" s="456">
        <f>+'76'!F15+'78'!F15+'80'!F15+'81'!F15+'82'!F15</f>
        <v>0</v>
      </c>
      <c r="G15" s="456">
        <f>+'76'!G15+'78'!G15+'80'!G15+'81'!G15+'82'!G15</f>
        <v>859</v>
      </c>
      <c r="H15" s="456">
        <f>+'76'!H15+'78'!H15+'80'!H15+'81'!H15+'82'!H15</f>
        <v>4</v>
      </c>
      <c r="I15" s="456">
        <f>+'76'!I15+'78'!I15+'80'!I15+'81'!I15+'82'!I15</f>
        <v>18</v>
      </c>
      <c r="J15" s="455">
        <f>+'76'!J15+'78'!J15+'80'!J15+'81'!J15+'82'!J15</f>
        <v>852</v>
      </c>
      <c r="K15" s="448">
        <f>SUM(E15:J15)</f>
        <v>3190</v>
      </c>
      <c r="L15" s="455">
        <f>+'76'!L15+'78'!L15+'80'!L15+'81'!L15+'82'!L15</f>
        <v>2487</v>
      </c>
      <c r="M15" s="455">
        <f>+'76'!M15+'78'!M15+'80'!M15+'81'!M15+'82'!M15</f>
        <v>660</v>
      </c>
      <c r="N15" s="455">
        <f>+'76'!N15+'78'!N15+'80'!N15+'81'!N15+'82'!N15</f>
        <v>33</v>
      </c>
      <c r="O15" s="448">
        <f>SUM(L15:N15)</f>
        <v>3180</v>
      </c>
      <c r="P15" s="457">
        <f>SUM(D15,K15)-O15</f>
        <v>76</v>
      </c>
      <c r="Q15" s="455">
        <f>+'76'!Q15+'78'!Q15+'80'!Q15+'81'!Q15+'82'!Q15</f>
        <v>69</v>
      </c>
      <c r="R15" s="455">
        <f>+'76'!R15+'78'!R15+'80'!R15+'81'!R15+'82'!R15</f>
        <v>18191</v>
      </c>
      <c r="S15" s="455">
        <f>+'76'!S15+'78'!S15+'80'!S15+'81'!S15+'82'!S15</f>
        <v>15749</v>
      </c>
      <c r="T15" s="455">
        <f>+'76'!T15+'78'!T15+'80'!T15+'81'!T15+'82'!T15</f>
        <v>15804</v>
      </c>
      <c r="U15" s="456">
        <f>+'76'!U15+'78'!U15+'80'!U15+'81'!U15+'82'!U15</f>
        <v>15588</v>
      </c>
      <c r="V15" s="449">
        <f>S15/R15*100</f>
        <v>86.575779231488099</v>
      </c>
      <c r="W15" s="450">
        <f>+T15/O15</f>
        <v>4.969811320754717</v>
      </c>
      <c r="X15" s="451">
        <f>+O15/(R15/30.4)</f>
        <v>5.3142762904733107</v>
      </c>
      <c r="Y15" s="452">
        <f>(+R15-S15)/O15</f>
        <v>0.76792452830188684</v>
      </c>
      <c r="Z15" s="441"/>
      <c r="AA15" s="441"/>
    </row>
    <row r="16" spans="1:27" ht="23.25" customHeight="1">
      <c r="A16" s="453" t="s">
        <v>156</v>
      </c>
      <c r="B16" s="445">
        <v>416</v>
      </c>
      <c r="C16" s="454">
        <f>+'76'!C16+'78'!C16+'80'!C16+'81'!C16+'82'!C16</f>
        <v>58</v>
      </c>
      <c r="D16" s="455">
        <f>+'76'!D16+'78'!D16+'80'!D16+'81'!D16+'82'!D16</f>
        <v>38</v>
      </c>
      <c r="E16" s="458">
        <f>+'76'!E16+'78'!E16+'80'!E16+'81'!E16+'82'!E16</f>
        <v>2195</v>
      </c>
      <c r="F16" s="458">
        <f>+'76'!F16+'78'!F16+'80'!F16+'81'!F16+'82'!F16</f>
        <v>0</v>
      </c>
      <c r="G16" s="458">
        <f>+'76'!G16+'78'!G16+'80'!G16+'81'!G16+'82'!G16</f>
        <v>1379</v>
      </c>
      <c r="H16" s="458">
        <f>+'76'!H16+'78'!H16+'80'!H16+'81'!H16+'82'!H16</f>
        <v>4</v>
      </c>
      <c r="I16" s="458">
        <f>+'76'!I16+'78'!I16+'80'!I16+'81'!I16+'82'!I16</f>
        <v>271</v>
      </c>
      <c r="J16" s="455">
        <f>+'76'!J16+'78'!J16+'80'!J16+'81'!J16+'82'!J16</f>
        <v>733</v>
      </c>
      <c r="K16" s="448">
        <f t="shared" ref="K16:K27" si="2">SUM(E16:J16)</f>
        <v>4582</v>
      </c>
      <c r="L16" s="455">
        <f>+'76'!L16+'78'!L16+'80'!L16+'81'!L16+'82'!L16</f>
        <v>4357</v>
      </c>
      <c r="M16" s="455">
        <f>+'76'!M16+'78'!M16+'80'!M16+'81'!M16+'82'!M16</f>
        <v>223</v>
      </c>
      <c r="N16" s="455">
        <f>+'76'!N16+'78'!N16+'80'!N16+'81'!N16+'82'!N16</f>
        <v>1</v>
      </c>
      <c r="O16" s="448">
        <f t="shared" ref="O16:O27" si="3">SUM(L16:N16)</f>
        <v>4581</v>
      </c>
      <c r="P16" s="457">
        <f t="shared" ref="P16:P27" si="4">SUM(D16,K16)-O16</f>
        <v>39</v>
      </c>
      <c r="Q16" s="455">
        <f>+'76'!Q16+'78'!Q16+'80'!Q16+'81'!Q16+'82'!Q16</f>
        <v>148</v>
      </c>
      <c r="R16" s="455">
        <f>+'76'!R16+'78'!R16+'80'!R16+'81'!R16+'82'!R16</f>
        <v>21499</v>
      </c>
      <c r="S16" s="455">
        <f>+'76'!S16+'78'!S16+'80'!S16+'81'!S16+'82'!S16</f>
        <v>13118</v>
      </c>
      <c r="T16" s="455">
        <f>+'76'!T16+'78'!T16+'80'!T16+'81'!T16+'82'!T16</f>
        <v>13447</v>
      </c>
      <c r="U16" s="455">
        <f>+'76'!U16+'78'!U16+'80'!U16+'81'!U16+'82'!U16</f>
        <v>12983</v>
      </c>
      <c r="V16" s="449">
        <f t="shared" ref="V16:V26" si="5">S16/R16*100</f>
        <v>61.016791478673426</v>
      </c>
      <c r="W16" s="450">
        <f t="shared" ref="W16:W26" si="6">+T16/O16</f>
        <v>2.9353852870552282</v>
      </c>
      <c r="X16" s="451">
        <f t="shared" ref="X16:X26" si="7">+O16/(R16/30.4)</f>
        <v>6.4776222149867433</v>
      </c>
      <c r="Y16" s="452">
        <f t="shared" ref="Y16:Y26" si="8">(+R16-S16)/O16</f>
        <v>1.8295132067234228</v>
      </c>
      <c r="Z16" s="441"/>
      <c r="AA16" s="441"/>
    </row>
    <row r="17" spans="1:27" ht="23.25" customHeight="1">
      <c r="A17" s="648" t="s">
        <v>1092</v>
      </c>
      <c r="B17" s="445">
        <v>407</v>
      </c>
      <c r="C17" s="454">
        <f>+'76'!C17+'78'!C17+'80'!C17+'81'!C17+'82'!C17</f>
        <v>23</v>
      </c>
      <c r="D17" s="455">
        <f>+'76'!D17+'78'!D17+'80'!D17+'81'!D17+'82'!D17</f>
        <v>3</v>
      </c>
      <c r="E17" s="456">
        <f>+'76'!E17+'78'!E17+'80'!E17+'81'!E17+'82'!E17</f>
        <v>406</v>
      </c>
      <c r="F17" s="456">
        <f>+'76'!F17+'78'!F17+'80'!F17+'81'!F17+'82'!F17</f>
        <v>0</v>
      </c>
      <c r="G17" s="456">
        <f>+'76'!G17+'78'!G17+'80'!G17+'81'!G17+'82'!G17</f>
        <v>42</v>
      </c>
      <c r="H17" s="456">
        <f>+'76'!H17+'78'!H17+'80'!H17+'81'!H17+'82'!H17</f>
        <v>0</v>
      </c>
      <c r="I17" s="456">
        <f>+'76'!I17+'78'!I17+'80'!I17+'81'!I17+'82'!I17</f>
        <v>9</v>
      </c>
      <c r="J17" s="455">
        <f>+'76'!J17+'78'!J17+'80'!J17+'81'!J17+'82'!J17</f>
        <v>97</v>
      </c>
      <c r="K17" s="448">
        <f t="shared" si="2"/>
        <v>554</v>
      </c>
      <c r="L17" s="455">
        <f>+'76'!L17+'78'!L17+'80'!L17+'81'!L17+'82'!L17</f>
        <v>452</v>
      </c>
      <c r="M17" s="455">
        <f>+'76'!M17+'78'!M17+'80'!M17+'81'!M17+'82'!M17</f>
        <v>97</v>
      </c>
      <c r="N17" s="455">
        <f>+'76'!N17+'78'!N17+'80'!N17+'81'!N17+'82'!N17</f>
        <v>2</v>
      </c>
      <c r="O17" s="448">
        <f t="shared" si="3"/>
        <v>551</v>
      </c>
      <c r="P17" s="457">
        <f t="shared" si="4"/>
        <v>6</v>
      </c>
      <c r="Q17" s="455">
        <f>+'76'!Q17+'78'!Q17+'80'!Q17+'81'!Q17+'82'!Q17</f>
        <v>27</v>
      </c>
      <c r="R17" s="455">
        <f>+'76'!R17+'78'!R17+'80'!R17+'81'!R17+'82'!R17</f>
        <v>3599</v>
      </c>
      <c r="S17" s="455">
        <f>+'76'!S17+'78'!S17+'80'!S17+'81'!S17+'82'!S17</f>
        <v>1909</v>
      </c>
      <c r="T17" s="455">
        <f>+'76'!T17+'78'!T17+'80'!T17+'81'!T17+'82'!T17</f>
        <v>2004</v>
      </c>
      <c r="U17" s="455">
        <f>+'76'!U17+'78'!U17+'80'!U17+'81'!U17+'82'!U17</f>
        <v>1943</v>
      </c>
      <c r="V17" s="449">
        <f t="shared" si="5"/>
        <v>53.042511808835791</v>
      </c>
      <c r="W17" s="450">
        <f t="shared" si="6"/>
        <v>3.6370235934664246</v>
      </c>
      <c r="X17" s="451">
        <f t="shared" si="7"/>
        <v>4.6541817171436506</v>
      </c>
      <c r="Y17" s="452">
        <f t="shared" si="8"/>
        <v>3.0671506352087112</v>
      </c>
      <c r="Z17" s="441"/>
      <c r="AA17" s="441"/>
    </row>
    <row r="18" spans="1:27" ht="23.25" customHeight="1">
      <c r="A18" s="648" t="s">
        <v>1093</v>
      </c>
      <c r="B18" s="445">
        <v>409</v>
      </c>
      <c r="C18" s="454">
        <f>+'76'!C18+'78'!C18+'80'!C18+'81'!C18+'82'!C18</f>
        <v>23</v>
      </c>
      <c r="D18" s="455">
        <f>+'76'!D18+'78'!D18+'80'!D18+'81'!D18+'82'!D18</f>
        <v>12</v>
      </c>
      <c r="E18" s="456">
        <f>+'76'!E18+'78'!E18+'80'!E18+'81'!E18+'82'!E18</f>
        <v>760</v>
      </c>
      <c r="F18" s="456">
        <f>+'76'!F18+'78'!F18+'80'!F18+'81'!F18+'82'!F18</f>
        <v>0</v>
      </c>
      <c r="G18" s="456">
        <f>+'76'!G18+'78'!G18+'80'!G18+'81'!G18+'82'!G18</f>
        <v>94</v>
      </c>
      <c r="H18" s="456">
        <f>+'76'!H18+'78'!H18+'80'!H18+'81'!H18+'82'!H18</f>
        <v>22</v>
      </c>
      <c r="I18" s="456">
        <f>+'76'!I18+'78'!I18+'80'!I18+'81'!I18+'82'!I18</f>
        <v>2</v>
      </c>
      <c r="J18" s="455">
        <f>+'76'!J18+'78'!J18+'80'!J18+'81'!J18+'82'!J18</f>
        <v>363</v>
      </c>
      <c r="K18" s="448">
        <f>SUM(E18:J18)</f>
        <v>1241</v>
      </c>
      <c r="L18" s="455">
        <f>+'76'!L18+'78'!L18+'80'!L18+'81'!L18+'82'!L18</f>
        <v>913</v>
      </c>
      <c r="M18" s="455">
        <f>+'76'!M18+'78'!M18+'80'!M18+'81'!M18+'82'!M18</f>
        <v>329</v>
      </c>
      <c r="N18" s="455">
        <f>+'76'!N18+'78'!N18+'80'!N18+'81'!N18+'82'!N18</f>
        <v>2</v>
      </c>
      <c r="O18" s="448">
        <f>SUM(L18:N18)</f>
        <v>1244</v>
      </c>
      <c r="P18" s="457">
        <f>SUM(D18,K18)-O18</f>
        <v>9</v>
      </c>
      <c r="Q18" s="455">
        <f>+'76'!Q18+'78'!Q18+'80'!Q18+'81'!Q18+'82'!Q18</f>
        <v>60</v>
      </c>
      <c r="R18" s="455">
        <f>+'76'!R18+'78'!R18+'80'!R18+'81'!R18+'82'!R18</f>
        <v>8154</v>
      </c>
      <c r="S18" s="455">
        <f>+'76'!S18+'78'!S18+'80'!S18+'81'!S18+'82'!S18</f>
        <v>5133</v>
      </c>
      <c r="T18" s="455">
        <f>+'76'!T18+'78'!T18+'80'!T18+'81'!T18+'82'!T18</f>
        <v>6183</v>
      </c>
      <c r="U18" s="455">
        <f>+'76'!U18+'78'!U18+'80'!U18+'81'!U18+'82'!U18</f>
        <v>6067</v>
      </c>
      <c r="V18" s="449">
        <f>S18/R18*100</f>
        <v>62.950699043414268</v>
      </c>
      <c r="W18" s="450">
        <f>+T18/O18</f>
        <v>4.970257234726688</v>
      </c>
      <c r="X18" s="451">
        <f>+O18/(R18/30.4)</f>
        <v>4.637920039244543</v>
      </c>
      <c r="Y18" s="452">
        <f>(+R18-S18)/O18</f>
        <v>2.4284565916398715</v>
      </c>
      <c r="Z18" s="441"/>
      <c r="AA18" s="441"/>
    </row>
    <row r="19" spans="1:27" ht="23.25" customHeight="1">
      <c r="A19" s="453" t="s">
        <v>157</v>
      </c>
      <c r="B19" s="445">
        <v>413</v>
      </c>
      <c r="C19" s="454">
        <f>+'76'!C19+'78'!C19+'80'!C19+'81'!C19+'82'!C19</f>
        <v>12</v>
      </c>
      <c r="D19" s="455">
        <f>+'76'!D19+'78'!D19+'80'!D19+'81'!D19+'82'!D19</f>
        <v>3</v>
      </c>
      <c r="E19" s="456">
        <f>+'76'!E19+'78'!E19+'80'!E19+'81'!E19+'82'!E19</f>
        <v>61</v>
      </c>
      <c r="F19" s="456">
        <f>+'76'!F19+'78'!F19+'80'!F19+'81'!F19+'82'!F19</f>
        <v>0</v>
      </c>
      <c r="G19" s="456">
        <f>+'76'!G19+'78'!G19+'80'!G19+'81'!G19+'82'!G19</f>
        <v>58</v>
      </c>
      <c r="H19" s="456">
        <f>+'76'!H19+'78'!H19+'80'!H19+'81'!H19+'82'!H19</f>
        <v>0</v>
      </c>
      <c r="I19" s="456">
        <f>+'76'!I19+'78'!I19+'80'!I19+'81'!I19+'82'!I19</f>
        <v>125</v>
      </c>
      <c r="J19" s="455">
        <f>+'76'!J19+'78'!J19+'80'!J19+'81'!J19+'82'!J19</f>
        <v>171</v>
      </c>
      <c r="K19" s="448">
        <f t="shared" si="2"/>
        <v>415</v>
      </c>
      <c r="L19" s="455">
        <f>+'76'!L19+'78'!L19+'80'!L19+'81'!L19+'82'!L19</f>
        <v>359</v>
      </c>
      <c r="M19" s="455">
        <f>+'76'!M19+'78'!M19+'80'!M19+'81'!M19+'82'!M19</f>
        <v>54</v>
      </c>
      <c r="N19" s="455">
        <f>+'76'!N19+'78'!N19+'80'!N19+'81'!N19+'82'!N19</f>
        <v>2</v>
      </c>
      <c r="O19" s="448">
        <f t="shared" si="3"/>
        <v>415</v>
      </c>
      <c r="P19" s="457">
        <f t="shared" si="4"/>
        <v>3</v>
      </c>
      <c r="Q19" s="455">
        <f>+'76'!Q19+'78'!Q19+'80'!Q19+'81'!Q19+'82'!Q19</f>
        <v>26</v>
      </c>
      <c r="R19" s="455">
        <f>+'76'!R19+'78'!R19+'80'!R19+'81'!R19+'82'!R19</f>
        <v>4166</v>
      </c>
      <c r="S19" s="455">
        <f>+'76'!S19+'78'!S19+'80'!S19+'81'!S19+'82'!S19</f>
        <v>1784</v>
      </c>
      <c r="T19" s="455">
        <f>+'76'!T19+'78'!T19+'80'!T19+'81'!T19+'82'!T19</f>
        <v>1540</v>
      </c>
      <c r="U19" s="455">
        <f>+'76'!U19+'78'!U19+'80'!U19+'81'!U19+'82'!U19</f>
        <v>1424</v>
      </c>
      <c r="V19" s="449">
        <f t="shared" si="5"/>
        <v>42.822851656265001</v>
      </c>
      <c r="W19" s="450">
        <f t="shared" si="6"/>
        <v>3.7108433734939759</v>
      </c>
      <c r="X19" s="451">
        <f t="shared" si="7"/>
        <v>3.028324531925108</v>
      </c>
      <c r="Y19" s="452">
        <f t="shared" si="8"/>
        <v>5.7397590361445783</v>
      </c>
      <c r="Z19" s="441"/>
      <c r="AA19" s="441"/>
    </row>
    <row r="20" spans="1:27" ht="23.25" customHeight="1">
      <c r="A20" s="648" t="s">
        <v>1267</v>
      </c>
      <c r="B20" s="445">
        <v>411</v>
      </c>
      <c r="C20" s="454">
        <f>+'76'!C20+'78'!C20+'80'!C20+'81'!C20+'82'!C20</f>
        <v>2</v>
      </c>
      <c r="D20" s="455">
        <v>0</v>
      </c>
      <c r="E20" s="456">
        <f>+'76'!E20+'78'!E20+'80'!E20+'81'!E20+'82'!E20</f>
        <v>51</v>
      </c>
      <c r="F20" s="456">
        <f>+'76'!F20+'78'!F20+'80'!F20+'81'!F20+'82'!F20</f>
        <v>0</v>
      </c>
      <c r="G20" s="456">
        <f>+'76'!G20+'78'!G20+'80'!G20+'81'!G20+'82'!G20</f>
        <v>1</v>
      </c>
      <c r="H20" s="456">
        <f>+'76'!H20+'78'!H20+'80'!H20+'81'!H20+'82'!H20</f>
        <v>10</v>
      </c>
      <c r="I20" s="456">
        <f>+'76'!I20+'78'!I20+'80'!I20+'81'!I20+'82'!I20</f>
        <v>0</v>
      </c>
      <c r="J20" s="455">
        <f>+'76'!J20+'78'!J20+'80'!J20+'81'!J20+'82'!J20</f>
        <v>28</v>
      </c>
      <c r="K20" s="448">
        <f>SUM(E20:J20)</f>
        <v>90</v>
      </c>
      <c r="L20" s="455">
        <f>+'76'!L20+'78'!L20+'80'!L20+'81'!L20+'82'!L20</f>
        <v>16</v>
      </c>
      <c r="M20" s="455">
        <f>+'76'!M20+'78'!M20+'80'!M20+'81'!M20+'82'!M20</f>
        <v>70</v>
      </c>
      <c r="N20" s="455">
        <f>+'76'!N20+'78'!N20+'80'!N20+'81'!N20+'82'!N20</f>
        <v>4</v>
      </c>
      <c r="O20" s="448">
        <f>SUM(L20:N20)</f>
        <v>90</v>
      </c>
      <c r="P20" s="457">
        <f>SUM(D20,K20)-O20</f>
        <v>0</v>
      </c>
      <c r="Q20" s="455">
        <f>+'76'!Q20+'78'!Q20+'80'!Q20+'81'!Q20+'82'!Q20</f>
        <v>3</v>
      </c>
      <c r="R20" s="455">
        <f>+'76'!R20+'78'!R20+'80'!R20+'81'!R20+'82'!R20</f>
        <v>1091</v>
      </c>
      <c r="S20" s="455">
        <f>+'76'!S20+'78'!S20+'80'!S20+'81'!S20+'82'!S20</f>
        <v>444</v>
      </c>
      <c r="T20" s="455">
        <f>+'76'!T20+'78'!T20+'80'!T20+'81'!T20+'82'!T20</f>
        <v>585</v>
      </c>
      <c r="U20" s="455">
        <f>+'76'!U20+'78'!U20+'80'!U20+'81'!U20+'82'!U20</f>
        <v>582</v>
      </c>
      <c r="V20" s="449">
        <f>S20/R20*100</f>
        <v>40.696608615948669</v>
      </c>
      <c r="W20" s="450">
        <f>+T20/O20</f>
        <v>6.5</v>
      </c>
      <c r="X20" s="451">
        <f>+O20/(R20/30.4)</f>
        <v>2.5077910174152152</v>
      </c>
      <c r="Y20" s="452">
        <f>(+R20-S20)/O20</f>
        <v>7.1888888888888891</v>
      </c>
      <c r="Z20" s="441"/>
      <c r="AA20" s="441"/>
    </row>
    <row r="21" spans="1:27" ht="23.25" customHeight="1">
      <c r="A21" s="648" t="s">
        <v>1087</v>
      </c>
      <c r="B21" s="649">
        <v>412</v>
      </c>
      <c r="C21" s="454">
        <v>4</v>
      </c>
      <c r="D21" s="455">
        <f>+'76'!D21+'78'!D21+'80'!D21+'81'!D21+'82'!D21</f>
        <v>1</v>
      </c>
      <c r="E21" s="456">
        <f>+'76'!E21+'78'!E21+'80'!E21+'81'!E21+'82'!E21</f>
        <v>76</v>
      </c>
      <c r="F21" s="456">
        <f>+'76'!F21+'78'!F21+'80'!F21+'81'!F21+'82'!F21</f>
        <v>0</v>
      </c>
      <c r="G21" s="456">
        <f>+'76'!G21+'78'!G21+'80'!G21+'81'!G21+'82'!G21</f>
        <v>0</v>
      </c>
      <c r="H21" s="456">
        <f>+'76'!H21+'78'!H21+'80'!H21+'81'!H21+'82'!H21</f>
        <v>4</v>
      </c>
      <c r="I21" s="456">
        <f>+'76'!I21+'78'!I21+'80'!I21+'81'!I21+'82'!I21</f>
        <v>0</v>
      </c>
      <c r="J21" s="455">
        <f>+'76'!J21+'78'!J21+'80'!J21+'81'!J21+'82'!J21</f>
        <v>96</v>
      </c>
      <c r="K21" s="448">
        <f t="shared" si="2"/>
        <v>176</v>
      </c>
      <c r="L21" s="455">
        <f>+'76'!L21+'78'!L21+'80'!L21+'81'!L21+'82'!L21</f>
        <v>28</v>
      </c>
      <c r="M21" s="455">
        <f>+'76'!M21+'78'!M21+'80'!M21+'81'!M21+'82'!M21</f>
        <v>146</v>
      </c>
      <c r="N21" s="455">
        <f>+'76'!N21+'78'!N21+'80'!N21+'81'!N21+'82'!N21</f>
        <v>1</v>
      </c>
      <c r="O21" s="448">
        <f t="shared" si="3"/>
        <v>175</v>
      </c>
      <c r="P21" s="457">
        <f t="shared" si="4"/>
        <v>2</v>
      </c>
      <c r="Q21" s="455">
        <f>+'76'!Q21+'78'!Q21+'80'!Q21+'81'!Q21+'82'!Q21</f>
        <v>6</v>
      </c>
      <c r="R21" s="455">
        <f>+'76'!R21+'78'!R21+'80'!R21+'81'!R21+'82'!R21</f>
        <v>1874</v>
      </c>
      <c r="S21" s="455">
        <f>+'76'!S21+'78'!S21+'80'!S21+'81'!S21+'82'!S21</f>
        <v>1229</v>
      </c>
      <c r="T21" s="455">
        <f>+'76'!T21+'78'!T21+'80'!T21+'81'!T21+'82'!T21</f>
        <v>1826</v>
      </c>
      <c r="U21" s="455">
        <f>+'76'!U21+'78'!U21+'80'!U21+'81'!U21+'82'!U21</f>
        <v>1812</v>
      </c>
      <c r="V21" s="449">
        <f t="shared" si="5"/>
        <v>65.581643543223052</v>
      </c>
      <c r="W21" s="450">
        <f t="shared" si="6"/>
        <v>10.434285714285714</v>
      </c>
      <c r="X21" s="451">
        <f t="shared" si="7"/>
        <v>2.8388473852721448</v>
      </c>
      <c r="Y21" s="452">
        <f t="shared" si="8"/>
        <v>3.6857142857142855</v>
      </c>
      <c r="Z21" s="441"/>
      <c r="AA21" s="441"/>
    </row>
    <row r="22" spans="1:27" ht="23.25" customHeight="1">
      <c r="A22" s="453" t="s">
        <v>158</v>
      </c>
      <c r="B22" s="445">
        <v>414</v>
      </c>
      <c r="C22" s="454">
        <f>+'76'!C22+'78'!C22+'80'!C22+'81'!C22+'82'!C22</f>
        <v>5</v>
      </c>
      <c r="D22" s="455">
        <f>+'76'!D22+'78'!D22+'80'!D22+'81'!D22+'82'!D22</f>
        <v>3</v>
      </c>
      <c r="E22" s="456">
        <f>+'76'!E22+'78'!E22+'80'!E22+'81'!E22+'82'!E22</f>
        <v>1</v>
      </c>
      <c r="F22" s="456">
        <f>+'76'!F22+'78'!F22+'80'!F22+'81'!F22+'82'!F22</f>
        <v>0</v>
      </c>
      <c r="G22" s="456">
        <f>+'76'!G22+'78'!G22+'80'!G22+'81'!G22+'82'!G22</f>
        <v>26</v>
      </c>
      <c r="H22" s="456">
        <f>+'76'!H22+'78'!H22+'80'!H22+'81'!H22+'82'!H22</f>
        <v>3</v>
      </c>
      <c r="I22" s="456">
        <f>+'76'!I22+'78'!I22+'80'!I22+'81'!I22+'82'!I22</f>
        <v>115</v>
      </c>
      <c r="J22" s="455">
        <f>+'76'!J22+'78'!J22+'80'!J22+'81'!J22+'82'!J22</f>
        <v>21</v>
      </c>
      <c r="K22" s="448">
        <f t="shared" si="2"/>
        <v>166</v>
      </c>
      <c r="L22" s="455">
        <f>+'76'!L22+'78'!L22+'80'!L22+'81'!L22+'82'!L22</f>
        <v>13</v>
      </c>
      <c r="M22" s="455">
        <f>+'76'!M22+'78'!M22+'80'!M22+'81'!M22+'82'!M22</f>
        <v>146</v>
      </c>
      <c r="N22" s="455">
        <f>+'76'!N22+'78'!N22+'80'!N22+'81'!N22+'82'!N22</f>
        <v>6</v>
      </c>
      <c r="O22" s="448">
        <f t="shared" si="3"/>
        <v>165</v>
      </c>
      <c r="P22" s="457">
        <f t="shared" si="4"/>
        <v>4</v>
      </c>
      <c r="Q22" s="455">
        <f>+'76'!Q22+'78'!Q22+'80'!Q22+'81'!Q22+'82'!Q22</f>
        <v>4</v>
      </c>
      <c r="R22" s="455">
        <f>+'76'!R22+'78'!R22+'80'!R22+'81'!R22+'82'!R22</f>
        <v>1976</v>
      </c>
      <c r="S22" s="455">
        <f>+'76'!S22+'78'!S22+'80'!S22+'81'!S22+'82'!S22</f>
        <v>1281</v>
      </c>
      <c r="T22" s="455">
        <f>+'76'!T22+'78'!T22+'80'!T22+'81'!T22+'82'!T22</f>
        <v>1375</v>
      </c>
      <c r="U22" s="455">
        <f>+'76'!U22+'78'!U22+'80'!U22+'81'!U22+'82'!U22</f>
        <v>1352</v>
      </c>
      <c r="V22" s="449">
        <f t="shared" si="5"/>
        <v>64.827935222672068</v>
      </c>
      <c r="W22" s="450">
        <f t="shared" si="6"/>
        <v>8.3333333333333339</v>
      </c>
      <c r="X22" s="451">
        <f t="shared" si="7"/>
        <v>2.5384615384615383</v>
      </c>
      <c r="Y22" s="452">
        <f t="shared" si="8"/>
        <v>4.2121212121212119</v>
      </c>
      <c r="Z22" s="441"/>
      <c r="AA22" s="441"/>
    </row>
    <row r="23" spans="1:27" ht="23.25" customHeight="1">
      <c r="A23" s="453" t="s">
        <v>159</v>
      </c>
      <c r="B23" s="445">
        <v>405</v>
      </c>
      <c r="C23" s="454">
        <f>+'76'!C23+'78'!C23+'80'!C23+'81'!C23+'82'!C23</f>
        <v>24</v>
      </c>
      <c r="D23" s="455">
        <f>+'76'!D23+'78'!D23+'80'!D23+'81'!D23+'82'!D23</f>
        <v>6</v>
      </c>
      <c r="E23" s="456">
        <f>+'76'!E23+'78'!E23+'80'!E23+'81'!E23+'82'!E23</f>
        <v>271</v>
      </c>
      <c r="F23" s="456">
        <f>+'76'!F23+'78'!F23+'80'!F23+'81'!F23+'82'!F23</f>
        <v>0</v>
      </c>
      <c r="G23" s="456">
        <f>+'76'!G23+'78'!G23+'80'!G23+'81'!G23+'82'!G23</f>
        <v>3</v>
      </c>
      <c r="H23" s="456">
        <f>+'76'!H23+'78'!H23+'80'!H23+'81'!H23+'82'!H23</f>
        <v>41</v>
      </c>
      <c r="I23" s="456">
        <f>+'76'!I23+'78'!I23+'80'!I23+'81'!I23+'82'!I23</f>
        <v>18</v>
      </c>
      <c r="J23" s="455">
        <f>+'76'!J23+'78'!J23+'80'!J23+'81'!J23+'82'!J23</f>
        <v>211</v>
      </c>
      <c r="K23" s="448">
        <f>SUM(E23:J23)</f>
        <v>544</v>
      </c>
      <c r="L23" s="455">
        <f>+'76'!L23+'78'!L23+'80'!L23+'81'!L23+'82'!L23</f>
        <v>106</v>
      </c>
      <c r="M23" s="455">
        <f>+'76'!M23+'78'!M23+'80'!M23+'81'!M23+'82'!M23</f>
        <v>294</v>
      </c>
      <c r="N23" s="455">
        <f>+'76'!N23+'78'!N23+'80'!N23+'81'!N23+'82'!N23</f>
        <v>144</v>
      </c>
      <c r="O23" s="448">
        <f>SUM(L23:N23)</f>
        <v>544</v>
      </c>
      <c r="P23" s="457">
        <f>SUM(D23,K23)-O23</f>
        <v>6</v>
      </c>
      <c r="Q23" s="455">
        <f>+'76'!Q23+'78'!Q23+'80'!Q23+'81'!Q23+'82'!Q23</f>
        <v>20</v>
      </c>
      <c r="R23" s="455">
        <f>+'76'!R23+'78'!R23+'80'!R23+'81'!R23+'82'!R23</f>
        <v>5510</v>
      </c>
      <c r="S23" s="455">
        <f>+'76'!S23+'78'!S23+'80'!S23+'81'!S23+'82'!S23</f>
        <v>4234</v>
      </c>
      <c r="T23" s="455">
        <f>+'76'!T23+'78'!T23+'80'!T23+'81'!T23+'82'!T23</f>
        <v>4151</v>
      </c>
      <c r="U23" s="455">
        <f>+'76'!U23+'78'!U23+'80'!U23+'81'!U23+'82'!U23</f>
        <v>3982</v>
      </c>
      <c r="V23" s="449">
        <f>S23/R23*100</f>
        <v>76.84210526315789</v>
      </c>
      <c r="W23" s="450">
        <f>+T23/O23</f>
        <v>7.6305147058823533</v>
      </c>
      <c r="X23" s="451">
        <f>+O23/(R23/30.4)</f>
        <v>3.0013793103448276</v>
      </c>
      <c r="Y23" s="452">
        <f>(+R23-S23)/O23</f>
        <v>2.3455882352941178</v>
      </c>
      <c r="Z23" s="441"/>
      <c r="AA23" s="441"/>
    </row>
    <row r="24" spans="1:27" ht="23.25" customHeight="1">
      <c r="A24" s="453" t="s">
        <v>160</v>
      </c>
      <c r="B24" s="445">
        <v>406</v>
      </c>
      <c r="C24" s="454">
        <f>+'76'!C24+'78'!C24+'80'!C24+'81'!C24+'82'!C24</f>
        <v>24</v>
      </c>
      <c r="D24" s="455">
        <f>+'76'!D24+'78'!D24+'80'!D24+'81'!D24+'82'!D24</f>
        <v>24</v>
      </c>
      <c r="E24" s="456">
        <f>+'76'!E24+'78'!E24+'80'!E24+'81'!E24+'82'!E24</f>
        <v>683</v>
      </c>
      <c r="F24" s="456">
        <f>+'76'!F24+'78'!F24+'80'!F24+'81'!F24+'82'!F24</f>
        <v>0</v>
      </c>
      <c r="G24" s="456">
        <f>+'76'!G24+'78'!G24+'80'!G24+'81'!G24+'82'!G24</f>
        <v>17</v>
      </c>
      <c r="H24" s="456">
        <f>+'76'!H24+'78'!H24+'80'!H24+'81'!H24+'82'!H24</f>
        <v>41</v>
      </c>
      <c r="I24" s="456">
        <f>+'76'!I24+'78'!I24+'80'!I24+'81'!I24+'82'!I24</f>
        <v>34</v>
      </c>
      <c r="J24" s="455">
        <f>+'76'!J24+'78'!J24+'80'!J24+'81'!J24+'82'!J24</f>
        <v>499</v>
      </c>
      <c r="K24" s="448">
        <f>SUM(E24:J24)</f>
        <v>1274</v>
      </c>
      <c r="L24" s="455">
        <f>+'76'!L24+'78'!L24+'80'!L24+'81'!L24+'82'!L24</f>
        <v>374</v>
      </c>
      <c r="M24" s="455">
        <f>+'76'!M24+'78'!M24+'80'!M24+'81'!M24+'82'!M24</f>
        <v>854</v>
      </c>
      <c r="N24" s="455">
        <f>+'76'!N24+'78'!N24+'80'!N24+'81'!N24+'82'!N24</f>
        <v>50</v>
      </c>
      <c r="O24" s="448">
        <f>SUM(L24:N24)</f>
        <v>1278</v>
      </c>
      <c r="P24" s="457">
        <f>SUM(D24,K24)-O24</f>
        <v>20</v>
      </c>
      <c r="Q24" s="455">
        <f>+'76'!Q24+'78'!Q24+'80'!Q24+'81'!Q24+'82'!Q24</f>
        <v>17</v>
      </c>
      <c r="R24" s="455">
        <f>+'76'!R24+'78'!R24+'80'!R24+'81'!R24+'82'!R24</f>
        <v>6514</v>
      </c>
      <c r="S24" s="455">
        <f>+'76'!S24+'78'!S24+'80'!S24+'81'!S24+'82'!S24</f>
        <v>5073</v>
      </c>
      <c r="T24" s="455">
        <f>+'76'!T24+'78'!T24+'80'!T24+'81'!T24+'82'!T24</f>
        <v>5216</v>
      </c>
      <c r="U24" s="455">
        <f>+'76'!U24+'78'!U24+'80'!U24+'81'!U24+'82'!U24</f>
        <v>5046</v>
      </c>
      <c r="V24" s="449">
        <f>S24/R24*100</f>
        <v>77.878415719987714</v>
      </c>
      <c r="W24" s="450">
        <f>+T24/O24</f>
        <v>4.0813771517996873</v>
      </c>
      <c r="X24" s="451">
        <f>+O24/(R24/30.4)</f>
        <v>5.964261590420632</v>
      </c>
      <c r="Y24" s="452">
        <f>(+R24-S24)/O24</f>
        <v>1.1275430359937402</v>
      </c>
      <c r="Z24" s="441"/>
      <c r="AA24" s="441"/>
    </row>
    <row r="25" spans="1:27" ht="23.25" customHeight="1">
      <c r="A25" s="453" t="s">
        <v>699</v>
      </c>
      <c r="B25" s="445">
        <v>415</v>
      </c>
      <c r="C25" s="454">
        <f>+'76'!C25+'78'!C25+'80'!C25+'81'!C25+'82'!C25</f>
        <v>6</v>
      </c>
      <c r="D25" s="455">
        <f>+'76'!D25+'78'!D25+'80'!D25+'81'!D25+'82'!D25</f>
        <v>2</v>
      </c>
      <c r="E25" s="456">
        <f>+'76'!E25+'78'!E25+'80'!E25+'81'!E25+'82'!E25</f>
        <v>4</v>
      </c>
      <c r="F25" s="456">
        <f>+'76'!F25+'78'!F25+'80'!F25+'81'!F25+'82'!F25</f>
        <v>0</v>
      </c>
      <c r="G25" s="456">
        <f>+'76'!G25+'78'!G25+'80'!G25+'81'!G25+'82'!G25</f>
        <v>9</v>
      </c>
      <c r="H25" s="456">
        <f>+'76'!H25+'78'!H25+'80'!H25+'81'!H25+'82'!H25</f>
        <v>0</v>
      </c>
      <c r="I25" s="456">
        <f>+'76'!I25+'78'!I25+'80'!I25+'81'!I25+'82'!I25</f>
        <v>74</v>
      </c>
      <c r="J25" s="455">
        <f>+'76'!J25+'78'!J25+'80'!J25+'81'!J25+'82'!J25</f>
        <v>154</v>
      </c>
      <c r="K25" s="448">
        <f>SUM(E25:J25)</f>
        <v>241</v>
      </c>
      <c r="L25" s="455">
        <f>+'76'!L25+'78'!L25+'80'!L25+'81'!L25+'82'!L25</f>
        <v>87</v>
      </c>
      <c r="M25" s="455">
        <f>+'76'!M25+'78'!M25+'80'!M25+'81'!M25+'82'!M25</f>
        <v>153</v>
      </c>
      <c r="N25" s="455">
        <f>+'76'!N25+'78'!N25+'80'!N25+'81'!N25+'82'!N25</f>
        <v>0</v>
      </c>
      <c r="O25" s="448">
        <f>SUM(L25:N25)</f>
        <v>240</v>
      </c>
      <c r="P25" s="457">
        <f>SUM(D25,K25)-O25</f>
        <v>3</v>
      </c>
      <c r="Q25" s="455">
        <f>+'76'!Q25+'78'!Q25+'80'!Q25+'81'!Q25+'82'!Q25</f>
        <v>0</v>
      </c>
      <c r="R25" s="455">
        <f>+'76'!R25+'78'!R25+'80'!R25+'81'!R25+'82'!R25</f>
        <v>2338</v>
      </c>
      <c r="S25" s="455">
        <f>+'76'!S25+'78'!S25+'80'!S25+'81'!S25+'82'!S25</f>
        <v>1481</v>
      </c>
      <c r="T25" s="455">
        <f>+'76'!T25+'78'!T25+'80'!T25+'81'!T25+'82'!T25</f>
        <v>1402</v>
      </c>
      <c r="U25" s="455">
        <f>+'76'!U25+'78'!U25+'80'!U25+'81'!U25+'82'!U25</f>
        <v>1337</v>
      </c>
      <c r="V25" s="449">
        <f>S25/R25*100</f>
        <v>63.344739093242083</v>
      </c>
      <c r="W25" s="450">
        <f>+T25/O25</f>
        <v>5.8416666666666668</v>
      </c>
      <c r="X25" s="451">
        <f>+O25/(R25/30.4)</f>
        <v>3.1206159110350726</v>
      </c>
      <c r="Y25" s="452">
        <f>(+R25-S25)/O25</f>
        <v>3.5708333333333333</v>
      </c>
      <c r="Z25" s="441"/>
      <c r="AA25" s="441"/>
    </row>
    <row r="26" spans="1:27" ht="23.25" customHeight="1">
      <c r="A26" s="453" t="s">
        <v>161</v>
      </c>
      <c r="B26" s="445">
        <v>330</v>
      </c>
      <c r="C26" s="454">
        <f>+'76'!C26+'78'!C26+'80'!C26+'81'!C26+'82'!C26</f>
        <v>22</v>
      </c>
      <c r="D26" s="455">
        <f>+'76'!D26+'78'!D26+'80'!D26+'81'!D26+'82'!D26</f>
        <v>15</v>
      </c>
      <c r="E26" s="456">
        <f>+'76'!E26+'78'!E26+'80'!E26+'81'!E26+'82'!E26</f>
        <v>575</v>
      </c>
      <c r="F26" s="456">
        <f>+'76'!F26+'78'!F26+'80'!F26+'81'!F26+'82'!F26</f>
        <v>0</v>
      </c>
      <c r="G26" s="456">
        <f>+'76'!G26+'78'!G26+'80'!G26+'81'!G26+'82'!G26</f>
        <v>123</v>
      </c>
      <c r="H26" s="456">
        <f>+'76'!H26+'78'!H26+'80'!H26+'81'!H26+'82'!H26</f>
        <v>3</v>
      </c>
      <c r="I26" s="456">
        <f>+'76'!I26+'78'!I26+'80'!I26+'81'!I26+'82'!I26</f>
        <v>1016</v>
      </c>
      <c r="J26" s="455">
        <f>+'76'!J26+'78'!J26+'80'!J26+'81'!J26+'82'!J26</f>
        <v>323</v>
      </c>
      <c r="K26" s="448">
        <f t="shared" si="2"/>
        <v>2040</v>
      </c>
      <c r="L26" s="455">
        <f>+'76'!L26+'78'!L26+'80'!L26+'81'!L26+'82'!L26</f>
        <v>1182</v>
      </c>
      <c r="M26" s="455">
        <f>+'76'!M26+'78'!M26+'80'!M26+'81'!M26+'82'!M26</f>
        <v>833</v>
      </c>
      <c r="N26" s="455">
        <f>+'76'!N26+'78'!N26+'80'!N26+'81'!N26+'82'!N26</f>
        <v>24</v>
      </c>
      <c r="O26" s="448">
        <f t="shared" si="3"/>
        <v>2039</v>
      </c>
      <c r="P26" s="457">
        <f t="shared" si="4"/>
        <v>16</v>
      </c>
      <c r="Q26" s="455">
        <f>+'76'!Q26+'78'!Q26+'80'!Q26+'81'!Q26+'82'!Q26</f>
        <v>131</v>
      </c>
      <c r="R26" s="455">
        <f>+'76'!R26+'78'!R26+'80'!R26+'81'!R26+'82'!R26</f>
        <v>6237</v>
      </c>
      <c r="S26" s="455">
        <f>+'76'!S26+'78'!S26+'80'!S26+'81'!S26+'82'!S26</f>
        <v>4010</v>
      </c>
      <c r="T26" s="455">
        <f>+'76'!T26+'78'!T26+'80'!T26+'81'!T26+'82'!T26</f>
        <v>4084</v>
      </c>
      <c r="U26" s="455">
        <f>+'76'!U26+'78'!U26+'80'!U26+'81'!U26+'82'!U26</f>
        <v>781</v>
      </c>
      <c r="V26" s="449">
        <f t="shared" si="5"/>
        <v>64.293730960397639</v>
      </c>
      <c r="W26" s="450">
        <f t="shared" si="6"/>
        <v>2.0029426189308484</v>
      </c>
      <c r="X26" s="451">
        <f t="shared" si="7"/>
        <v>9.9383678050344706</v>
      </c>
      <c r="Y26" s="452">
        <f t="shared" si="8"/>
        <v>1.0922020598332516</v>
      </c>
      <c r="Z26" s="441"/>
      <c r="AA26" s="441"/>
    </row>
    <row r="27" spans="1:27" ht="23.25" customHeight="1">
      <c r="A27" s="459" t="s">
        <v>916</v>
      </c>
      <c r="B27" s="475"/>
      <c r="C27" s="460">
        <f>+'76'!C27+'78'!C27+'80'!C27+'81'!C27+'82'!C27</f>
        <v>354</v>
      </c>
      <c r="D27" s="461">
        <f>+'76'!D27+'78'!D27+'80'!D27+'81'!D27+'82'!D27</f>
        <v>209</v>
      </c>
      <c r="E27" s="462">
        <f>+'76'!E27+'78'!E27+'80'!E27+'81'!E27+'82'!E27</f>
        <v>0</v>
      </c>
      <c r="F27" s="462">
        <f>+'76'!F27+'78'!F27+'80'!F27+'81'!F27+'82'!F27</f>
        <v>0</v>
      </c>
      <c r="G27" s="462">
        <f>+'76'!G27+'78'!G27+'80'!G27+'81'!G27+'82'!G27</f>
        <v>0</v>
      </c>
      <c r="H27" s="462">
        <f>+'76'!H27+'78'!H27+'80'!H27+'81'!H27+'82'!H27</f>
        <v>134</v>
      </c>
      <c r="I27" s="462">
        <f>+'76'!I27+'78'!I27+'80'!I27+'81'!I27+'82'!I27</f>
        <v>463</v>
      </c>
      <c r="J27" s="461">
        <f>+'76'!J27+'78'!J27+'80'!J27+'81'!J27+'82'!J27</f>
        <v>81</v>
      </c>
      <c r="K27" s="463">
        <f t="shared" si="2"/>
        <v>678</v>
      </c>
      <c r="L27" s="461">
        <f>+'76'!L27+'78'!L27+'80'!L27+'81'!L27+'82'!L27</f>
        <v>573</v>
      </c>
      <c r="M27" s="461">
        <f>+'76'!M27+'78'!M27+'80'!M27+'81'!M27+'82'!M27</f>
        <v>84</v>
      </c>
      <c r="N27" s="461">
        <f>+'76'!N27+'78'!N27+'80'!N27+'81'!N27+'82'!N27</f>
        <v>2</v>
      </c>
      <c r="O27" s="463">
        <f t="shared" si="3"/>
        <v>659</v>
      </c>
      <c r="P27" s="464">
        <f t="shared" si="4"/>
        <v>228</v>
      </c>
      <c r="Q27" s="461">
        <f>+'76'!Q27+'78'!Q27+'80'!Q27+'81'!Q27+'82'!Q27</f>
        <v>4</v>
      </c>
      <c r="R27" s="461">
        <f>+'76'!R27+'78'!R27+'80'!R27+'81'!R27+'82'!R27</f>
        <v>94788</v>
      </c>
      <c r="S27" s="461">
        <f>+'76'!S27+'78'!S27+'80'!S27+'81'!S27+'82'!S27</f>
        <v>90132</v>
      </c>
      <c r="T27" s="461">
        <f>+'76'!T27+'78'!T27+'80'!T27+'81'!T27+'82'!T27</f>
        <v>115929</v>
      </c>
      <c r="U27" s="461">
        <f>+'76'!U27+'78'!U27+'80'!U27+'81'!U27+'82'!U27</f>
        <v>115819</v>
      </c>
      <c r="V27" s="465">
        <f>S27/R27*100</f>
        <v>95.087985820989999</v>
      </c>
      <c r="W27" s="466">
        <f>+T27/O27</f>
        <v>175.9165402124431</v>
      </c>
      <c r="X27" s="467">
        <f>+O27/(R27/30.4)</f>
        <v>0.2113516478879183</v>
      </c>
      <c r="Y27" s="468">
        <f>(+R27-S27)/O27</f>
        <v>7.0652503793626709</v>
      </c>
      <c r="Z27" s="441"/>
      <c r="AA27" s="441"/>
    </row>
    <row r="28" spans="1:27" ht="15.75">
      <c r="A28" s="469" t="s">
        <v>164</v>
      </c>
      <c r="Z28" s="441"/>
      <c r="AA28" s="441"/>
    </row>
    <row r="29" spans="1:27" ht="15.75">
      <c r="Z29" s="441"/>
      <c r="AA29" s="441"/>
    </row>
    <row r="30" spans="1:27">
      <c r="O30" s="470"/>
    </row>
    <row r="31" spans="1:27">
      <c r="D31" s="471"/>
      <c r="O31" s="602"/>
    </row>
  </sheetData>
  <mergeCells count="2">
    <mergeCell ref="Q9:Q10"/>
    <mergeCell ref="E9:O9"/>
  </mergeCells>
  <phoneticPr fontId="46"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C22:U27 C13:Y13 C14:U19 D21:U21" unlockedFormula="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ransitionEvaluation="1"/>
  <dimension ref="A1:Y39"/>
  <sheetViews>
    <sheetView showGridLines="0" zoomScale="75" workbookViewId="0">
      <selection activeCell="F36" sqref="F36"/>
    </sheetView>
  </sheetViews>
  <sheetFormatPr baseColWidth="10" defaultColWidth="12.5703125" defaultRowHeight="12.75"/>
  <cols>
    <col min="1" max="1" width="50.42578125" style="469" customWidth="1"/>
    <col min="2" max="2" width="11.28515625" style="469" customWidth="1"/>
    <col min="3" max="3" width="14" style="469" customWidth="1"/>
    <col min="4" max="14" width="11.28515625" style="469" customWidth="1"/>
    <col min="15" max="17" width="8.28515625" style="469" customWidth="1"/>
    <col min="18" max="18" width="10.42578125" style="469" customWidth="1"/>
    <col min="19" max="19" width="9.7109375" style="469" customWidth="1"/>
    <col min="20" max="20" width="9.42578125" style="469" customWidth="1"/>
    <col min="21" max="21" width="9.28515625" style="469" customWidth="1"/>
    <col min="22" max="22" width="8.28515625" style="469" customWidth="1"/>
    <col min="23" max="23" width="8.7109375" style="469" customWidth="1"/>
    <col min="24" max="24" width="10" style="469" customWidth="1"/>
    <col min="25" max="25" width="8.7109375" style="469" customWidth="1"/>
    <col min="26" max="26" width="10.7109375" style="440" customWidth="1"/>
    <col min="27" max="27" width="9.28515625" style="440" customWidth="1"/>
    <col min="28" max="16384" width="12.5703125" style="440"/>
  </cols>
  <sheetData>
    <row r="1" spans="1:25" s="1427" customFormat="1">
      <c r="A1" s="1628" t="s">
        <v>1209</v>
      </c>
      <c r="B1" s="1628"/>
      <c r="C1" s="1628"/>
      <c r="D1" s="1628"/>
      <c r="E1" s="1628"/>
      <c r="F1" s="1628"/>
      <c r="G1" s="1628"/>
      <c r="H1" s="1628"/>
      <c r="I1" s="1628"/>
      <c r="J1" s="1628"/>
      <c r="K1" s="1628"/>
      <c r="L1" s="1628"/>
      <c r="M1" s="1628"/>
      <c r="N1" s="1628"/>
      <c r="O1" s="1428"/>
      <c r="P1" s="1428"/>
      <c r="Q1" s="1428"/>
      <c r="R1" s="1428"/>
      <c r="S1" s="1428"/>
      <c r="T1" s="1428"/>
      <c r="U1" s="1428"/>
      <c r="V1" s="1428"/>
      <c r="W1" s="1428"/>
      <c r="X1" s="1428"/>
      <c r="Y1" s="1428"/>
    </row>
    <row r="2" spans="1:25" s="1427" customFormat="1">
      <c r="A2" s="1424"/>
      <c r="B2" s="1424"/>
      <c r="C2" s="1425"/>
      <c r="D2" s="1425"/>
      <c r="E2" s="1425"/>
      <c r="F2" s="1425"/>
      <c r="G2" s="1425"/>
      <c r="H2" s="1425"/>
      <c r="I2" s="1425"/>
      <c r="J2" s="1425"/>
      <c r="K2" s="1425"/>
      <c r="L2" s="1425"/>
      <c r="M2" s="1425"/>
      <c r="N2" s="1425"/>
      <c r="O2" s="1428"/>
      <c r="P2" s="1428"/>
      <c r="Q2" s="1428"/>
      <c r="R2" s="1428"/>
      <c r="S2" s="1428"/>
      <c r="T2" s="1428"/>
      <c r="U2" s="1428"/>
      <c r="V2" s="1428"/>
      <c r="W2" s="1428"/>
      <c r="X2" s="1428"/>
      <c r="Y2" s="1428"/>
    </row>
    <row r="3" spans="1:25" s="1427" customFormat="1">
      <c r="A3" s="1628" t="str">
        <f>+'74'!A3</f>
        <v>SERVICIO DE SALUD   ACONCAGUA   2023</v>
      </c>
      <c r="B3" s="1628"/>
      <c r="C3" s="1628"/>
      <c r="D3" s="1628"/>
      <c r="E3" s="1628"/>
      <c r="F3" s="1628"/>
      <c r="G3" s="1628"/>
      <c r="H3" s="1628"/>
      <c r="I3" s="1628"/>
      <c r="J3" s="1628"/>
      <c r="K3" s="1628"/>
      <c r="L3" s="1628"/>
      <c r="M3" s="1628"/>
      <c r="N3" s="1628"/>
      <c r="O3" s="1428"/>
      <c r="P3" s="1428"/>
      <c r="Q3" s="1428"/>
      <c r="R3" s="1428"/>
      <c r="S3" s="1428"/>
      <c r="T3" s="1428"/>
      <c r="U3" s="1428"/>
      <c r="V3" s="1428"/>
      <c r="W3" s="1428"/>
      <c r="X3" s="1428"/>
      <c r="Y3" s="1428"/>
    </row>
    <row r="4" spans="1:25">
      <c r="A4" s="439"/>
      <c r="B4" s="439"/>
      <c r="C4" s="439"/>
      <c r="D4" s="439"/>
      <c r="E4" s="439"/>
      <c r="F4" s="439"/>
      <c r="G4" s="439"/>
      <c r="H4" s="439"/>
      <c r="I4" s="439"/>
      <c r="J4" s="439"/>
      <c r="K4" s="439"/>
      <c r="L4" s="439"/>
      <c r="M4" s="439"/>
      <c r="N4" s="439"/>
    </row>
    <row r="6" spans="1:25" ht="28.5" customHeight="1">
      <c r="A6" s="1429" t="s">
        <v>1122</v>
      </c>
      <c r="B6" s="1251" t="s">
        <v>448</v>
      </c>
      <c r="C6" s="1252" t="s">
        <v>1098</v>
      </c>
      <c r="D6" s="1252" t="s">
        <v>1099</v>
      </c>
      <c r="E6" s="1252" t="s">
        <v>1100</v>
      </c>
      <c r="F6" s="1252" t="s">
        <v>1101</v>
      </c>
      <c r="G6" s="1252" t="s">
        <v>1102</v>
      </c>
      <c r="H6" s="1252" t="s">
        <v>1103</v>
      </c>
      <c r="I6" s="1252" t="s">
        <v>1104</v>
      </c>
      <c r="J6" s="1252" t="s">
        <v>1105</v>
      </c>
      <c r="K6" s="1252" t="s">
        <v>1106</v>
      </c>
      <c r="L6" s="1252" t="s">
        <v>1107</v>
      </c>
      <c r="M6" s="1252" t="s">
        <v>1108</v>
      </c>
      <c r="N6" s="1354" t="s">
        <v>1109</v>
      </c>
    </row>
    <row r="7" spans="1:25" ht="22.5" customHeight="1">
      <c r="A7" s="665" t="s">
        <v>1110</v>
      </c>
      <c r="B7" s="358">
        <f>SUM(C7:N7)</f>
        <v>46127</v>
      </c>
      <c r="C7" s="359">
        <f>+'77'!C7+'79'!C7</f>
        <v>1186</v>
      </c>
      <c r="D7" s="359">
        <f>+'77'!D7+'79'!D7</f>
        <v>5</v>
      </c>
      <c r="E7" s="359">
        <f>+'77'!E7+'79'!E7</f>
        <v>0</v>
      </c>
      <c r="F7" s="359">
        <f>+'77'!F7+'79'!F7</f>
        <v>10792</v>
      </c>
      <c r="G7" s="359">
        <f>+'77'!G7+'79'!G7</f>
        <v>1579</v>
      </c>
      <c r="H7" s="359">
        <f>+'77'!H7+'79'!H7</f>
        <v>45</v>
      </c>
      <c r="I7" s="359">
        <f>+'77'!I7+'79'!I7</f>
        <v>10787</v>
      </c>
      <c r="J7" s="359">
        <f>+'77'!J7+'79'!J7</f>
        <v>18854</v>
      </c>
      <c r="K7" s="359">
        <f>+'77'!K7+'79'!K7</f>
        <v>1297</v>
      </c>
      <c r="L7" s="359">
        <f>+'77'!L7+'79'!L7</f>
        <v>127</v>
      </c>
      <c r="M7" s="359">
        <f>+'77'!M7+'79'!M7</f>
        <v>1200</v>
      </c>
      <c r="N7" s="360">
        <f>+'77'!N7+'79'!N7</f>
        <v>255</v>
      </c>
    </row>
    <row r="8" spans="1:25" ht="21.75" customHeight="1">
      <c r="A8" s="666" t="s">
        <v>1119</v>
      </c>
      <c r="B8" s="353">
        <f>SUM(C8:N8)</f>
        <v>15379</v>
      </c>
      <c r="C8" s="352">
        <f>+'79'!C8+'77'!C8</f>
        <v>697</v>
      </c>
      <c r="D8" s="352">
        <f>+'79'!D8+'77'!D8</f>
        <v>2</v>
      </c>
      <c r="E8" s="352">
        <f>+'79'!E8+'77'!E8</f>
        <v>0</v>
      </c>
      <c r="F8" s="352">
        <f>+'79'!F8+'77'!F8</f>
        <v>5313</v>
      </c>
      <c r="G8" s="352">
        <f>+'79'!G8+'77'!G8</f>
        <v>760</v>
      </c>
      <c r="H8" s="352">
        <f>+'79'!H8+'77'!H8</f>
        <v>6</v>
      </c>
      <c r="I8" s="352">
        <f>+'79'!I8+'77'!I8</f>
        <v>3226</v>
      </c>
      <c r="J8" s="352">
        <f>+'79'!J8+'77'!J8</f>
        <v>4828</v>
      </c>
      <c r="K8" s="352">
        <f>+'79'!K8+'77'!K8</f>
        <v>219</v>
      </c>
      <c r="L8" s="352">
        <f>+'79'!L8+'77'!L8</f>
        <v>30</v>
      </c>
      <c r="M8" s="352">
        <f>+'79'!M8+'77'!M8</f>
        <v>248</v>
      </c>
      <c r="N8" s="340">
        <f>+'79'!N8+'77'!N8</f>
        <v>50</v>
      </c>
    </row>
    <row r="9" spans="1:25" ht="18" customHeight="1">
      <c r="A9" s="666" t="s">
        <v>1111</v>
      </c>
      <c r="B9" s="353">
        <f t="shared" ref="B9:B18" si="0">SUM(C9:N9)</f>
        <v>4789</v>
      </c>
      <c r="C9" s="352">
        <f>+'77'!C9</f>
        <v>10</v>
      </c>
      <c r="D9" s="352">
        <f>+'77'!D9</f>
        <v>0</v>
      </c>
      <c r="E9" s="352">
        <f>+'77'!E9</f>
        <v>10</v>
      </c>
      <c r="F9" s="352">
        <f>+'77'!F9</f>
        <v>1928</v>
      </c>
      <c r="G9" s="352">
        <f>+'77'!G9</f>
        <v>215</v>
      </c>
      <c r="H9" s="352">
        <f>+'77'!H9</f>
        <v>2</v>
      </c>
      <c r="I9" s="352">
        <f>+'77'!I9</f>
        <v>1584</v>
      </c>
      <c r="J9" s="352">
        <f>+'77'!J9</f>
        <v>786</v>
      </c>
      <c r="K9" s="352">
        <f>+'77'!K9</f>
        <v>34</v>
      </c>
      <c r="L9" s="352">
        <f>+'77'!L9</f>
        <v>49</v>
      </c>
      <c r="M9" s="352">
        <f>+'77'!M9</f>
        <v>148</v>
      </c>
      <c r="N9" s="340">
        <f>+'77'!N9</f>
        <v>23</v>
      </c>
    </row>
    <row r="10" spans="1:25" ht="18" customHeight="1">
      <c r="A10" s="666" t="s">
        <v>1112</v>
      </c>
      <c r="B10" s="353">
        <f t="shared" si="0"/>
        <v>1358</v>
      </c>
      <c r="C10" s="352">
        <f>+'77'!C10+'79'!C12</f>
        <v>2</v>
      </c>
      <c r="D10" s="352">
        <f>+'77'!D10+'79'!D12</f>
        <v>0</v>
      </c>
      <c r="E10" s="352">
        <f>+'77'!E10+'79'!E12</f>
        <v>0</v>
      </c>
      <c r="F10" s="352">
        <f>+'77'!F10+'79'!F12</f>
        <v>133</v>
      </c>
      <c r="G10" s="352">
        <f>+'77'!G10+'79'!G12</f>
        <v>0</v>
      </c>
      <c r="H10" s="352">
        <f>+'77'!H10+'79'!H12</f>
        <v>0</v>
      </c>
      <c r="I10" s="352">
        <f>+'77'!I10+'79'!I12</f>
        <v>1119</v>
      </c>
      <c r="J10" s="352">
        <f>+'77'!J10+'79'!J12</f>
        <v>0</v>
      </c>
      <c r="K10" s="352">
        <f>+'77'!K10+'79'!K12</f>
        <v>3</v>
      </c>
      <c r="L10" s="352">
        <f>+'77'!L10+'79'!L12</f>
        <v>101</v>
      </c>
      <c r="M10" s="352">
        <f>+'77'!M10+'79'!M12</f>
        <v>0</v>
      </c>
      <c r="N10" s="340">
        <f>+'77'!N10+'79'!N12</f>
        <v>0</v>
      </c>
    </row>
    <row r="11" spans="1:25" ht="18" customHeight="1">
      <c r="A11" s="666" t="s">
        <v>1113</v>
      </c>
      <c r="B11" s="353">
        <f t="shared" si="0"/>
        <v>12186</v>
      </c>
      <c r="C11" s="352">
        <f>+'77'!C11+'79'!C13</f>
        <v>7</v>
      </c>
      <c r="D11" s="352">
        <f>+'77'!D11+'79'!D13</f>
        <v>0</v>
      </c>
      <c r="E11" s="352">
        <f>+'77'!E11+'79'!E13</f>
        <v>0</v>
      </c>
      <c r="F11" s="352">
        <f>+'77'!F11+'79'!F13</f>
        <v>1458</v>
      </c>
      <c r="G11" s="352">
        <f>+'77'!G11+'79'!G13</f>
        <v>647</v>
      </c>
      <c r="H11" s="352">
        <f>+'77'!H11+'79'!H13</f>
        <v>136</v>
      </c>
      <c r="I11" s="352">
        <f>+'77'!I11+'79'!I13</f>
        <v>611</v>
      </c>
      <c r="J11" s="352">
        <f>+'77'!J11+'79'!J13</f>
        <v>6053</v>
      </c>
      <c r="K11" s="352">
        <f>+'77'!K11+'79'!K13</f>
        <v>2410</v>
      </c>
      <c r="L11" s="352">
        <f>+'77'!L11+'79'!L13</f>
        <v>142</v>
      </c>
      <c r="M11" s="352">
        <f>+'77'!M11+'79'!M13</f>
        <v>256</v>
      </c>
      <c r="N11" s="340">
        <f>+'77'!N11+'79'!N13</f>
        <v>466</v>
      </c>
    </row>
    <row r="12" spans="1:25" ht="39.75" customHeight="1">
      <c r="A12" s="666" t="s">
        <v>1118</v>
      </c>
      <c r="B12" s="353">
        <f t="shared" si="0"/>
        <v>1244</v>
      </c>
      <c r="C12" s="352">
        <f>+'77'!C12</f>
        <v>486</v>
      </c>
      <c r="D12" s="352">
        <f>+'77'!D12</f>
        <v>0</v>
      </c>
      <c r="E12" s="352">
        <f>+'77'!E12</f>
        <v>1</v>
      </c>
      <c r="F12" s="352">
        <f>+'77'!F12</f>
        <v>741</v>
      </c>
      <c r="G12" s="352">
        <f>+'77'!G12</f>
        <v>0</v>
      </c>
      <c r="H12" s="352">
        <f>+'77'!H12</f>
        <v>0</v>
      </c>
      <c r="I12" s="352">
        <f>+'77'!I12</f>
        <v>16</v>
      </c>
      <c r="J12" s="352">
        <f>+'77'!J12</f>
        <v>0</v>
      </c>
      <c r="K12" s="352">
        <f>+'77'!K12</f>
        <v>0</v>
      </c>
      <c r="L12" s="352">
        <f>+'77'!L12</f>
        <v>0</v>
      </c>
      <c r="M12" s="352">
        <f>+'77'!M12</f>
        <v>0</v>
      </c>
      <c r="N12" s="340">
        <f>+'77'!N12</f>
        <v>0</v>
      </c>
    </row>
    <row r="13" spans="1:25">
      <c r="A13" s="666" t="s">
        <v>1114</v>
      </c>
      <c r="B13" s="353">
        <f t="shared" si="0"/>
        <v>4039</v>
      </c>
      <c r="C13" s="352">
        <f>+'77'!C13+'79'!C9</f>
        <v>2173</v>
      </c>
      <c r="D13" s="352">
        <f>+'77'!D13+'79'!D9</f>
        <v>1</v>
      </c>
      <c r="E13" s="352">
        <f>+'77'!E13+'79'!E9</f>
        <v>0</v>
      </c>
      <c r="F13" s="352">
        <f>+'77'!F13+'79'!F9</f>
        <v>1001</v>
      </c>
      <c r="G13" s="352">
        <f>+'77'!G13+'79'!G9</f>
        <v>111</v>
      </c>
      <c r="H13" s="352">
        <f>+'77'!H13+'79'!H9</f>
        <v>0</v>
      </c>
      <c r="I13" s="352">
        <f>+'77'!I13+'79'!I9</f>
        <v>295</v>
      </c>
      <c r="J13" s="352">
        <f>+'77'!J13+'79'!J9</f>
        <v>453</v>
      </c>
      <c r="K13" s="352">
        <f>+'77'!K13+'79'!K9</f>
        <v>5</v>
      </c>
      <c r="L13" s="352">
        <f>+'77'!L13+'79'!L9</f>
        <v>0</v>
      </c>
      <c r="M13" s="352">
        <f>+'77'!M13+'79'!M9</f>
        <v>0</v>
      </c>
      <c r="N13" s="340">
        <f>+'77'!N13+'79'!N9</f>
        <v>0</v>
      </c>
    </row>
    <row r="14" spans="1:25" ht="33.75" customHeight="1">
      <c r="A14" s="666" t="s">
        <v>1115</v>
      </c>
      <c r="B14" s="353">
        <f t="shared" si="0"/>
        <v>4783</v>
      </c>
      <c r="C14" s="352">
        <f>+'77'!C14++'79'!C10</f>
        <v>550</v>
      </c>
      <c r="D14" s="352">
        <f>+'77'!D14++'79'!D10</f>
        <v>9</v>
      </c>
      <c r="E14" s="352">
        <f>+'77'!E14++'79'!E10</f>
        <v>0</v>
      </c>
      <c r="F14" s="352">
        <f>+'77'!F14++'79'!F10</f>
        <v>2642</v>
      </c>
      <c r="G14" s="352">
        <f>+'77'!G14++'79'!G10</f>
        <v>471</v>
      </c>
      <c r="H14" s="352">
        <f>+'77'!H14++'79'!H10</f>
        <v>2</v>
      </c>
      <c r="I14" s="352">
        <f>+'77'!I14++'79'!I10</f>
        <v>437</v>
      </c>
      <c r="J14" s="352">
        <f>+'77'!J14++'79'!J10</f>
        <v>661</v>
      </c>
      <c r="K14" s="352">
        <f>+'77'!K14++'79'!K10</f>
        <v>11</v>
      </c>
      <c r="L14" s="352">
        <f>+'77'!L14++'79'!L10</f>
        <v>0</v>
      </c>
      <c r="M14" s="352">
        <f>+'77'!M14++'79'!M10</f>
        <v>0</v>
      </c>
      <c r="N14" s="340">
        <f>+'77'!N14++'79'!N10</f>
        <v>0</v>
      </c>
    </row>
    <row r="15" spans="1:25" ht="33.75" customHeight="1">
      <c r="A15" s="666" t="s">
        <v>1120</v>
      </c>
      <c r="B15" s="353">
        <f t="shared" si="0"/>
        <v>1894</v>
      </c>
      <c r="C15" s="352">
        <f>+'79'!C11</f>
        <v>102</v>
      </c>
      <c r="D15" s="352">
        <f>+'79'!D11</f>
        <v>0</v>
      </c>
      <c r="E15" s="352">
        <f>+'79'!E11</f>
        <v>0</v>
      </c>
      <c r="F15" s="352">
        <f>+'79'!F11</f>
        <v>719</v>
      </c>
      <c r="G15" s="352">
        <f>+'79'!G11</f>
        <v>92</v>
      </c>
      <c r="H15" s="352">
        <f>+'79'!H11</f>
        <v>0</v>
      </c>
      <c r="I15" s="352">
        <f>+'79'!I11</f>
        <v>378</v>
      </c>
      <c r="J15" s="352">
        <f>+'79'!J11</f>
        <v>570</v>
      </c>
      <c r="K15" s="352">
        <f>+'79'!K11</f>
        <v>6</v>
      </c>
      <c r="L15" s="352">
        <f>+'79'!L11</f>
        <v>2</v>
      </c>
      <c r="M15" s="352">
        <f>+'79'!M11</f>
        <v>25</v>
      </c>
      <c r="N15" s="340">
        <f>+'79'!N11</f>
        <v>0</v>
      </c>
    </row>
    <row r="16" spans="1:25" ht="33.75" customHeight="1">
      <c r="A16" s="666" t="s">
        <v>1268</v>
      </c>
      <c r="B16" s="353">
        <f>SUM(C16:N16)</f>
        <v>409</v>
      </c>
      <c r="C16" s="352">
        <f>+'77'!C15</f>
        <v>180</v>
      </c>
      <c r="D16" s="352">
        <f>+'77'!D15</f>
        <v>0</v>
      </c>
      <c r="E16" s="352">
        <f>+'77'!E15</f>
        <v>0</v>
      </c>
      <c r="F16" s="352">
        <f>+'77'!F15</f>
        <v>163</v>
      </c>
      <c r="G16" s="352">
        <f>+'77'!G15</f>
        <v>4</v>
      </c>
      <c r="H16" s="352">
        <f>+'77'!H15</f>
        <v>0</v>
      </c>
      <c r="I16" s="352">
        <f>+'77'!I15</f>
        <v>15</v>
      </c>
      <c r="J16" s="352">
        <f>+'77'!J15</f>
        <v>47</v>
      </c>
      <c r="K16" s="352">
        <f>+'77'!K15</f>
        <v>0</v>
      </c>
      <c r="L16" s="352">
        <f>+'77'!L15</f>
        <v>0</v>
      </c>
      <c r="M16" s="352">
        <f>+'77'!M15</f>
        <v>0</v>
      </c>
      <c r="N16" s="340">
        <f>+'77'!N15</f>
        <v>0</v>
      </c>
    </row>
    <row r="17" spans="1:14" ht="24">
      <c r="A17" s="666" t="s">
        <v>1117</v>
      </c>
      <c r="B17" s="353">
        <f t="shared" si="0"/>
        <v>1044</v>
      </c>
      <c r="C17" s="352">
        <f>+'77'!C16</f>
        <v>138</v>
      </c>
      <c r="D17" s="352">
        <f>+'77'!D16</f>
        <v>0</v>
      </c>
      <c r="E17" s="352">
        <f>+'77'!E16</f>
        <v>0</v>
      </c>
      <c r="F17" s="352">
        <f>+'77'!F16</f>
        <v>846</v>
      </c>
      <c r="G17" s="352">
        <f>+'77'!G16</f>
        <v>8</v>
      </c>
      <c r="H17" s="352">
        <f>+'77'!H16</f>
        <v>0</v>
      </c>
      <c r="I17" s="352">
        <f>+'77'!I16</f>
        <v>43</v>
      </c>
      <c r="J17" s="352">
        <f>+'77'!J16</f>
        <v>4</v>
      </c>
      <c r="K17" s="352">
        <f>+'77'!K16</f>
        <v>0</v>
      </c>
      <c r="L17" s="352">
        <f>+'77'!L16</f>
        <v>2</v>
      </c>
      <c r="M17" s="352">
        <f>+'77'!M16</f>
        <v>3</v>
      </c>
      <c r="N17" s="340">
        <f>+'77'!N16</f>
        <v>0</v>
      </c>
    </row>
    <row r="18" spans="1:14" ht="36" customHeight="1">
      <c r="A18" s="666" t="s">
        <v>1116</v>
      </c>
      <c r="B18" s="353">
        <f t="shared" si="0"/>
        <v>1328</v>
      </c>
      <c r="C18" s="352">
        <f>+'77'!C17</f>
        <v>2</v>
      </c>
      <c r="D18" s="352">
        <f>+'77'!D17</f>
        <v>0</v>
      </c>
      <c r="E18" s="352">
        <f>+'77'!E17</f>
        <v>0</v>
      </c>
      <c r="F18" s="352">
        <f>+'77'!F17</f>
        <v>369</v>
      </c>
      <c r="G18" s="352">
        <f>+'77'!G17</f>
        <v>0</v>
      </c>
      <c r="H18" s="352">
        <f>+'77'!H17</f>
        <v>0</v>
      </c>
      <c r="I18" s="352">
        <f>+'77'!I17</f>
        <v>934</v>
      </c>
      <c r="J18" s="352">
        <f>+'77'!J17</f>
        <v>0</v>
      </c>
      <c r="K18" s="352">
        <f>+'77'!K17</f>
        <v>0</v>
      </c>
      <c r="L18" s="352">
        <f>+'77'!L17</f>
        <v>23</v>
      </c>
      <c r="M18" s="352">
        <f>+'77'!M17</f>
        <v>0</v>
      </c>
      <c r="N18" s="340">
        <f>+'77'!N17</f>
        <v>0</v>
      </c>
    </row>
    <row r="19" spans="1:14" ht="27.75" customHeight="1">
      <c r="A19" s="1430" t="s">
        <v>448</v>
      </c>
      <c r="B19" s="1310">
        <f>SUM(B7:B18)</f>
        <v>94580</v>
      </c>
      <c r="C19" s="1364">
        <f>SUM(C7:C18)</f>
        <v>5533</v>
      </c>
      <c r="D19" s="1364">
        <f t="shared" ref="D19:N19" si="1">SUM(D7:D18)</f>
        <v>17</v>
      </c>
      <c r="E19" s="1364">
        <f t="shared" si="1"/>
        <v>11</v>
      </c>
      <c r="F19" s="1364">
        <f t="shared" si="1"/>
        <v>26105</v>
      </c>
      <c r="G19" s="1364">
        <f t="shared" si="1"/>
        <v>3887</v>
      </c>
      <c r="H19" s="1364">
        <f t="shared" si="1"/>
        <v>191</v>
      </c>
      <c r="I19" s="1364">
        <f t="shared" si="1"/>
        <v>19445</v>
      </c>
      <c r="J19" s="1364">
        <f t="shared" si="1"/>
        <v>32256</v>
      </c>
      <c r="K19" s="1364">
        <f t="shared" si="1"/>
        <v>3985</v>
      </c>
      <c r="L19" s="1364">
        <f t="shared" si="1"/>
        <v>476</v>
      </c>
      <c r="M19" s="1294">
        <f t="shared" si="1"/>
        <v>1880</v>
      </c>
      <c r="N19" s="1295">
        <f t="shared" si="1"/>
        <v>794</v>
      </c>
    </row>
    <row r="22" spans="1:14">
      <c r="A22" s="1090"/>
      <c r="B22" s="1629" t="s">
        <v>131</v>
      </c>
      <c r="C22" s="1629"/>
      <c r="D22" s="1629"/>
      <c r="E22" s="1529" t="s">
        <v>1126</v>
      </c>
      <c r="F22" s="1531"/>
    </row>
    <row r="23" spans="1:14" ht="19.5" customHeight="1">
      <c r="A23" s="1431" t="s">
        <v>1122</v>
      </c>
      <c r="B23" s="1261" t="s">
        <v>1125</v>
      </c>
      <c r="C23" s="1261" t="s">
        <v>1124</v>
      </c>
      <c r="D23" s="1261" t="s">
        <v>826</v>
      </c>
      <c r="E23" s="1261" t="s">
        <v>448</v>
      </c>
      <c r="F23" s="1261" t="s">
        <v>468</v>
      </c>
    </row>
    <row r="24" spans="1:14" ht="31.5" customHeight="1">
      <c r="A24" s="665" t="s">
        <v>1110</v>
      </c>
      <c r="B24" s="662">
        <f>+'76'!S14+'78'!S14</f>
        <v>48162</v>
      </c>
      <c r="C24" s="663">
        <f t="shared" ref="C24:C36" si="2">+B7</f>
        <v>46127</v>
      </c>
      <c r="D24" s="674">
        <f>+C24/B24*100</f>
        <v>95.774677131348369</v>
      </c>
      <c r="E24" s="662">
        <f t="shared" ref="E24:E36" si="3">SUM(M7:N7)</f>
        <v>1455</v>
      </c>
      <c r="F24" s="674">
        <f t="shared" ref="F24:F36" si="4">+E24/B7*100</f>
        <v>3.1543347713920262</v>
      </c>
    </row>
    <row r="25" spans="1:14" ht="31.5" customHeight="1">
      <c r="A25" s="666" t="s">
        <v>1119</v>
      </c>
      <c r="B25" s="664">
        <f>+'76'!S15+'78'!S15</f>
        <v>15749</v>
      </c>
      <c r="C25" s="235">
        <f t="shared" si="2"/>
        <v>15379</v>
      </c>
      <c r="D25" s="675">
        <f>+C25/B25*100</f>
        <v>97.65064448536414</v>
      </c>
      <c r="E25" s="664">
        <f t="shared" si="3"/>
        <v>298</v>
      </c>
      <c r="F25" s="675">
        <f t="shared" si="4"/>
        <v>1.9377072631510501</v>
      </c>
    </row>
    <row r="26" spans="1:14" ht="31.5" customHeight="1">
      <c r="A26" s="666" t="s">
        <v>1111</v>
      </c>
      <c r="B26" s="664">
        <f>+'76'!S18</f>
        <v>5133</v>
      </c>
      <c r="C26" s="235">
        <f t="shared" si="2"/>
        <v>4789</v>
      </c>
      <c r="D26" s="675">
        <f t="shared" ref="D26:D36" si="5">+C26/B26*100</f>
        <v>93.298266121176695</v>
      </c>
      <c r="E26" s="664">
        <f t="shared" si="3"/>
        <v>171</v>
      </c>
      <c r="F26" s="675">
        <f t="shared" si="4"/>
        <v>3.5706828147838801</v>
      </c>
    </row>
    <row r="27" spans="1:14" ht="31.5" customHeight="1">
      <c r="A27" s="666" t="s">
        <v>1112</v>
      </c>
      <c r="B27" s="664">
        <f>+'76'!S19+'78'!S19</f>
        <v>1784</v>
      </c>
      <c r="C27" s="235">
        <f t="shared" si="2"/>
        <v>1358</v>
      </c>
      <c r="D27" s="675">
        <f t="shared" si="5"/>
        <v>76.121076233183857</v>
      </c>
      <c r="E27" s="664">
        <f t="shared" si="3"/>
        <v>0</v>
      </c>
      <c r="F27" s="675">
        <f t="shared" si="4"/>
        <v>0</v>
      </c>
    </row>
    <row r="28" spans="1:14" ht="31.5" customHeight="1">
      <c r="A28" s="666" t="s">
        <v>1113</v>
      </c>
      <c r="B28" s="664">
        <f>+'76'!S16+'78'!S16</f>
        <v>13118</v>
      </c>
      <c r="C28" s="235">
        <f t="shared" si="2"/>
        <v>12186</v>
      </c>
      <c r="D28" s="675">
        <f t="shared" si="5"/>
        <v>92.89525842354017</v>
      </c>
      <c r="E28" s="664">
        <f t="shared" si="3"/>
        <v>722</v>
      </c>
      <c r="F28" s="675">
        <f t="shared" si="4"/>
        <v>5.9248317741670764</v>
      </c>
    </row>
    <row r="29" spans="1:14" ht="31.5" customHeight="1">
      <c r="A29" s="666" t="s">
        <v>1118</v>
      </c>
      <c r="B29" s="664">
        <f>+'76'!S22</f>
        <v>1281</v>
      </c>
      <c r="C29" s="235">
        <f t="shared" si="2"/>
        <v>1244</v>
      </c>
      <c r="D29" s="675">
        <f t="shared" si="5"/>
        <v>97.111631537861044</v>
      </c>
      <c r="E29" s="664">
        <f t="shared" si="3"/>
        <v>0</v>
      </c>
      <c r="F29" s="675">
        <f t="shared" si="4"/>
        <v>0</v>
      </c>
    </row>
    <row r="30" spans="1:14" ht="31.5" customHeight="1">
      <c r="A30" s="666" t="s">
        <v>1114</v>
      </c>
      <c r="B30" s="664">
        <f>+'76'!S23+'78'!S23</f>
        <v>4234</v>
      </c>
      <c r="C30" s="235">
        <f t="shared" si="2"/>
        <v>4039</v>
      </c>
      <c r="D30" s="675">
        <f t="shared" si="5"/>
        <v>95.394426074633927</v>
      </c>
      <c r="E30" s="664">
        <f t="shared" si="3"/>
        <v>0</v>
      </c>
      <c r="F30" s="675">
        <f t="shared" si="4"/>
        <v>0</v>
      </c>
    </row>
    <row r="31" spans="1:14" ht="31.5" customHeight="1">
      <c r="A31" s="666" t="s">
        <v>1115</v>
      </c>
      <c r="B31" s="664">
        <f>+'76'!S24+'78'!S24</f>
        <v>5073</v>
      </c>
      <c r="C31" s="235">
        <f t="shared" si="2"/>
        <v>4783</v>
      </c>
      <c r="D31" s="675">
        <f t="shared" si="5"/>
        <v>94.283461462645377</v>
      </c>
      <c r="E31" s="664">
        <f t="shared" si="3"/>
        <v>0</v>
      </c>
      <c r="F31" s="675">
        <f t="shared" si="4"/>
        <v>0</v>
      </c>
    </row>
    <row r="32" spans="1:14" ht="31.5" customHeight="1">
      <c r="A32" s="666" t="s">
        <v>1120</v>
      </c>
      <c r="B32" s="664">
        <f>+'78'!S17</f>
        <v>1909</v>
      </c>
      <c r="C32" s="235">
        <f t="shared" si="2"/>
        <v>1894</v>
      </c>
      <c r="D32" s="675">
        <f>+C32/B32*100</f>
        <v>99.214248297537978</v>
      </c>
      <c r="E32" s="664">
        <f t="shared" si="3"/>
        <v>25</v>
      </c>
      <c r="F32" s="675">
        <f t="shared" si="4"/>
        <v>1.3199577613516367</v>
      </c>
    </row>
    <row r="33" spans="1:6" ht="31.5" customHeight="1">
      <c r="A33" s="666" t="s">
        <v>1268</v>
      </c>
      <c r="B33" s="664">
        <f>+'76'!S20</f>
        <v>444</v>
      </c>
      <c r="C33" s="235">
        <f t="shared" si="2"/>
        <v>409</v>
      </c>
      <c r="D33" s="675">
        <f>+C33/B33*100</f>
        <v>92.117117117117118</v>
      </c>
      <c r="E33" s="664">
        <f t="shared" si="3"/>
        <v>0</v>
      </c>
      <c r="F33" s="675">
        <f t="shared" si="4"/>
        <v>0</v>
      </c>
    </row>
    <row r="34" spans="1:6" ht="31.5" customHeight="1">
      <c r="A34" s="666" t="s">
        <v>1117</v>
      </c>
      <c r="B34" s="664">
        <f>+'76'!S21</f>
        <v>1229</v>
      </c>
      <c r="C34" s="235">
        <f t="shared" si="2"/>
        <v>1044</v>
      </c>
      <c r="D34" s="675">
        <f t="shared" si="5"/>
        <v>84.947111472742066</v>
      </c>
      <c r="E34" s="664">
        <f t="shared" si="3"/>
        <v>3</v>
      </c>
      <c r="F34" s="675">
        <f t="shared" si="4"/>
        <v>0.28735632183908044</v>
      </c>
    </row>
    <row r="35" spans="1:6" ht="31.5" customHeight="1">
      <c r="A35" s="666" t="s">
        <v>1116</v>
      </c>
      <c r="B35" s="664">
        <f>+'76'!S25</f>
        <v>1481</v>
      </c>
      <c r="C35" s="235">
        <f t="shared" si="2"/>
        <v>1328</v>
      </c>
      <c r="D35" s="675">
        <f t="shared" si="5"/>
        <v>89.669142471303175</v>
      </c>
      <c r="E35" s="664">
        <f t="shared" si="3"/>
        <v>0</v>
      </c>
      <c r="F35" s="675">
        <f t="shared" si="4"/>
        <v>0</v>
      </c>
    </row>
    <row r="36" spans="1:6" ht="31.5" customHeight="1">
      <c r="A36" s="1430" t="s">
        <v>448</v>
      </c>
      <c r="B36" s="1432">
        <f>SUM(B24:B35)</f>
        <v>99597</v>
      </c>
      <c r="C36" s="1433">
        <f t="shared" si="2"/>
        <v>94580</v>
      </c>
      <c r="D36" s="1434">
        <f t="shared" si="5"/>
        <v>94.962699679709232</v>
      </c>
      <c r="E36" s="1432">
        <f t="shared" si="3"/>
        <v>2674</v>
      </c>
      <c r="F36" s="1435">
        <f t="shared" si="4"/>
        <v>2.8272362021569042</v>
      </c>
    </row>
    <row r="39" spans="1:6">
      <c r="B39" s="602"/>
    </row>
  </sheetData>
  <mergeCells count="4">
    <mergeCell ref="A1:N1"/>
    <mergeCell ref="A3:N3"/>
    <mergeCell ref="B22:D22"/>
    <mergeCell ref="E22:F22"/>
  </mergeCells>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E25" formulaRange="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ransitionEvaluation="1"/>
  <dimension ref="A1:AA30"/>
  <sheetViews>
    <sheetView showGridLines="0" zoomScale="75" workbookViewId="0">
      <selection activeCell="Q6" sqref="Q6"/>
    </sheetView>
  </sheetViews>
  <sheetFormatPr baseColWidth="10" defaultColWidth="12.5703125" defaultRowHeight="12.75"/>
  <cols>
    <col min="1" max="1" width="32.5703125" style="469" customWidth="1"/>
    <col min="2" max="2" width="9.7109375" style="469" customWidth="1"/>
    <col min="3" max="3" width="8.28515625" style="469" customWidth="1"/>
    <col min="4" max="4" width="8.5703125" style="469" customWidth="1"/>
    <col min="5" max="9" width="8.28515625" style="469" customWidth="1"/>
    <col min="10" max="10" width="7" style="469" customWidth="1"/>
    <col min="11" max="12" width="8.28515625" style="469" customWidth="1"/>
    <col min="13" max="14" width="9.28515625" style="469" customWidth="1"/>
    <col min="15" max="17" width="8.28515625" style="469" customWidth="1"/>
    <col min="18" max="19" width="9.5703125" style="469" customWidth="1"/>
    <col min="20" max="21" width="9.28515625" style="469" customWidth="1"/>
    <col min="22" max="22" width="8.28515625" style="469" customWidth="1"/>
    <col min="23" max="23" width="8.7109375" style="469" customWidth="1"/>
    <col min="24" max="25" width="8.5703125" style="469" customWidth="1"/>
    <col min="26" max="26" width="10.7109375" style="440" customWidth="1"/>
    <col min="27" max="27" width="9.28515625" style="440" customWidth="1"/>
    <col min="28" max="16384" width="12.5703125" style="440"/>
  </cols>
  <sheetData>
    <row r="1" spans="1:27" s="1427" customFormat="1">
      <c r="A1" s="1424" t="s">
        <v>165</v>
      </c>
      <c r="B1" s="1424"/>
      <c r="C1" s="1425"/>
      <c r="D1" s="1425"/>
      <c r="E1" s="1425"/>
      <c r="F1" s="1425"/>
      <c r="G1" s="1425"/>
      <c r="H1" s="1425"/>
      <c r="I1" s="1425"/>
      <c r="J1" s="1425"/>
      <c r="K1" s="1426"/>
      <c r="L1" s="1425"/>
      <c r="M1" s="1425"/>
      <c r="N1" s="1425"/>
      <c r="O1" s="1425"/>
      <c r="P1" s="1425"/>
      <c r="Q1" s="1425"/>
      <c r="R1" s="1425"/>
      <c r="S1" s="1425"/>
      <c r="T1" s="1425"/>
      <c r="U1" s="1425"/>
      <c r="V1" s="1425"/>
      <c r="W1" s="1425"/>
      <c r="X1" s="1425"/>
      <c r="Y1" s="1425"/>
    </row>
    <row r="2" spans="1:27" s="1427" customFormat="1">
      <c r="A2" s="1424"/>
      <c r="B2" s="1424"/>
      <c r="C2" s="1425"/>
      <c r="D2" s="1425"/>
      <c r="E2" s="1425"/>
      <c r="F2" s="1425"/>
      <c r="G2" s="1425"/>
      <c r="H2" s="1425"/>
      <c r="I2" s="1425"/>
      <c r="J2" s="1425"/>
      <c r="K2" s="1425"/>
      <c r="L2" s="1425"/>
      <c r="M2" s="1425"/>
      <c r="N2" s="1425"/>
      <c r="O2" s="1425"/>
      <c r="P2" s="1425"/>
      <c r="Q2" s="1425"/>
      <c r="R2" s="1425"/>
      <c r="S2" s="1425"/>
      <c r="T2" s="1425"/>
      <c r="U2" s="1425"/>
      <c r="V2" s="1425"/>
      <c r="W2" s="1425"/>
      <c r="X2" s="1425"/>
      <c r="Y2" s="1425"/>
    </row>
    <row r="3" spans="1:27" s="1427" customFormat="1">
      <c r="A3" s="1424" t="str">
        <f>+'74'!A3</f>
        <v>SERVICIO DE SALUD   ACONCAGUA   2023</v>
      </c>
      <c r="B3" s="1424"/>
      <c r="C3" s="1425"/>
      <c r="D3" s="1425"/>
      <c r="E3" s="1425"/>
      <c r="F3" s="1425"/>
      <c r="G3" s="1425"/>
      <c r="H3" s="1425"/>
      <c r="I3" s="1425"/>
      <c r="J3" s="1425"/>
      <c r="K3" s="1425"/>
      <c r="L3" s="1425"/>
      <c r="M3" s="1425"/>
      <c r="N3" s="1425"/>
      <c r="O3" s="1425"/>
      <c r="P3" s="1425"/>
      <c r="Q3" s="1425"/>
      <c r="R3" s="1425"/>
      <c r="S3" s="1425"/>
      <c r="T3" s="1425"/>
      <c r="U3" s="1425"/>
      <c r="V3" s="1425"/>
      <c r="W3" s="1425"/>
      <c r="X3" s="1425"/>
      <c r="Y3" s="1425"/>
    </row>
    <row r="4" spans="1:27" s="1427" customFormat="1">
      <c r="A4" s="1425"/>
      <c r="B4" s="1425"/>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5" spans="1:27" s="1427" customFormat="1">
      <c r="A5" s="1425"/>
      <c r="B5" s="1425"/>
      <c r="C5" s="1425"/>
      <c r="D5" s="1425"/>
      <c r="E5" s="1425"/>
      <c r="F5" s="1425"/>
      <c r="G5" s="1425"/>
      <c r="H5" s="1425"/>
      <c r="I5" s="1425"/>
      <c r="J5" s="1425"/>
      <c r="K5" s="1425"/>
      <c r="L5" s="1425"/>
      <c r="M5" s="1425"/>
      <c r="N5" s="1425"/>
      <c r="O5" s="1425"/>
      <c r="P5" s="1425"/>
      <c r="Q5" s="1425"/>
      <c r="R5" s="1425"/>
      <c r="S5" s="1425"/>
      <c r="T5" s="1425"/>
      <c r="U5" s="1425"/>
      <c r="V5" s="1425"/>
      <c r="W5" s="1425"/>
      <c r="X5" s="1425"/>
      <c r="Y5" s="1425"/>
    </row>
    <row r="6" spans="1:27">
      <c r="A6" s="439"/>
      <c r="B6" s="439"/>
      <c r="C6" s="439"/>
      <c r="D6" s="439"/>
      <c r="E6" s="439"/>
      <c r="F6" s="439"/>
      <c r="G6" s="439"/>
      <c r="H6" s="439"/>
      <c r="I6" s="439"/>
      <c r="J6" s="439"/>
      <c r="K6" s="439"/>
      <c r="L6" s="439"/>
      <c r="M6" s="439"/>
      <c r="N6" s="439"/>
      <c r="O6" s="439"/>
      <c r="P6" s="439"/>
      <c r="Q6" s="439"/>
      <c r="R6" s="439"/>
      <c r="S6" s="439"/>
      <c r="T6" s="439"/>
      <c r="U6" s="439"/>
      <c r="V6" s="439"/>
      <c r="W6" s="439"/>
      <c r="X6" s="439"/>
      <c r="Y6" s="439"/>
    </row>
    <row r="7" spans="1:27">
      <c r="A7" s="439"/>
      <c r="B7" s="439"/>
      <c r="C7" s="439"/>
      <c r="D7" s="439"/>
      <c r="E7" s="439"/>
      <c r="F7" s="439"/>
      <c r="G7" s="439"/>
      <c r="H7" s="439"/>
      <c r="I7" s="439"/>
      <c r="J7" s="439"/>
      <c r="K7" s="439"/>
      <c r="L7" s="439"/>
      <c r="M7" s="439"/>
      <c r="N7" s="439"/>
      <c r="O7" s="439"/>
      <c r="P7" s="439"/>
      <c r="Q7" s="439"/>
      <c r="R7" s="439"/>
      <c r="S7" s="439"/>
      <c r="T7" s="439"/>
      <c r="U7" s="439"/>
      <c r="V7" s="439"/>
      <c r="W7" s="439"/>
      <c r="X7" s="439"/>
      <c r="Y7" s="439"/>
    </row>
    <row r="8" spans="1:27" ht="15.75">
      <c r="A8" s="442"/>
      <c r="B8" s="442"/>
      <c r="C8" s="442"/>
      <c r="D8" s="442"/>
      <c r="E8" s="442"/>
      <c r="F8" s="442"/>
      <c r="G8" s="442"/>
      <c r="H8" s="442"/>
      <c r="I8" s="442"/>
      <c r="J8" s="442"/>
      <c r="K8" s="442"/>
      <c r="L8" s="442"/>
      <c r="M8" s="442"/>
      <c r="N8" s="760"/>
      <c r="O8" s="760"/>
      <c r="P8" s="760"/>
      <c r="Q8" s="760"/>
      <c r="R8" s="760"/>
      <c r="S8" s="760"/>
      <c r="T8" s="760"/>
      <c r="U8" s="760"/>
      <c r="V8" s="442"/>
      <c r="W8" s="442"/>
      <c r="X8" s="442"/>
      <c r="Y8" s="442"/>
      <c r="Z8" s="441"/>
      <c r="AA8" s="441"/>
    </row>
    <row r="9" spans="1:27" s="444" customFormat="1" ht="21.75" customHeight="1">
      <c r="A9" s="1390"/>
      <c r="B9" s="1390"/>
      <c r="C9" s="1391"/>
      <c r="D9" s="1392"/>
      <c r="E9" s="1627" t="s">
        <v>129</v>
      </c>
      <c r="F9" s="1627"/>
      <c r="G9" s="1627"/>
      <c r="H9" s="1627"/>
      <c r="I9" s="1627"/>
      <c r="J9" s="1627"/>
      <c r="K9" s="1627"/>
      <c r="L9" s="1627"/>
      <c r="M9" s="1627"/>
      <c r="N9" s="1627"/>
      <c r="O9" s="1627"/>
      <c r="P9" s="1393"/>
      <c r="Q9" s="1625" t="s">
        <v>130</v>
      </c>
      <c r="R9" s="1394" t="s">
        <v>131</v>
      </c>
      <c r="S9" s="1395"/>
      <c r="T9" s="1396" t="s">
        <v>132</v>
      </c>
      <c r="U9" s="1397"/>
      <c r="V9" s="1394" t="s">
        <v>133</v>
      </c>
      <c r="W9" s="1398"/>
      <c r="X9" s="1398"/>
      <c r="Y9" s="1395"/>
      <c r="Z9" s="443"/>
      <c r="AA9" s="443"/>
    </row>
    <row r="10" spans="1:27" s="444" customFormat="1" ht="19.5" customHeight="1">
      <c r="A10" s="1399" t="s">
        <v>134</v>
      </c>
      <c r="B10" s="1399" t="s">
        <v>1088</v>
      </c>
      <c r="C10" s="1400"/>
      <c r="D10" s="1401" t="s">
        <v>135</v>
      </c>
      <c r="E10" s="1402" t="s">
        <v>136</v>
      </c>
      <c r="F10" s="1403"/>
      <c r="G10" s="1403"/>
      <c r="H10" s="1403"/>
      <c r="I10" s="1403"/>
      <c r="J10" s="1403"/>
      <c r="K10" s="1404"/>
      <c r="L10" s="1405" t="s">
        <v>137</v>
      </c>
      <c r="M10" s="1405"/>
      <c r="N10" s="1405"/>
      <c r="O10" s="1405"/>
      <c r="P10" s="1401" t="s">
        <v>135</v>
      </c>
      <c r="Q10" s="1626"/>
      <c r="R10" s="1406"/>
      <c r="S10" s="1407"/>
      <c r="T10" s="1408"/>
      <c r="U10" s="1408"/>
      <c r="V10" s="1409"/>
      <c r="W10" s="1410"/>
      <c r="X10" s="1410"/>
      <c r="Y10" s="1411"/>
      <c r="Z10" s="443"/>
      <c r="AA10" s="443"/>
    </row>
    <row r="11" spans="1:27" s="444" customFormat="1" ht="36" customHeight="1">
      <c r="A11" s="1399" t="s">
        <v>138</v>
      </c>
      <c r="B11" s="1399" t="s">
        <v>1089</v>
      </c>
      <c r="C11" s="1412" t="s">
        <v>139</v>
      </c>
      <c r="D11" s="1412" t="s">
        <v>140</v>
      </c>
      <c r="E11" s="1413" t="s">
        <v>957</v>
      </c>
      <c r="F11" s="1414" t="s">
        <v>955</v>
      </c>
      <c r="G11" s="1414" t="s">
        <v>141</v>
      </c>
      <c r="H11" s="1415" t="s">
        <v>142</v>
      </c>
      <c r="I11" s="1415" t="s">
        <v>143</v>
      </c>
      <c r="J11" s="1416" t="s">
        <v>1565</v>
      </c>
      <c r="K11" s="1414" t="s">
        <v>474</v>
      </c>
      <c r="L11" s="1417" t="s">
        <v>144</v>
      </c>
      <c r="M11" s="1415" t="s">
        <v>145</v>
      </c>
      <c r="N11" s="1418" t="s">
        <v>146</v>
      </c>
      <c r="O11" s="1414" t="s">
        <v>474</v>
      </c>
      <c r="P11" s="1412" t="s">
        <v>147</v>
      </c>
      <c r="Q11" s="1419" t="s">
        <v>148</v>
      </c>
      <c r="R11" s="1420" t="s">
        <v>149</v>
      </c>
      <c r="S11" s="1414" t="s">
        <v>150</v>
      </c>
      <c r="T11" s="1414" t="s">
        <v>474</v>
      </c>
      <c r="U11" s="1421" t="s">
        <v>151</v>
      </c>
      <c r="V11" s="1415" t="s">
        <v>152</v>
      </c>
      <c r="W11" s="1415" t="s">
        <v>153</v>
      </c>
      <c r="X11" s="1422" t="s">
        <v>154</v>
      </c>
      <c r="Y11" s="1423" t="s">
        <v>155</v>
      </c>
      <c r="Z11" s="443"/>
      <c r="AA11" s="443"/>
    </row>
    <row r="12" spans="1:27" ht="24.75" customHeight="1">
      <c r="A12" s="446" t="s">
        <v>582</v>
      </c>
      <c r="B12" s="1170"/>
      <c r="C12" s="1171">
        <f>SUM(C14:C27)</f>
        <v>221</v>
      </c>
      <c r="D12" s="935">
        <f t="shared" ref="D12:U12" si="0">SUM(D14:D27)</f>
        <v>141</v>
      </c>
      <c r="E12" s="935">
        <f t="shared" si="0"/>
        <v>6790</v>
      </c>
      <c r="F12" s="935">
        <f t="shared" si="0"/>
        <v>0</v>
      </c>
      <c r="G12" s="935">
        <f t="shared" si="0"/>
        <v>1755</v>
      </c>
      <c r="H12" s="935">
        <f t="shared" si="0"/>
        <v>190</v>
      </c>
      <c r="I12" s="935">
        <f t="shared" si="0"/>
        <v>1020</v>
      </c>
      <c r="J12" s="935">
        <f t="shared" si="0"/>
        <v>2877</v>
      </c>
      <c r="K12" s="935">
        <f>SUM(K14:K27)-J12</f>
        <v>9755</v>
      </c>
      <c r="L12" s="935">
        <f t="shared" si="0"/>
        <v>9393</v>
      </c>
      <c r="M12" s="935">
        <f t="shared" si="0"/>
        <v>2877</v>
      </c>
      <c r="N12" s="935">
        <f t="shared" si="0"/>
        <v>382</v>
      </c>
      <c r="O12" s="1172">
        <f>L12+N12</f>
        <v>9775</v>
      </c>
      <c r="P12" s="935">
        <f t="shared" si="0"/>
        <v>121</v>
      </c>
      <c r="Q12" s="935">
        <f t="shared" si="0"/>
        <v>411</v>
      </c>
      <c r="R12" s="935">
        <f t="shared" si="0"/>
        <v>79880</v>
      </c>
      <c r="S12" s="935">
        <f t="shared" si="0"/>
        <v>57785</v>
      </c>
      <c r="T12" s="935">
        <f t="shared" si="0"/>
        <v>59830</v>
      </c>
      <c r="U12" s="935">
        <f t="shared" si="0"/>
        <v>55064</v>
      </c>
      <c r="V12" s="1173">
        <f>S12/R12*100</f>
        <v>72.339759639459189</v>
      </c>
      <c r="W12" s="1174">
        <f>+T12/O12</f>
        <v>6.1207161125319693</v>
      </c>
      <c r="X12" s="654">
        <f>+O12/(R12/30.4)</f>
        <v>3.7200801201802705</v>
      </c>
      <c r="Y12" s="1175">
        <f>(+R12-S12)/O12</f>
        <v>2.2603580562659848</v>
      </c>
      <c r="Z12" s="441"/>
      <c r="AA12" s="441"/>
    </row>
    <row r="13" spans="1:27" ht="24.75" customHeight="1">
      <c r="A13" s="648" t="s">
        <v>1199</v>
      </c>
      <c r="B13" s="649">
        <v>401</v>
      </c>
      <c r="C13" s="1176"/>
      <c r="D13" s="1177"/>
      <c r="E13" s="1176"/>
      <c r="F13" s="1177"/>
      <c r="G13" s="1177"/>
      <c r="H13" s="1177"/>
      <c r="I13" s="1177"/>
      <c r="J13" s="1177"/>
      <c r="K13" s="1172"/>
      <c r="L13" s="1177"/>
      <c r="M13" s="1177"/>
      <c r="N13" s="1177"/>
      <c r="O13" s="1172"/>
      <c r="P13" s="1177"/>
      <c r="Q13" s="1177"/>
      <c r="R13" s="1177"/>
      <c r="S13" s="1177"/>
      <c r="T13" s="1177"/>
      <c r="U13" s="1172"/>
      <c r="V13" s="1173"/>
      <c r="W13" s="1174"/>
      <c r="X13" s="654"/>
      <c r="Y13" s="1175"/>
      <c r="Z13" s="441"/>
      <c r="AA13" s="441"/>
    </row>
    <row r="14" spans="1:27" ht="24.75" customHeight="1">
      <c r="A14" s="648" t="s">
        <v>1090</v>
      </c>
      <c r="B14" s="649">
        <v>403</v>
      </c>
      <c r="C14" s="1178">
        <v>71</v>
      </c>
      <c r="D14" s="1179">
        <v>76</v>
      </c>
      <c r="E14" s="1178">
        <v>3226</v>
      </c>
      <c r="F14" s="1179"/>
      <c r="G14" s="1179">
        <v>632</v>
      </c>
      <c r="H14" s="1179">
        <v>58</v>
      </c>
      <c r="I14" s="1179"/>
      <c r="J14" s="1179">
        <v>700</v>
      </c>
      <c r="K14" s="1172">
        <f t="shared" ref="K14:K26" si="1">SUM(E14:J14)</f>
        <v>4616</v>
      </c>
      <c r="L14" s="1179">
        <v>3873</v>
      </c>
      <c r="M14" s="1179">
        <v>567</v>
      </c>
      <c r="N14" s="1179">
        <v>207</v>
      </c>
      <c r="O14" s="1172">
        <f t="shared" ref="O14:O26" si="2">SUM(L14:N14)</f>
        <v>4647</v>
      </c>
      <c r="P14" s="1177">
        <f t="shared" ref="P14:P26" si="3">SUM(D14,K14)-O14</f>
        <v>45</v>
      </c>
      <c r="Q14" s="1179">
        <v>116</v>
      </c>
      <c r="R14" s="1179">
        <v>32250</v>
      </c>
      <c r="S14" s="1179">
        <v>26375</v>
      </c>
      <c r="T14" s="1179">
        <v>26803</v>
      </c>
      <c r="U14" s="1180">
        <v>25977</v>
      </c>
      <c r="V14" s="1173">
        <f>S14/R14*100</f>
        <v>81.782945736434115</v>
      </c>
      <c r="W14" s="1174">
        <f>+T14/O14</f>
        <v>5.7678071874327523</v>
      </c>
      <c r="X14" s="654">
        <f>+O14/(R14/30.4)</f>
        <v>4.3804279069767436</v>
      </c>
      <c r="Y14" s="1175">
        <f>(+R14-S14)/O14</f>
        <v>1.2642565095760705</v>
      </c>
      <c r="Z14" s="441"/>
      <c r="AA14" s="441"/>
    </row>
    <row r="15" spans="1:27" ht="24.75" customHeight="1">
      <c r="A15" s="648" t="s">
        <v>1091</v>
      </c>
      <c r="B15" s="649">
        <v>404</v>
      </c>
      <c r="C15" s="1178">
        <v>24</v>
      </c>
      <c r="D15" s="1179">
        <v>5</v>
      </c>
      <c r="E15" s="1178">
        <v>230</v>
      </c>
      <c r="F15" s="1179"/>
      <c r="G15" s="1179">
        <v>17</v>
      </c>
      <c r="H15" s="1179">
        <v>4</v>
      </c>
      <c r="I15" s="1179"/>
      <c r="J15" s="1179">
        <v>251</v>
      </c>
      <c r="K15" s="1172">
        <f t="shared" si="1"/>
        <v>502</v>
      </c>
      <c r="L15" s="1179">
        <v>347</v>
      </c>
      <c r="M15" s="1179">
        <v>120</v>
      </c>
      <c r="N15" s="1179">
        <v>18</v>
      </c>
      <c r="O15" s="1172">
        <f t="shared" si="2"/>
        <v>485</v>
      </c>
      <c r="P15" s="1177">
        <f t="shared" si="3"/>
        <v>22</v>
      </c>
      <c r="Q15" s="1179">
        <v>5</v>
      </c>
      <c r="R15" s="1179">
        <v>3573</v>
      </c>
      <c r="S15" s="1179">
        <v>2999</v>
      </c>
      <c r="T15" s="1179">
        <v>2792</v>
      </c>
      <c r="U15" s="1180">
        <v>2763</v>
      </c>
      <c r="V15" s="1173">
        <f>S15/R15*100</f>
        <v>83.935068569829269</v>
      </c>
      <c r="W15" s="1174">
        <f>+T15/O15</f>
        <v>5.756701030927835</v>
      </c>
      <c r="X15" s="654">
        <f>+O15/(R15/30.4)</f>
        <v>4.1265043380912401</v>
      </c>
      <c r="Y15" s="1175">
        <f>(+R15-S15)/O15</f>
        <v>1.1835051546391753</v>
      </c>
      <c r="Z15" s="441"/>
      <c r="AA15" s="441"/>
    </row>
    <row r="16" spans="1:27" ht="24.75" customHeight="1">
      <c r="A16" s="453" t="s">
        <v>156</v>
      </c>
      <c r="B16" s="649">
        <v>416</v>
      </c>
      <c r="C16" s="1181">
        <v>40</v>
      </c>
      <c r="D16" s="1182">
        <v>20</v>
      </c>
      <c r="E16" s="1181">
        <v>1351</v>
      </c>
      <c r="F16" s="458"/>
      <c r="G16" s="458">
        <v>848</v>
      </c>
      <c r="H16" s="458">
        <v>4</v>
      </c>
      <c r="I16" s="458">
        <v>4</v>
      </c>
      <c r="J16" s="1183">
        <v>623</v>
      </c>
      <c r="K16" s="1172">
        <f t="shared" si="1"/>
        <v>2830</v>
      </c>
      <c r="L16" s="1183">
        <v>2754</v>
      </c>
      <c r="M16" s="1181">
        <v>79</v>
      </c>
      <c r="N16" s="1184">
        <v>1</v>
      </c>
      <c r="O16" s="1172">
        <f t="shared" si="2"/>
        <v>2834</v>
      </c>
      <c r="P16" s="1177">
        <f t="shared" si="3"/>
        <v>16</v>
      </c>
      <c r="Q16" s="1183">
        <v>81</v>
      </c>
      <c r="R16" s="1183">
        <v>14442</v>
      </c>
      <c r="S16" s="1181">
        <v>8834</v>
      </c>
      <c r="T16" s="1183">
        <v>8869</v>
      </c>
      <c r="U16" s="1181">
        <v>8656</v>
      </c>
      <c r="V16" s="1173">
        <f t="shared" ref="V16:V26" si="4">S16/R16*100</f>
        <v>61.168813183769565</v>
      </c>
      <c r="W16" s="1174">
        <f t="shared" ref="W16:W26" si="5">+T16/O16</f>
        <v>3.1294989414255467</v>
      </c>
      <c r="X16" s="654">
        <f t="shared" ref="X16:X26" si="6">+O16/(R16/30.4)</f>
        <v>5.9654895443844342</v>
      </c>
      <c r="Y16" s="1175">
        <f t="shared" ref="Y16:Y26" si="7">(+R16-S16)/O16</f>
        <v>1.9788285109386028</v>
      </c>
      <c r="Z16" s="441"/>
      <c r="AA16" s="441"/>
    </row>
    <row r="17" spans="1:27" ht="24.75" customHeight="1">
      <c r="A17" s="648" t="s">
        <v>1092</v>
      </c>
      <c r="B17" s="649">
        <v>407</v>
      </c>
      <c r="C17" s="1181"/>
      <c r="D17" s="1182"/>
      <c r="E17" s="1181"/>
      <c r="F17" s="1183"/>
      <c r="G17" s="1183"/>
      <c r="H17" s="1183"/>
      <c r="I17" s="1183"/>
      <c r="J17" s="1183"/>
      <c r="K17" s="1172"/>
      <c r="L17" s="1183"/>
      <c r="M17" s="1181"/>
      <c r="N17" s="1183"/>
      <c r="O17" s="1172"/>
      <c r="P17" s="1177"/>
      <c r="Q17" s="1183"/>
      <c r="R17" s="1183"/>
      <c r="S17" s="1181"/>
      <c r="T17" s="1183"/>
      <c r="U17" s="1181"/>
      <c r="V17" s="1173"/>
      <c r="W17" s="1174"/>
      <c r="X17" s="654"/>
      <c r="Y17" s="1175"/>
      <c r="Z17" s="441"/>
      <c r="AA17" s="441"/>
    </row>
    <row r="18" spans="1:27" ht="24.75" customHeight="1">
      <c r="A18" s="648" t="s">
        <v>1093</v>
      </c>
      <c r="B18" s="649">
        <v>409</v>
      </c>
      <c r="C18" s="1181">
        <v>23</v>
      </c>
      <c r="D18" s="1182">
        <v>12</v>
      </c>
      <c r="E18" s="1181">
        <v>760</v>
      </c>
      <c r="F18" s="1183"/>
      <c r="G18" s="1183">
        <v>94</v>
      </c>
      <c r="H18" s="1183">
        <v>22</v>
      </c>
      <c r="I18" s="1183">
        <v>2</v>
      </c>
      <c r="J18" s="1183">
        <v>363</v>
      </c>
      <c r="K18" s="1172">
        <f>SUM(E18:J18)</f>
        <v>1241</v>
      </c>
      <c r="L18" s="1183">
        <v>913</v>
      </c>
      <c r="M18" s="1181">
        <v>329</v>
      </c>
      <c r="N18" s="1183">
        <v>2</v>
      </c>
      <c r="O18" s="1172">
        <f>SUM(L18:N18)</f>
        <v>1244</v>
      </c>
      <c r="P18" s="1177">
        <f>SUM(D18,K18)-O18</f>
        <v>9</v>
      </c>
      <c r="Q18" s="1183">
        <v>60</v>
      </c>
      <c r="R18" s="1183">
        <v>8154</v>
      </c>
      <c r="S18" s="1181">
        <v>5133</v>
      </c>
      <c r="T18" s="1183">
        <v>6183</v>
      </c>
      <c r="U18" s="1181">
        <v>6067</v>
      </c>
      <c r="V18" s="1173">
        <f>S18/R18*100</f>
        <v>62.950699043414268</v>
      </c>
      <c r="W18" s="1174">
        <f>+T18/O18</f>
        <v>4.970257234726688</v>
      </c>
      <c r="X18" s="654">
        <f>+O18/(R18/30.4)</f>
        <v>4.637920039244543</v>
      </c>
      <c r="Y18" s="1175">
        <f>(+R18-S18)/O18</f>
        <v>2.4284565916398715</v>
      </c>
      <c r="Z18" s="441"/>
      <c r="AA18" s="441"/>
    </row>
    <row r="19" spans="1:27" ht="24.75" customHeight="1">
      <c r="A19" s="453" t="s">
        <v>157</v>
      </c>
      <c r="B19" s="649">
        <v>413</v>
      </c>
      <c r="C19" s="1181">
        <v>6</v>
      </c>
      <c r="D19" s="1182">
        <v>2</v>
      </c>
      <c r="E19" s="1181">
        <v>36</v>
      </c>
      <c r="F19" s="1183"/>
      <c r="G19" s="1183">
        <v>13</v>
      </c>
      <c r="H19" s="1183"/>
      <c r="I19" s="1183">
        <v>48</v>
      </c>
      <c r="J19" s="1183">
        <v>155</v>
      </c>
      <c r="K19" s="1172">
        <f t="shared" si="1"/>
        <v>252</v>
      </c>
      <c r="L19" s="1183">
        <v>217</v>
      </c>
      <c r="M19" s="1181">
        <v>33</v>
      </c>
      <c r="N19" s="1183">
        <v>2</v>
      </c>
      <c r="O19" s="1172">
        <f t="shared" si="2"/>
        <v>252</v>
      </c>
      <c r="P19" s="1177">
        <f t="shared" si="3"/>
        <v>2</v>
      </c>
      <c r="Q19" s="1183">
        <v>2</v>
      </c>
      <c r="R19" s="1183">
        <v>2189</v>
      </c>
      <c r="S19" s="1181">
        <v>1035</v>
      </c>
      <c r="T19" s="1183">
        <v>1048</v>
      </c>
      <c r="U19" s="1181">
        <v>978</v>
      </c>
      <c r="V19" s="1173">
        <f t="shared" si="4"/>
        <v>47.281863864778437</v>
      </c>
      <c r="W19" s="1174">
        <f t="shared" si="5"/>
        <v>4.1587301587301591</v>
      </c>
      <c r="X19" s="654">
        <f t="shared" si="6"/>
        <v>3.499680219278209</v>
      </c>
      <c r="Y19" s="1175">
        <f t="shared" si="7"/>
        <v>4.5793650793650791</v>
      </c>
      <c r="Z19" s="441"/>
      <c r="AA19" s="441"/>
    </row>
    <row r="20" spans="1:27" ht="24.75" customHeight="1">
      <c r="A20" s="648" t="s">
        <v>1267</v>
      </c>
      <c r="B20" s="649">
        <v>411</v>
      </c>
      <c r="C20" s="1181">
        <v>2</v>
      </c>
      <c r="D20" s="1182">
        <v>0</v>
      </c>
      <c r="E20" s="1181">
        <v>51</v>
      </c>
      <c r="F20" s="1183"/>
      <c r="G20" s="1183">
        <v>1</v>
      </c>
      <c r="H20" s="1183">
        <v>10</v>
      </c>
      <c r="I20" s="1183"/>
      <c r="J20" s="1183">
        <v>28</v>
      </c>
      <c r="K20" s="1172">
        <f t="shared" si="1"/>
        <v>90</v>
      </c>
      <c r="L20" s="1183">
        <v>16</v>
      </c>
      <c r="M20" s="1181">
        <v>70</v>
      </c>
      <c r="N20" s="1183">
        <v>4</v>
      </c>
      <c r="O20" s="1180">
        <f t="shared" si="2"/>
        <v>90</v>
      </c>
      <c r="P20" s="1177">
        <f t="shared" si="3"/>
        <v>0</v>
      </c>
      <c r="Q20" s="1183">
        <v>3</v>
      </c>
      <c r="R20" s="1183">
        <v>1091</v>
      </c>
      <c r="S20" s="1181">
        <v>444</v>
      </c>
      <c r="T20" s="1183">
        <v>585</v>
      </c>
      <c r="U20" s="1181">
        <v>582</v>
      </c>
      <c r="V20" s="1173">
        <f>S20/R20*100</f>
        <v>40.696608615948669</v>
      </c>
      <c r="W20" s="1174">
        <f>+T20/O20</f>
        <v>6.5</v>
      </c>
      <c r="X20" s="654">
        <f>+O20/(R20/30.4)</f>
        <v>2.5077910174152152</v>
      </c>
      <c r="Y20" s="1175">
        <f>(+R20-S20)/O20</f>
        <v>7.1888888888888891</v>
      </c>
      <c r="Z20" s="441"/>
      <c r="AA20" s="441"/>
    </row>
    <row r="21" spans="1:27" ht="24.75" customHeight="1">
      <c r="A21" s="648" t="s">
        <v>1087</v>
      </c>
      <c r="B21" s="649">
        <v>412</v>
      </c>
      <c r="C21" s="1181">
        <v>4</v>
      </c>
      <c r="D21" s="1182">
        <v>1</v>
      </c>
      <c r="E21" s="1181">
        <v>76</v>
      </c>
      <c r="F21" s="1183"/>
      <c r="G21" s="1183"/>
      <c r="H21" s="1183">
        <v>4</v>
      </c>
      <c r="I21" s="1183"/>
      <c r="J21" s="1183">
        <v>96</v>
      </c>
      <c r="K21" s="1172">
        <f t="shared" si="1"/>
        <v>176</v>
      </c>
      <c r="L21" s="1183">
        <v>28</v>
      </c>
      <c r="M21" s="1181">
        <v>146</v>
      </c>
      <c r="N21" s="1183">
        <v>1</v>
      </c>
      <c r="O21" s="1172">
        <f t="shared" si="2"/>
        <v>175</v>
      </c>
      <c r="P21" s="1177">
        <f t="shared" si="3"/>
        <v>2</v>
      </c>
      <c r="Q21" s="1183">
        <v>6</v>
      </c>
      <c r="R21" s="1183">
        <v>1874</v>
      </c>
      <c r="S21" s="1181">
        <v>1229</v>
      </c>
      <c r="T21" s="1183">
        <v>1826</v>
      </c>
      <c r="U21" s="1181">
        <v>1812</v>
      </c>
      <c r="V21" s="1173">
        <f>S21/R21*100</f>
        <v>65.581643543223052</v>
      </c>
      <c r="W21" s="1174">
        <f>+T21/O21</f>
        <v>10.434285714285714</v>
      </c>
      <c r="X21" s="654">
        <f>+O21/(R21/30.4)</f>
        <v>2.8388473852721448</v>
      </c>
      <c r="Y21" s="1175">
        <f>(+R21-S21)/O21</f>
        <v>3.6857142857142855</v>
      </c>
      <c r="Z21" s="441"/>
      <c r="AA21" s="441"/>
    </row>
    <row r="22" spans="1:27" ht="24.75" customHeight="1">
      <c r="A22" s="453" t="s">
        <v>158</v>
      </c>
      <c r="B22" s="649">
        <v>414</v>
      </c>
      <c r="C22" s="1181">
        <v>5</v>
      </c>
      <c r="D22" s="1182">
        <v>3</v>
      </c>
      <c r="E22" s="1181">
        <v>1</v>
      </c>
      <c r="F22" s="1183"/>
      <c r="G22" s="1183">
        <v>26</v>
      </c>
      <c r="H22" s="1183">
        <v>3</v>
      </c>
      <c r="I22" s="1183">
        <v>115</v>
      </c>
      <c r="J22" s="1183">
        <v>21</v>
      </c>
      <c r="K22" s="1172">
        <f t="shared" si="1"/>
        <v>166</v>
      </c>
      <c r="L22" s="1183">
        <v>13</v>
      </c>
      <c r="M22" s="1181">
        <v>146</v>
      </c>
      <c r="N22" s="1183">
        <v>6</v>
      </c>
      <c r="O22" s="1172">
        <f t="shared" si="2"/>
        <v>165</v>
      </c>
      <c r="P22" s="1177">
        <f t="shared" si="3"/>
        <v>4</v>
      </c>
      <c r="Q22" s="1183">
        <v>4</v>
      </c>
      <c r="R22" s="1183">
        <v>1976</v>
      </c>
      <c r="S22" s="1181">
        <v>1281</v>
      </c>
      <c r="T22" s="1183">
        <v>1375</v>
      </c>
      <c r="U22" s="1181">
        <v>1352</v>
      </c>
      <c r="V22" s="1173">
        <f t="shared" si="4"/>
        <v>64.827935222672068</v>
      </c>
      <c r="W22" s="1174">
        <f t="shared" si="5"/>
        <v>8.3333333333333339</v>
      </c>
      <c r="X22" s="654">
        <f t="shared" si="6"/>
        <v>2.5384615384615383</v>
      </c>
      <c r="Y22" s="1175">
        <f t="shared" si="7"/>
        <v>4.2121212121212119</v>
      </c>
      <c r="Z22" s="441"/>
      <c r="AA22" s="441"/>
    </row>
    <row r="23" spans="1:27" ht="24.75" customHeight="1">
      <c r="A23" s="453" t="s">
        <v>159</v>
      </c>
      <c r="B23" s="649">
        <v>405</v>
      </c>
      <c r="C23" s="1181">
        <v>12</v>
      </c>
      <c r="D23" s="1182">
        <v>4</v>
      </c>
      <c r="E23" s="1181">
        <v>187</v>
      </c>
      <c r="F23" s="1183"/>
      <c r="G23" s="1183">
        <v>2</v>
      </c>
      <c r="H23" s="1183">
        <v>41</v>
      </c>
      <c r="I23" s="1183"/>
      <c r="J23" s="1183">
        <v>117</v>
      </c>
      <c r="K23" s="1172">
        <f t="shared" si="1"/>
        <v>347</v>
      </c>
      <c r="L23" s="1183">
        <v>69</v>
      </c>
      <c r="M23" s="1181">
        <v>183</v>
      </c>
      <c r="N23" s="1183">
        <v>93</v>
      </c>
      <c r="O23" s="1172">
        <f>SUM(L23:N23)</f>
        <v>345</v>
      </c>
      <c r="P23" s="1177">
        <f t="shared" si="3"/>
        <v>6</v>
      </c>
      <c r="Q23" s="1183">
        <v>13</v>
      </c>
      <c r="R23" s="1183">
        <v>3320</v>
      </c>
      <c r="S23" s="1181">
        <v>2730</v>
      </c>
      <c r="T23" s="1183">
        <v>2641</v>
      </c>
      <c r="U23" s="1181">
        <v>2565</v>
      </c>
      <c r="V23" s="1173">
        <f t="shared" si="4"/>
        <v>82.228915662650607</v>
      </c>
      <c r="W23" s="1174">
        <f t="shared" si="5"/>
        <v>7.655072463768116</v>
      </c>
      <c r="X23" s="654">
        <f t="shared" si="6"/>
        <v>3.1590361445783133</v>
      </c>
      <c r="Y23" s="1175">
        <f t="shared" si="7"/>
        <v>1.7101449275362319</v>
      </c>
      <c r="Z23" s="441"/>
      <c r="AA23" s="441"/>
    </row>
    <row r="24" spans="1:27" ht="24.75" customHeight="1">
      <c r="A24" s="453" t="s">
        <v>160</v>
      </c>
      <c r="B24" s="649">
        <v>406</v>
      </c>
      <c r="C24" s="1181">
        <v>18</v>
      </c>
      <c r="D24" s="1182">
        <v>11</v>
      </c>
      <c r="E24" s="1181">
        <v>393</v>
      </c>
      <c r="F24" s="1183"/>
      <c r="G24" s="1183">
        <v>9</v>
      </c>
      <c r="H24" s="1183">
        <v>41</v>
      </c>
      <c r="I24" s="1183">
        <v>1</v>
      </c>
      <c r="J24" s="1183">
        <v>213</v>
      </c>
      <c r="K24" s="1172">
        <f t="shared" si="1"/>
        <v>657</v>
      </c>
      <c r="L24" s="1183">
        <v>249</v>
      </c>
      <c r="M24" s="1181">
        <v>384</v>
      </c>
      <c r="N24" s="1183">
        <v>26</v>
      </c>
      <c r="O24" s="1172">
        <f>SUM(L24:N24)</f>
        <v>659</v>
      </c>
      <c r="P24" s="1177">
        <f t="shared" si="3"/>
        <v>9</v>
      </c>
      <c r="Q24" s="1183">
        <v>8</v>
      </c>
      <c r="R24" s="1183">
        <v>3594</v>
      </c>
      <c r="S24" s="1181">
        <v>3008</v>
      </c>
      <c r="T24" s="1183">
        <v>3031</v>
      </c>
      <c r="U24" s="1181">
        <v>2975</v>
      </c>
      <c r="V24" s="1173">
        <f t="shared" si="4"/>
        <v>83.695047301057315</v>
      </c>
      <c r="W24" s="1174">
        <f t="shared" si="5"/>
        <v>4.5993930197268584</v>
      </c>
      <c r="X24" s="654">
        <f t="shared" si="6"/>
        <v>5.5741791875347806</v>
      </c>
      <c r="Y24" s="1175">
        <f t="shared" si="7"/>
        <v>0.88922610015174508</v>
      </c>
      <c r="Z24" s="441"/>
      <c r="AA24" s="441"/>
    </row>
    <row r="25" spans="1:27" ht="24.75" customHeight="1">
      <c r="A25" s="453" t="s">
        <v>699</v>
      </c>
      <c r="B25" s="649">
        <v>415</v>
      </c>
      <c r="C25" s="1181">
        <v>6</v>
      </c>
      <c r="D25" s="1182">
        <v>2</v>
      </c>
      <c r="E25" s="1181">
        <v>4</v>
      </c>
      <c r="F25" s="1183"/>
      <c r="G25" s="1183">
        <v>9</v>
      </c>
      <c r="H25" s="1183"/>
      <c r="I25" s="1183">
        <v>74</v>
      </c>
      <c r="J25" s="1183">
        <v>154</v>
      </c>
      <c r="K25" s="1172">
        <f t="shared" si="1"/>
        <v>241</v>
      </c>
      <c r="L25" s="1183">
        <v>87</v>
      </c>
      <c r="M25" s="1181">
        <v>153</v>
      </c>
      <c r="N25" s="1183"/>
      <c r="O25" s="1172">
        <f>SUM(L25:N25)</f>
        <v>240</v>
      </c>
      <c r="P25" s="1177">
        <f>SUM(D25,K25)-O25</f>
        <v>3</v>
      </c>
      <c r="Q25" s="1183">
        <v>0</v>
      </c>
      <c r="R25" s="1183">
        <v>2338</v>
      </c>
      <c r="S25" s="1181">
        <v>1481</v>
      </c>
      <c r="T25" s="1183">
        <v>1402</v>
      </c>
      <c r="U25" s="1181">
        <v>1337</v>
      </c>
      <c r="V25" s="1173">
        <f t="shared" si="4"/>
        <v>63.344739093242083</v>
      </c>
      <c r="W25" s="1174">
        <f t="shared" si="5"/>
        <v>5.8416666666666668</v>
      </c>
      <c r="X25" s="654">
        <f t="shared" si="6"/>
        <v>3.1206159110350726</v>
      </c>
      <c r="Y25" s="1175">
        <f t="shared" si="7"/>
        <v>3.5708333333333333</v>
      </c>
      <c r="Z25" s="441"/>
      <c r="AA25" s="441"/>
    </row>
    <row r="26" spans="1:27" ht="24.75" customHeight="1">
      <c r="A26" s="453" t="s">
        <v>161</v>
      </c>
      <c r="B26" s="649">
        <v>330</v>
      </c>
      <c r="C26" s="1181">
        <v>10</v>
      </c>
      <c r="D26" s="1182">
        <v>5</v>
      </c>
      <c r="E26" s="1181">
        <v>475</v>
      </c>
      <c r="F26" s="1183"/>
      <c r="G26" s="1183">
        <v>104</v>
      </c>
      <c r="H26" s="1183">
        <v>3</v>
      </c>
      <c r="I26" s="1183">
        <v>776</v>
      </c>
      <c r="J26" s="1183">
        <v>156</v>
      </c>
      <c r="K26" s="1172">
        <f t="shared" si="1"/>
        <v>1514</v>
      </c>
      <c r="L26" s="1183">
        <v>827</v>
      </c>
      <c r="M26" s="1181">
        <v>667</v>
      </c>
      <c r="N26" s="1183">
        <v>22</v>
      </c>
      <c r="O26" s="1172">
        <f t="shared" si="2"/>
        <v>1516</v>
      </c>
      <c r="P26" s="1177">
        <f t="shared" si="3"/>
        <v>3</v>
      </c>
      <c r="Q26" s="1183">
        <v>113</v>
      </c>
      <c r="R26" s="1183">
        <v>5079</v>
      </c>
      <c r="S26" s="1181">
        <v>3236</v>
      </c>
      <c r="T26" s="1183">
        <v>3275</v>
      </c>
      <c r="U26" s="1181"/>
      <c r="V26" s="1173">
        <f t="shared" si="4"/>
        <v>63.713329395550304</v>
      </c>
      <c r="W26" s="1174">
        <f t="shared" si="5"/>
        <v>2.1602902374670183</v>
      </c>
      <c r="X26" s="654">
        <f t="shared" si="6"/>
        <v>9.0739121874384718</v>
      </c>
      <c r="Y26" s="1175">
        <f t="shared" si="7"/>
        <v>1.2156992084432718</v>
      </c>
      <c r="Z26" s="441"/>
      <c r="AA26" s="441"/>
    </row>
    <row r="27" spans="1:27" ht="24.75" customHeight="1">
      <c r="A27" s="459" t="s">
        <v>916</v>
      </c>
      <c r="B27" s="1185"/>
      <c r="C27" s="1186"/>
      <c r="D27" s="1187"/>
      <c r="E27" s="1186"/>
      <c r="F27" s="1188"/>
      <c r="G27" s="1188"/>
      <c r="H27" s="1188"/>
      <c r="I27" s="1188"/>
      <c r="J27" s="1187"/>
      <c r="K27" s="1189"/>
      <c r="L27" s="618"/>
      <c r="M27" s="617"/>
      <c r="N27" s="618"/>
      <c r="O27" s="619"/>
      <c r="P27" s="1190"/>
      <c r="Q27" s="1188"/>
      <c r="R27" s="1191"/>
      <c r="S27" s="1192"/>
      <c r="T27" s="1191"/>
      <c r="U27" s="1192"/>
      <c r="V27" s="1193"/>
      <c r="W27" s="1194"/>
      <c r="X27" s="1195"/>
      <c r="Y27" s="1196"/>
      <c r="Z27" s="441"/>
      <c r="AA27" s="441"/>
    </row>
    <row r="28" spans="1:27" ht="15.75">
      <c r="Z28" s="441"/>
      <c r="AA28" s="441"/>
    </row>
    <row r="29" spans="1:27" ht="15.75">
      <c r="Z29" s="441"/>
      <c r="AA29" s="441"/>
    </row>
    <row r="30" spans="1:27" ht="15.75">
      <c r="Z30" s="441"/>
      <c r="AA30" s="441"/>
    </row>
  </sheetData>
  <mergeCells count="2">
    <mergeCell ref="Q9:Q10"/>
    <mergeCell ref="E9:O9"/>
  </mergeCells>
  <phoneticPr fontId="46"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ransitionEvaluation="1"/>
  <dimension ref="A1:AA34"/>
  <sheetViews>
    <sheetView showGridLines="0" zoomScale="75" workbookViewId="0">
      <selection sqref="A1:XFD3"/>
    </sheetView>
  </sheetViews>
  <sheetFormatPr baseColWidth="10" defaultColWidth="12.5703125" defaultRowHeight="12.75"/>
  <cols>
    <col min="1" max="1" width="50.28515625" style="469" customWidth="1"/>
    <col min="2" max="14" width="12.42578125" style="469" customWidth="1"/>
    <col min="15" max="17" width="8.28515625" style="469" customWidth="1"/>
    <col min="18" max="19" width="9.5703125" style="469" customWidth="1"/>
    <col min="20" max="21" width="9.28515625" style="469" customWidth="1"/>
    <col min="22" max="22" width="8.28515625" style="469" customWidth="1"/>
    <col min="23" max="23" width="8.7109375" style="469" customWidth="1"/>
    <col min="24" max="25" width="8.5703125" style="469" customWidth="1"/>
    <col min="26" max="26" width="10.7109375" style="440" customWidth="1"/>
    <col min="27" max="27" width="9.28515625" style="440" customWidth="1"/>
    <col min="28" max="16384" width="12.5703125" style="440"/>
  </cols>
  <sheetData>
    <row r="1" spans="1:27" s="1427" customFormat="1">
      <c r="A1" s="1628" t="s">
        <v>1210</v>
      </c>
      <c r="B1" s="1628"/>
      <c r="C1" s="1628"/>
      <c r="D1" s="1628"/>
      <c r="E1" s="1628"/>
      <c r="F1" s="1628"/>
      <c r="G1" s="1628"/>
      <c r="H1" s="1628"/>
      <c r="I1" s="1628"/>
      <c r="J1" s="1628"/>
      <c r="K1" s="1628"/>
      <c r="L1" s="1628"/>
      <c r="M1" s="1628"/>
      <c r="N1" s="1628"/>
      <c r="O1" s="1425"/>
      <c r="P1" s="1425"/>
      <c r="Q1" s="1425"/>
      <c r="R1" s="1425"/>
      <c r="S1" s="1425"/>
      <c r="T1" s="1425"/>
      <c r="U1" s="1425"/>
      <c r="V1" s="1425"/>
      <c r="W1" s="1425"/>
      <c r="X1" s="1425"/>
      <c r="Y1" s="1425"/>
    </row>
    <row r="2" spans="1:27" s="1427" customFormat="1">
      <c r="A2" s="1424"/>
      <c r="B2" s="1424"/>
      <c r="C2" s="1425"/>
      <c r="D2" s="1425"/>
      <c r="E2" s="1425"/>
      <c r="F2" s="1425"/>
      <c r="G2" s="1425"/>
      <c r="H2" s="1425"/>
      <c r="I2" s="1425"/>
      <c r="J2" s="1425"/>
      <c r="K2" s="1425"/>
      <c r="L2" s="1425"/>
      <c r="M2" s="1425"/>
      <c r="N2" s="1425"/>
      <c r="O2" s="1425"/>
      <c r="P2" s="1425"/>
      <c r="Q2" s="1425"/>
      <c r="R2" s="1425"/>
      <c r="S2" s="1425"/>
      <c r="T2" s="1425"/>
      <c r="U2" s="1425"/>
      <c r="V2" s="1425"/>
      <c r="W2" s="1425"/>
      <c r="X2" s="1425"/>
      <c r="Y2" s="1425"/>
    </row>
    <row r="3" spans="1:27" s="1427" customFormat="1">
      <c r="A3" s="1628" t="str">
        <f>+'74'!A3</f>
        <v>SERVICIO DE SALUD   ACONCAGUA   2023</v>
      </c>
      <c r="B3" s="1628"/>
      <c r="C3" s="1628"/>
      <c r="D3" s="1628"/>
      <c r="E3" s="1628"/>
      <c r="F3" s="1628"/>
      <c r="G3" s="1628"/>
      <c r="H3" s="1628"/>
      <c r="I3" s="1628"/>
      <c r="J3" s="1628"/>
      <c r="K3" s="1628"/>
      <c r="L3" s="1628"/>
      <c r="M3" s="1628"/>
      <c r="N3" s="1628"/>
      <c r="O3" s="1425"/>
      <c r="P3" s="1425"/>
      <c r="Q3" s="1425"/>
      <c r="R3" s="1425"/>
      <c r="S3" s="1425"/>
      <c r="T3" s="1425"/>
      <c r="U3" s="1425"/>
      <c r="V3" s="1425"/>
      <c r="W3" s="1425"/>
      <c r="X3" s="1425"/>
      <c r="Y3" s="1425"/>
    </row>
    <row r="4" spans="1:27">
      <c r="A4" s="439"/>
      <c r="B4" s="439"/>
      <c r="C4" s="439"/>
      <c r="D4" s="439"/>
      <c r="E4" s="439"/>
      <c r="F4" s="439"/>
      <c r="G4" s="439"/>
      <c r="H4" s="439"/>
      <c r="I4" s="439"/>
      <c r="J4" s="439"/>
      <c r="K4" s="439"/>
      <c r="L4" s="439"/>
      <c r="M4" s="439"/>
      <c r="N4" s="439"/>
      <c r="O4" s="439"/>
      <c r="P4" s="439"/>
      <c r="Q4" s="439"/>
      <c r="R4" s="439"/>
      <c r="S4" s="439"/>
      <c r="T4" s="439"/>
      <c r="U4" s="439"/>
      <c r="V4" s="439"/>
      <c r="W4" s="439"/>
      <c r="X4" s="439"/>
      <c r="Y4" s="439"/>
    </row>
    <row r="5" spans="1:27" ht="15.75">
      <c r="Z5" s="441"/>
      <c r="AA5" s="441"/>
    </row>
    <row r="6" spans="1:27" s="6" customFormat="1" ht="21" customHeight="1">
      <c r="A6" s="1429" t="s">
        <v>1122</v>
      </c>
      <c r="B6" s="1251" t="s">
        <v>448</v>
      </c>
      <c r="C6" s="1252" t="s">
        <v>1098</v>
      </c>
      <c r="D6" s="1252" t="s">
        <v>1099</v>
      </c>
      <c r="E6" s="1252" t="s">
        <v>1100</v>
      </c>
      <c r="F6" s="1252" t="s">
        <v>1101</v>
      </c>
      <c r="G6" s="1252" t="s">
        <v>1102</v>
      </c>
      <c r="H6" s="1252" t="s">
        <v>1103</v>
      </c>
      <c r="I6" s="1252" t="s">
        <v>1104</v>
      </c>
      <c r="J6" s="1252" t="s">
        <v>1105</v>
      </c>
      <c r="K6" s="1252" t="s">
        <v>1106</v>
      </c>
      <c r="L6" s="1252" t="s">
        <v>1107</v>
      </c>
      <c r="M6" s="1252" t="s">
        <v>1108</v>
      </c>
      <c r="N6" s="1354" t="s">
        <v>1109</v>
      </c>
      <c r="O6" s="10"/>
    </row>
    <row r="7" spans="1:27" s="8" customFormat="1" ht="18.75" customHeight="1">
      <c r="A7" s="665" t="s">
        <v>1110</v>
      </c>
      <c r="B7" s="358">
        <f>SUM(C7:N7)</f>
        <v>24511</v>
      </c>
      <c r="C7" s="359">
        <v>53</v>
      </c>
      <c r="D7" s="359">
        <v>0</v>
      </c>
      <c r="E7" s="359">
        <v>0</v>
      </c>
      <c r="F7" s="359">
        <v>2534</v>
      </c>
      <c r="G7" s="359">
        <v>568</v>
      </c>
      <c r="H7" s="359">
        <v>39</v>
      </c>
      <c r="I7" s="359">
        <v>6522</v>
      </c>
      <c r="J7" s="359">
        <v>12336</v>
      </c>
      <c r="K7" s="359">
        <v>1206</v>
      </c>
      <c r="L7" s="359">
        <v>96</v>
      </c>
      <c r="M7" s="359">
        <v>926</v>
      </c>
      <c r="N7" s="360">
        <v>231</v>
      </c>
    </row>
    <row r="8" spans="1:27" s="8" customFormat="1" ht="18.75" customHeight="1">
      <c r="A8" s="666" t="s">
        <v>1119</v>
      </c>
      <c r="B8" s="353">
        <f t="shared" ref="B8:B17" si="0">SUM(C8:N8)</f>
        <v>2696</v>
      </c>
      <c r="C8" s="352">
        <v>23</v>
      </c>
      <c r="D8" s="352">
        <v>0</v>
      </c>
      <c r="E8" s="352">
        <v>0</v>
      </c>
      <c r="F8" s="352">
        <v>460</v>
      </c>
      <c r="G8" s="352">
        <v>172</v>
      </c>
      <c r="H8" s="352">
        <v>3</v>
      </c>
      <c r="I8" s="352">
        <v>724</v>
      </c>
      <c r="J8" s="352">
        <v>1013</v>
      </c>
      <c r="K8" s="352">
        <v>166</v>
      </c>
      <c r="L8" s="352">
        <v>12</v>
      </c>
      <c r="M8" s="352">
        <v>85</v>
      </c>
      <c r="N8" s="340">
        <v>38</v>
      </c>
    </row>
    <row r="9" spans="1:27" s="8" customFormat="1" ht="18.75" customHeight="1">
      <c r="A9" s="666" t="s">
        <v>1111</v>
      </c>
      <c r="B9" s="353">
        <f t="shared" si="0"/>
        <v>4789</v>
      </c>
      <c r="C9" s="176">
        <v>10</v>
      </c>
      <c r="D9" s="176">
        <v>0</v>
      </c>
      <c r="E9" s="176">
        <v>10</v>
      </c>
      <c r="F9" s="176">
        <v>1928</v>
      </c>
      <c r="G9" s="176">
        <v>215</v>
      </c>
      <c r="H9" s="176">
        <v>2</v>
      </c>
      <c r="I9" s="176">
        <v>1584</v>
      </c>
      <c r="J9" s="176">
        <v>786</v>
      </c>
      <c r="K9" s="176">
        <v>34</v>
      </c>
      <c r="L9" s="176">
        <v>49</v>
      </c>
      <c r="M9" s="176">
        <v>148</v>
      </c>
      <c r="N9" s="340">
        <v>23</v>
      </c>
    </row>
    <row r="10" spans="1:27" s="8" customFormat="1" ht="18.75" customHeight="1">
      <c r="A10" s="666" t="s">
        <v>1112</v>
      </c>
      <c r="B10" s="353">
        <f t="shared" si="0"/>
        <v>968</v>
      </c>
      <c r="C10" s="352">
        <v>1</v>
      </c>
      <c r="D10" s="352">
        <v>0</v>
      </c>
      <c r="E10" s="352">
        <v>0</v>
      </c>
      <c r="F10" s="352">
        <v>49</v>
      </c>
      <c r="G10" s="352">
        <v>0</v>
      </c>
      <c r="H10" s="352">
        <v>0</v>
      </c>
      <c r="I10" s="352">
        <v>814</v>
      </c>
      <c r="J10" s="352">
        <v>0</v>
      </c>
      <c r="K10" s="352">
        <v>3</v>
      </c>
      <c r="L10" s="352">
        <v>101</v>
      </c>
      <c r="M10" s="352">
        <v>0</v>
      </c>
      <c r="N10" s="340">
        <v>0</v>
      </c>
    </row>
    <row r="11" spans="1:27" s="8" customFormat="1" ht="18.75" customHeight="1">
      <c r="A11" s="666" t="s">
        <v>1113</v>
      </c>
      <c r="B11" s="353">
        <f t="shared" si="0"/>
        <v>8162</v>
      </c>
      <c r="C11" s="352">
        <v>5</v>
      </c>
      <c r="D11" s="352">
        <v>0</v>
      </c>
      <c r="E11" s="352">
        <v>0</v>
      </c>
      <c r="F11" s="352">
        <v>330</v>
      </c>
      <c r="G11" s="352">
        <v>579</v>
      </c>
      <c r="H11" s="352">
        <v>136</v>
      </c>
      <c r="I11" s="352">
        <v>354</v>
      </c>
      <c r="J11" s="352">
        <v>3745</v>
      </c>
      <c r="K11" s="352">
        <v>2387</v>
      </c>
      <c r="L11" s="352">
        <v>137</v>
      </c>
      <c r="M11" s="352">
        <v>33</v>
      </c>
      <c r="N11" s="340">
        <v>456</v>
      </c>
    </row>
    <row r="12" spans="1:27" s="8" customFormat="1" ht="24">
      <c r="A12" s="666" t="s">
        <v>1118</v>
      </c>
      <c r="B12" s="353">
        <f t="shared" si="0"/>
        <v>1244</v>
      </c>
      <c r="C12" s="352">
        <v>486</v>
      </c>
      <c r="D12" s="352">
        <v>0</v>
      </c>
      <c r="E12" s="352">
        <v>1</v>
      </c>
      <c r="F12" s="352">
        <v>741</v>
      </c>
      <c r="G12" s="352">
        <v>0</v>
      </c>
      <c r="H12" s="352">
        <v>0</v>
      </c>
      <c r="I12" s="352">
        <v>16</v>
      </c>
      <c r="J12" s="352">
        <v>0</v>
      </c>
      <c r="K12" s="352">
        <v>0</v>
      </c>
      <c r="L12" s="352">
        <v>0</v>
      </c>
      <c r="M12" s="352">
        <v>0</v>
      </c>
      <c r="N12" s="340">
        <v>0</v>
      </c>
    </row>
    <row r="13" spans="1:27" s="8" customFormat="1" ht="20.25" customHeight="1">
      <c r="A13" s="666" t="s">
        <v>1114</v>
      </c>
      <c r="B13" s="353">
        <f t="shared" si="0"/>
        <v>2571</v>
      </c>
      <c r="C13" s="352">
        <v>2089</v>
      </c>
      <c r="D13" s="352">
        <v>1</v>
      </c>
      <c r="E13" s="352">
        <v>0</v>
      </c>
      <c r="F13" s="352">
        <v>427</v>
      </c>
      <c r="G13" s="352">
        <v>43</v>
      </c>
      <c r="H13" s="352">
        <v>0</v>
      </c>
      <c r="I13" s="352">
        <v>3</v>
      </c>
      <c r="J13" s="352">
        <v>8</v>
      </c>
      <c r="K13" s="352">
        <v>0</v>
      </c>
      <c r="L13" s="352">
        <v>0</v>
      </c>
      <c r="M13" s="352">
        <v>0</v>
      </c>
      <c r="N13" s="340">
        <v>0</v>
      </c>
    </row>
    <row r="14" spans="1:27" s="8" customFormat="1" ht="24">
      <c r="A14" s="666" t="s">
        <v>1115</v>
      </c>
      <c r="B14" s="353">
        <f t="shared" si="0"/>
        <v>2765</v>
      </c>
      <c r="C14" s="352">
        <v>441</v>
      </c>
      <c r="D14" s="352">
        <v>9</v>
      </c>
      <c r="E14" s="352">
        <v>0</v>
      </c>
      <c r="F14" s="352">
        <v>1856</v>
      </c>
      <c r="G14" s="352">
        <v>375</v>
      </c>
      <c r="H14" s="352">
        <v>2</v>
      </c>
      <c r="I14" s="352">
        <v>34</v>
      </c>
      <c r="J14" s="352">
        <v>45</v>
      </c>
      <c r="K14" s="352">
        <v>3</v>
      </c>
      <c r="L14" s="352">
        <v>0</v>
      </c>
      <c r="M14" s="352">
        <v>0</v>
      </c>
      <c r="N14" s="340">
        <v>0</v>
      </c>
    </row>
    <row r="15" spans="1:27" s="8" customFormat="1" ht="20.25" customHeight="1">
      <c r="A15" s="666" t="s">
        <v>1268</v>
      </c>
      <c r="B15" s="353">
        <f t="shared" si="0"/>
        <v>409</v>
      </c>
      <c r="C15" s="352">
        <v>180</v>
      </c>
      <c r="D15" s="352">
        <v>0</v>
      </c>
      <c r="E15" s="352">
        <v>0</v>
      </c>
      <c r="F15" s="352">
        <v>163</v>
      </c>
      <c r="G15" s="352">
        <v>4</v>
      </c>
      <c r="H15" s="352">
        <v>0</v>
      </c>
      <c r="I15" s="352">
        <v>15</v>
      </c>
      <c r="J15" s="352">
        <v>47</v>
      </c>
      <c r="K15" s="352">
        <v>0</v>
      </c>
      <c r="L15" s="352">
        <v>0</v>
      </c>
      <c r="M15" s="352">
        <v>0</v>
      </c>
      <c r="N15" s="340">
        <v>0</v>
      </c>
    </row>
    <row r="16" spans="1:27" s="8" customFormat="1" ht="30.75" customHeight="1">
      <c r="A16" s="666" t="s">
        <v>1117</v>
      </c>
      <c r="B16" s="353">
        <f t="shared" si="0"/>
        <v>1044</v>
      </c>
      <c r="C16" s="352">
        <v>138</v>
      </c>
      <c r="D16" s="352">
        <v>0</v>
      </c>
      <c r="E16" s="352">
        <v>0</v>
      </c>
      <c r="F16" s="352">
        <v>846</v>
      </c>
      <c r="G16" s="352">
        <v>8</v>
      </c>
      <c r="H16" s="352">
        <v>0</v>
      </c>
      <c r="I16" s="352">
        <v>43</v>
      </c>
      <c r="J16" s="352">
        <v>4</v>
      </c>
      <c r="K16" s="352">
        <v>0</v>
      </c>
      <c r="L16" s="352">
        <v>2</v>
      </c>
      <c r="M16" s="352">
        <v>3</v>
      </c>
      <c r="N16" s="340">
        <v>0</v>
      </c>
    </row>
    <row r="17" spans="1:17" s="8" customFormat="1" ht="24">
      <c r="A17" s="666" t="s">
        <v>1116</v>
      </c>
      <c r="B17" s="353">
        <f t="shared" si="0"/>
        <v>1328</v>
      </c>
      <c r="C17" s="352">
        <v>2</v>
      </c>
      <c r="D17" s="352">
        <v>0</v>
      </c>
      <c r="E17" s="352">
        <v>0</v>
      </c>
      <c r="F17" s="352">
        <v>369</v>
      </c>
      <c r="G17" s="352">
        <v>0</v>
      </c>
      <c r="H17" s="352">
        <v>0</v>
      </c>
      <c r="I17" s="352">
        <v>934</v>
      </c>
      <c r="J17" s="352">
        <v>0</v>
      </c>
      <c r="K17" s="352">
        <v>0</v>
      </c>
      <c r="L17" s="352">
        <v>23</v>
      </c>
      <c r="M17" s="352">
        <v>0</v>
      </c>
      <c r="N17" s="340">
        <v>0</v>
      </c>
    </row>
    <row r="18" spans="1:17" s="8" customFormat="1" ht="24" customHeight="1">
      <c r="A18" s="1430" t="s">
        <v>448</v>
      </c>
      <c r="B18" s="1310">
        <f>SUM(B7:B17)</f>
        <v>50487</v>
      </c>
      <c r="C18" s="1364">
        <f>SUM(C7:C17)</f>
        <v>3428</v>
      </c>
      <c r="D18" s="1364">
        <f t="shared" ref="D18:N18" si="1">SUM(D7:D17)</f>
        <v>10</v>
      </c>
      <c r="E18" s="1364">
        <f t="shared" si="1"/>
        <v>11</v>
      </c>
      <c r="F18" s="1364">
        <f t="shared" si="1"/>
        <v>9703</v>
      </c>
      <c r="G18" s="1364">
        <f t="shared" si="1"/>
        <v>1964</v>
      </c>
      <c r="H18" s="1364">
        <f t="shared" si="1"/>
        <v>182</v>
      </c>
      <c r="I18" s="1364">
        <f t="shared" si="1"/>
        <v>11043</v>
      </c>
      <c r="J18" s="1364">
        <f t="shared" si="1"/>
        <v>17984</v>
      </c>
      <c r="K18" s="1364">
        <f t="shared" si="1"/>
        <v>3799</v>
      </c>
      <c r="L18" s="1364">
        <f t="shared" si="1"/>
        <v>420</v>
      </c>
      <c r="M18" s="1364">
        <f t="shared" si="1"/>
        <v>1195</v>
      </c>
      <c r="N18" s="1311">
        <f t="shared" si="1"/>
        <v>748</v>
      </c>
      <c r="Q18" s="365"/>
    </row>
    <row r="21" spans="1:17" ht="19.5" customHeight="1">
      <c r="A21" s="1090"/>
      <c r="B21" s="1629" t="s">
        <v>131</v>
      </c>
      <c r="C21" s="1629"/>
      <c r="D21" s="1629"/>
      <c r="E21" s="1529" t="s">
        <v>1126</v>
      </c>
      <c r="F21" s="1531"/>
    </row>
    <row r="22" spans="1:17" ht="21" customHeight="1">
      <c r="A22" s="1431" t="s">
        <v>1122</v>
      </c>
      <c r="B22" s="1261" t="s">
        <v>1125</v>
      </c>
      <c r="C22" s="1261" t="s">
        <v>1124</v>
      </c>
      <c r="D22" s="1261" t="s">
        <v>826</v>
      </c>
      <c r="E22" s="1261" t="s">
        <v>448</v>
      </c>
      <c r="F22" s="1261" t="s">
        <v>468</v>
      </c>
    </row>
    <row r="23" spans="1:17" ht="21" customHeight="1">
      <c r="A23" s="665" t="s">
        <v>1110</v>
      </c>
      <c r="B23" s="662">
        <f>+'76'!S14</f>
        <v>26375</v>
      </c>
      <c r="C23" s="663">
        <f t="shared" ref="C23:C34" si="2">+B7</f>
        <v>24511</v>
      </c>
      <c r="D23" s="674">
        <f>+C23/B23*100</f>
        <v>92.932701421800942</v>
      </c>
      <c r="E23" s="662">
        <f>SUM(M7:N7)</f>
        <v>1157</v>
      </c>
      <c r="F23" s="674">
        <f>+E23/B7*100</f>
        <v>4.7203296479131813</v>
      </c>
    </row>
    <row r="24" spans="1:17" ht="21" customHeight="1">
      <c r="A24" s="666" t="s">
        <v>1119</v>
      </c>
      <c r="B24" s="664">
        <f>+'76'!S15</f>
        <v>2999</v>
      </c>
      <c r="C24" s="235">
        <f t="shared" si="2"/>
        <v>2696</v>
      </c>
      <c r="D24" s="675">
        <f>+C24/B24*100</f>
        <v>89.896632210736911</v>
      </c>
      <c r="E24" s="664">
        <f>SUM(M8:N8)</f>
        <v>123</v>
      </c>
      <c r="F24" s="675">
        <f>+E24/B8*100</f>
        <v>4.5623145400593472</v>
      </c>
    </row>
    <row r="25" spans="1:17" ht="21" customHeight="1">
      <c r="A25" s="666" t="s">
        <v>1111</v>
      </c>
      <c r="B25" s="664">
        <f>+'76'!S18</f>
        <v>5133</v>
      </c>
      <c r="C25" s="235">
        <f t="shared" si="2"/>
        <v>4789</v>
      </c>
      <c r="D25" s="675">
        <f>+C25/B25*100</f>
        <v>93.298266121176695</v>
      </c>
      <c r="E25" s="664">
        <f t="shared" ref="E25:E34" si="3">SUM(M9:N9)</f>
        <v>171</v>
      </c>
      <c r="F25" s="675">
        <f t="shared" ref="F25:F34" si="4">+E25/B9*100</f>
        <v>3.5706828147838801</v>
      </c>
    </row>
    <row r="26" spans="1:17" ht="21" customHeight="1">
      <c r="A26" s="666" t="s">
        <v>1112</v>
      </c>
      <c r="B26" s="664">
        <f>+'76'!S19</f>
        <v>1035</v>
      </c>
      <c r="C26" s="235">
        <f t="shared" si="2"/>
        <v>968</v>
      </c>
      <c r="D26" s="675">
        <f t="shared" ref="D26:D34" si="5">+C26/B26*100</f>
        <v>93.526570048309182</v>
      </c>
      <c r="E26" s="664">
        <f t="shared" si="3"/>
        <v>0</v>
      </c>
      <c r="F26" s="675">
        <f t="shared" si="4"/>
        <v>0</v>
      </c>
    </row>
    <row r="27" spans="1:17" ht="21" customHeight="1">
      <c r="A27" s="666" t="s">
        <v>1113</v>
      </c>
      <c r="B27" s="664">
        <f>+'76'!S16</f>
        <v>8834</v>
      </c>
      <c r="C27" s="235">
        <f t="shared" si="2"/>
        <v>8162</v>
      </c>
      <c r="D27" s="675">
        <f t="shared" si="5"/>
        <v>92.393026941362919</v>
      </c>
      <c r="E27" s="664">
        <f t="shared" si="3"/>
        <v>489</v>
      </c>
      <c r="F27" s="675">
        <f t="shared" si="4"/>
        <v>5.9911786326880669</v>
      </c>
    </row>
    <row r="28" spans="1:17" ht="24">
      <c r="A28" s="666" t="s">
        <v>1118</v>
      </c>
      <c r="B28" s="664">
        <f>+'76'!S22</f>
        <v>1281</v>
      </c>
      <c r="C28" s="235">
        <f t="shared" si="2"/>
        <v>1244</v>
      </c>
      <c r="D28" s="675">
        <f t="shared" si="5"/>
        <v>97.111631537861044</v>
      </c>
      <c r="E28" s="664">
        <f t="shared" si="3"/>
        <v>0</v>
      </c>
      <c r="F28" s="675">
        <f t="shared" si="4"/>
        <v>0</v>
      </c>
    </row>
    <row r="29" spans="1:17">
      <c r="A29" s="666" t="s">
        <v>1114</v>
      </c>
      <c r="B29" s="664">
        <f>+'76'!S23</f>
        <v>2730</v>
      </c>
      <c r="C29" s="235">
        <f t="shared" si="2"/>
        <v>2571</v>
      </c>
      <c r="D29" s="675">
        <f t="shared" si="5"/>
        <v>94.175824175824175</v>
      </c>
      <c r="E29" s="664">
        <f t="shared" si="3"/>
        <v>0</v>
      </c>
      <c r="F29" s="675">
        <f t="shared" si="4"/>
        <v>0</v>
      </c>
    </row>
    <row r="30" spans="1:17" ht="24">
      <c r="A30" s="666" t="s">
        <v>1115</v>
      </c>
      <c r="B30" s="664">
        <f>+'76'!S24</f>
        <v>3008</v>
      </c>
      <c r="C30" s="235">
        <f t="shared" si="2"/>
        <v>2765</v>
      </c>
      <c r="D30" s="675">
        <f t="shared" si="5"/>
        <v>91.9215425531915</v>
      </c>
      <c r="E30" s="664">
        <f t="shared" si="3"/>
        <v>0</v>
      </c>
      <c r="F30" s="675">
        <f t="shared" si="4"/>
        <v>0</v>
      </c>
    </row>
    <row r="31" spans="1:17" ht="18.75" customHeight="1">
      <c r="A31" s="666" t="s">
        <v>1268</v>
      </c>
      <c r="B31" s="664">
        <f>+'76'!S20</f>
        <v>444</v>
      </c>
      <c r="C31" s="235">
        <f t="shared" si="2"/>
        <v>409</v>
      </c>
      <c r="D31" s="675">
        <f>+C31/B31*100</f>
        <v>92.117117117117118</v>
      </c>
      <c r="E31" s="664">
        <f t="shared" si="3"/>
        <v>0</v>
      </c>
      <c r="F31" s="675">
        <f t="shared" si="4"/>
        <v>0</v>
      </c>
    </row>
    <row r="32" spans="1:17" ht="24">
      <c r="A32" s="666" t="s">
        <v>1117</v>
      </c>
      <c r="B32" s="664">
        <f>+'76'!S21</f>
        <v>1229</v>
      </c>
      <c r="C32" s="235">
        <f t="shared" si="2"/>
        <v>1044</v>
      </c>
      <c r="D32" s="675">
        <f t="shared" si="5"/>
        <v>84.947111472742066</v>
      </c>
      <c r="E32" s="664">
        <f t="shared" si="3"/>
        <v>3</v>
      </c>
      <c r="F32" s="675">
        <f t="shared" si="4"/>
        <v>0.28735632183908044</v>
      </c>
    </row>
    <row r="33" spans="1:6" ht="24">
      <c r="A33" s="666" t="s">
        <v>1116</v>
      </c>
      <c r="B33" s="664">
        <f>+'76'!S25</f>
        <v>1481</v>
      </c>
      <c r="C33" s="235">
        <f t="shared" si="2"/>
        <v>1328</v>
      </c>
      <c r="D33" s="675">
        <f t="shared" si="5"/>
        <v>89.669142471303175</v>
      </c>
      <c r="E33" s="664">
        <f t="shared" si="3"/>
        <v>0</v>
      </c>
      <c r="F33" s="675">
        <f t="shared" si="4"/>
        <v>0</v>
      </c>
    </row>
    <row r="34" spans="1:6" ht="24.75" customHeight="1">
      <c r="A34" s="667" t="s">
        <v>448</v>
      </c>
      <c r="B34" s="393">
        <f>SUM(B23:B33)</f>
        <v>54549</v>
      </c>
      <c r="C34" s="237">
        <f t="shared" si="2"/>
        <v>50487</v>
      </c>
      <c r="D34" s="676">
        <f t="shared" si="5"/>
        <v>92.553484023538473</v>
      </c>
      <c r="E34" s="393">
        <f t="shared" si="3"/>
        <v>1943</v>
      </c>
      <c r="F34" s="677">
        <f t="shared" si="4"/>
        <v>3.8485154594251987</v>
      </c>
    </row>
  </sheetData>
  <mergeCells count="4">
    <mergeCell ref="A1:N1"/>
    <mergeCell ref="A3:N3"/>
    <mergeCell ref="B21:D21"/>
    <mergeCell ref="E21:F21"/>
  </mergeCells>
  <printOptions horizontalCentered="1" verticalCentered="1" gridLinesSet="0"/>
  <pageMargins left="0.98425196850393704" right="0.78740157480314965" top="0.27559055118110237" bottom="0.23622047244094491" header="0.73" footer="0.39370078740157483"/>
  <pageSetup paperSize="5" scale="73" orientation="landscape" horizontalDpi="300" verticalDpi="300" r:id="rId1"/>
  <headerFooter alignWithMargins="0"/>
  <ignoredErrors>
    <ignoredError sqref="F23 E32:E34 E25:E30" formulaRange="1"/>
    <ignoredError sqref="F32:F34 F25:F30" evalError="1" formulaRange="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ransitionEvaluation="1"/>
  <dimension ref="A1:AA33"/>
  <sheetViews>
    <sheetView showGridLines="0" zoomScale="75" zoomScaleNormal="75" workbookViewId="0">
      <selection sqref="A1:XFD3"/>
    </sheetView>
  </sheetViews>
  <sheetFormatPr baseColWidth="10" defaultColWidth="12.5703125" defaultRowHeight="12.75"/>
  <cols>
    <col min="1" max="1" width="29.7109375" style="469" customWidth="1"/>
    <col min="2" max="2" width="9.5703125" style="469" customWidth="1"/>
    <col min="3" max="9" width="8.28515625" style="469" customWidth="1"/>
    <col min="10" max="10" width="7" style="469" customWidth="1"/>
    <col min="11" max="12" width="8.28515625" style="469" customWidth="1"/>
    <col min="13" max="13" width="9.28515625" style="469" customWidth="1"/>
    <col min="14" max="14" width="8.7109375" style="469" customWidth="1"/>
    <col min="15" max="17" width="8.28515625" style="469" customWidth="1"/>
    <col min="18" max="18" width="9.28515625" style="469" customWidth="1"/>
    <col min="19" max="21" width="10" style="469" customWidth="1"/>
    <col min="22" max="25" width="8.28515625" style="469" customWidth="1"/>
    <col min="26" max="26" width="10.7109375" style="440" customWidth="1"/>
    <col min="27" max="27" width="9.28515625" style="440" customWidth="1"/>
    <col min="28" max="16384" width="12.5703125" style="440"/>
  </cols>
  <sheetData>
    <row r="1" spans="1:27" s="1427" customFormat="1">
      <c r="A1" s="1424" t="s">
        <v>166</v>
      </c>
      <c r="B1" s="1424"/>
      <c r="C1" s="1425"/>
      <c r="D1" s="1425"/>
      <c r="E1" s="1425"/>
      <c r="F1" s="1425"/>
      <c r="G1" s="1425"/>
      <c r="H1" s="1425"/>
      <c r="I1" s="1425"/>
      <c r="J1" s="1425"/>
      <c r="K1" s="1426"/>
      <c r="L1" s="1425"/>
      <c r="M1" s="1425"/>
      <c r="N1" s="1425"/>
      <c r="O1" s="1425"/>
      <c r="P1" s="1425"/>
      <c r="Q1" s="1425"/>
      <c r="R1" s="1425"/>
      <c r="S1" s="1425"/>
      <c r="T1" s="1425"/>
      <c r="U1" s="1425"/>
      <c r="V1" s="1425"/>
      <c r="W1" s="1425"/>
      <c r="X1" s="1425"/>
      <c r="Y1" s="1425"/>
    </row>
    <row r="2" spans="1:27" s="1427" customFormat="1">
      <c r="A2" s="1424"/>
      <c r="B2" s="1424"/>
      <c r="C2" s="1425"/>
      <c r="D2" s="1425"/>
      <c r="E2" s="1425"/>
      <c r="F2" s="1425"/>
      <c r="G2" s="1425"/>
      <c r="H2" s="1425"/>
      <c r="I2" s="1425"/>
      <c r="J2" s="1425"/>
      <c r="K2" s="1425"/>
      <c r="L2" s="1425"/>
      <c r="M2" s="1425"/>
      <c r="N2" s="1425"/>
      <c r="O2" s="1425"/>
      <c r="P2" s="1425"/>
      <c r="Q2" s="1425"/>
      <c r="R2" s="1425"/>
      <c r="S2" s="1425"/>
      <c r="T2" s="1425"/>
      <c r="U2" s="1425"/>
      <c r="V2" s="1425"/>
      <c r="W2" s="1425"/>
      <c r="X2" s="1425"/>
      <c r="Y2" s="1425"/>
    </row>
    <row r="3" spans="1:27" s="1427" customFormat="1">
      <c r="A3" s="1424" t="str">
        <f>+'76'!A3</f>
        <v>SERVICIO DE SALUD   ACONCAGUA   2023</v>
      </c>
      <c r="B3" s="1424"/>
      <c r="C3" s="1425"/>
      <c r="D3" s="1425"/>
      <c r="E3" s="1425"/>
      <c r="F3" s="1425"/>
      <c r="G3" s="1425"/>
      <c r="H3" s="1425"/>
      <c r="I3" s="1425"/>
      <c r="J3" s="1425"/>
      <c r="K3" s="1425"/>
      <c r="L3" s="1425"/>
      <c r="M3" s="1425"/>
      <c r="N3" s="1425"/>
      <c r="O3" s="1425"/>
      <c r="P3" s="1425"/>
      <c r="Q3" s="1425"/>
      <c r="R3" s="1425"/>
      <c r="S3" s="1425"/>
      <c r="T3" s="1425"/>
      <c r="U3" s="1425"/>
      <c r="V3" s="1425"/>
      <c r="W3" s="1425"/>
      <c r="X3" s="1425"/>
      <c r="Y3" s="1425"/>
    </row>
    <row r="4" spans="1:27">
      <c r="A4" s="439"/>
      <c r="B4" s="439"/>
      <c r="C4" s="439"/>
      <c r="D4" s="439"/>
      <c r="E4" s="439"/>
      <c r="F4" s="439"/>
      <c r="G4" s="439"/>
      <c r="H4" s="439"/>
      <c r="I4" s="439"/>
      <c r="J4" s="439"/>
      <c r="K4" s="439"/>
      <c r="L4" s="439"/>
      <c r="M4" s="439"/>
      <c r="N4" s="439"/>
      <c r="O4" s="439"/>
      <c r="P4" s="439"/>
      <c r="Q4" s="439"/>
      <c r="R4" s="439"/>
      <c r="S4" s="439"/>
      <c r="T4" s="439"/>
      <c r="U4" s="439"/>
      <c r="V4" s="439"/>
      <c r="W4" s="439"/>
      <c r="X4" s="439"/>
      <c r="Y4" s="439"/>
    </row>
    <row r="5" spans="1:27">
      <c r="A5" s="439"/>
      <c r="B5" s="439"/>
      <c r="C5" s="439"/>
      <c r="D5" s="439"/>
      <c r="E5" s="439"/>
      <c r="F5" s="439"/>
      <c r="G5" s="439"/>
      <c r="H5" s="439"/>
      <c r="I5" s="439"/>
      <c r="J5" s="439"/>
      <c r="K5" s="439"/>
      <c r="L5" s="439"/>
      <c r="M5" s="439"/>
      <c r="N5" s="439"/>
      <c r="O5" s="439"/>
      <c r="P5" s="439"/>
      <c r="Q5" s="439"/>
      <c r="R5" s="439"/>
      <c r="S5" s="439"/>
      <c r="T5" s="439"/>
      <c r="U5" s="439"/>
      <c r="V5" s="439"/>
      <c r="W5" s="439"/>
      <c r="X5" s="439"/>
      <c r="Y5" s="439"/>
    </row>
    <row r="6" spans="1:27">
      <c r="A6" s="439"/>
      <c r="B6" s="439"/>
      <c r="C6" s="439"/>
      <c r="D6" s="439"/>
      <c r="E6" s="439"/>
      <c r="F6" s="439"/>
      <c r="G6" s="439"/>
      <c r="H6" s="439"/>
      <c r="I6" s="439"/>
      <c r="J6" s="439"/>
      <c r="K6" s="439"/>
      <c r="L6" s="439"/>
      <c r="M6" s="439"/>
      <c r="N6" s="439"/>
      <c r="O6" s="439"/>
      <c r="P6" s="439"/>
      <c r="Q6" s="439"/>
      <c r="R6" s="439"/>
      <c r="S6" s="439"/>
      <c r="T6" s="439"/>
      <c r="U6" s="439"/>
      <c r="V6" s="439"/>
      <c r="W6" s="439"/>
      <c r="X6" s="439"/>
      <c r="Y6" s="439"/>
    </row>
    <row r="7" spans="1:27">
      <c r="A7" s="439"/>
      <c r="B7" s="439"/>
      <c r="C7" s="439"/>
      <c r="D7" s="439"/>
      <c r="E7" s="439"/>
      <c r="F7" s="439"/>
      <c r="G7" s="439"/>
      <c r="H7" s="439"/>
      <c r="I7" s="439"/>
      <c r="J7" s="439"/>
      <c r="K7" s="439"/>
      <c r="L7" s="439"/>
      <c r="M7" s="439"/>
      <c r="N7" s="439"/>
      <c r="O7" s="439"/>
      <c r="P7" s="439"/>
      <c r="Q7" s="439"/>
      <c r="R7" s="439"/>
      <c r="S7" s="439"/>
      <c r="T7" s="439"/>
      <c r="U7" s="439"/>
      <c r="V7" s="439"/>
      <c r="W7" s="439"/>
      <c r="X7" s="439"/>
      <c r="Y7" s="439"/>
    </row>
    <row r="8" spans="1:27" ht="15.75">
      <c r="A8" s="442"/>
      <c r="B8" s="442"/>
      <c r="C8" s="442"/>
      <c r="D8" s="442"/>
      <c r="E8" s="442"/>
      <c r="F8" s="442"/>
      <c r="G8" s="442"/>
      <c r="H8" s="442"/>
      <c r="I8" s="442"/>
      <c r="J8" s="442"/>
      <c r="K8" s="442"/>
      <c r="L8" s="442"/>
      <c r="M8" s="442"/>
      <c r="N8" s="442"/>
      <c r="O8" s="442"/>
      <c r="P8" s="442"/>
      <c r="Q8" s="442"/>
      <c r="R8" s="442"/>
      <c r="S8" s="442"/>
      <c r="T8" s="442"/>
      <c r="U8" s="442"/>
      <c r="V8" s="442"/>
      <c r="W8" s="442"/>
      <c r="X8" s="442"/>
      <c r="Y8" s="442"/>
      <c r="Z8" s="441"/>
      <c r="AA8" s="441"/>
    </row>
    <row r="9" spans="1:27" s="444" customFormat="1" ht="21.75" customHeight="1">
      <c r="A9" s="1390"/>
      <c r="B9" s="1436"/>
      <c r="C9" s="1391"/>
      <c r="D9" s="1392"/>
      <c r="E9" s="1627" t="s">
        <v>129</v>
      </c>
      <c r="F9" s="1627"/>
      <c r="G9" s="1627"/>
      <c r="H9" s="1627"/>
      <c r="I9" s="1627"/>
      <c r="J9" s="1627"/>
      <c r="K9" s="1627"/>
      <c r="L9" s="1627"/>
      <c r="M9" s="1627"/>
      <c r="N9" s="1627"/>
      <c r="O9" s="1627"/>
      <c r="P9" s="1393"/>
      <c r="Q9" s="1625" t="s">
        <v>130</v>
      </c>
      <c r="R9" s="1394" t="s">
        <v>131</v>
      </c>
      <c r="S9" s="1395"/>
      <c r="T9" s="1396" t="s">
        <v>132</v>
      </c>
      <c r="U9" s="1397"/>
      <c r="V9" s="1394" t="s">
        <v>133</v>
      </c>
      <c r="W9" s="1398"/>
      <c r="X9" s="1398"/>
      <c r="Y9" s="1395"/>
      <c r="Z9" s="443"/>
      <c r="AA9" s="443"/>
    </row>
    <row r="10" spans="1:27" s="444" customFormat="1" ht="19.5" customHeight="1">
      <c r="A10" s="1399" t="s">
        <v>134</v>
      </c>
      <c r="B10" s="1399" t="s">
        <v>1088</v>
      </c>
      <c r="C10" s="1400"/>
      <c r="D10" s="1401" t="s">
        <v>135</v>
      </c>
      <c r="E10" s="1402" t="s">
        <v>136</v>
      </c>
      <c r="F10" s="1403"/>
      <c r="G10" s="1403"/>
      <c r="H10" s="1403"/>
      <c r="I10" s="1403"/>
      <c r="J10" s="1403"/>
      <c r="K10" s="1404"/>
      <c r="L10" s="1405" t="s">
        <v>137</v>
      </c>
      <c r="M10" s="1405"/>
      <c r="N10" s="1405"/>
      <c r="O10" s="1405"/>
      <c r="P10" s="1401" t="s">
        <v>135</v>
      </c>
      <c r="Q10" s="1626"/>
      <c r="R10" s="1406"/>
      <c r="S10" s="1407"/>
      <c r="T10" s="1408"/>
      <c r="U10" s="1408"/>
      <c r="V10" s="1409"/>
      <c r="W10" s="1410"/>
      <c r="X10" s="1410"/>
      <c r="Y10" s="1411"/>
      <c r="Z10" s="443"/>
      <c r="AA10" s="443"/>
    </row>
    <row r="11" spans="1:27" s="444" customFormat="1" ht="36" customHeight="1">
      <c r="A11" s="1399" t="s">
        <v>138</v>
      </c>
      <c r="B11" s="1399" t="s">
        <v>1089</v>
      </c>
      <c r="C11" s="1412" t="s">
        <v>139</v>
      </c>
      <c r="D11" s="1412" t="s">
        <v>140</v>
      </c>
      <c r="E11" s="1413" t="s">
        <v>957</v>
      </c>
      <c r="F11" s="1414" t="s">
        <v>955</v>
      </c>
      <c r="G11" s="1414" t="s">
        <v>141</v>
      </c>
      <c r="H11" s="1415" t="s">
        <v>142</v>
      </c>
      <c r="I11" s="1415" t="s">
        <v>143</v>
      </c>
      <c r="J11" s="1416" t="s">
        <v>1565</v>
      </c>
      <c r="K11" s="1414" t="s">
        <v>474</v>
      </c>
      <c r="L11" s="1417" t="s">
        <v>144</v>
      </c>
      <c r="M11" s="1415" t="s">
        <v>145</v>
      </c>
      <c r="N11" s="1418" t="s">
        <v>146</v>
      </c>
      <c r="O11" s="1414" t="s">
        <v>474</v>
      </c>
      <c r="P11" s="1412" t="s">
        <v>147</v>
      </c>
      <c r="Q11" s="1419" t="s">
        <v>148</v>
      </c>
      <c r="R11" s="1420" t="s">
        <v>149</v>
      </c>
      <c r="S11" s="1414" t="s">
        <v>150</v>
      </c>
      <c r="T11" s="1414" t="s">
        <v>474</v>
      </c>
      <c r="U11" s="1421" t="s">
        <v>151</v>
      </c>
      <c r="V11" s="1415" t="s">
        <v>152</v>
      </c>
      <c r="W11" s="1415" t="s">
        <v>153</v>
      </c>
      <c r="X11" s="1422" t="s">
        <v>154</v>
      </c>
      <c r="Y11" s="1423" t="s">
        <v>155</v>
      </c>
      <c r="Z11" s="443"/>
      <c r="AA11" s="443"/>
    </row>
    <row r="12" spans="1:27" ht="23.25" customHeight="1">
      <c r="A12" s="446" t="s">
        <v>582</v>
      </c>
      <c r="B12" s="1170"/>
      <c r="C12" s="1171">
        <f>SUM(C14:C27)</f>
        <v>168</v>
      </c>
      <c r="D12" s="935">
        <f t="shared" ref="D12:U12" si="0">SUM(D14:D27)</f>
        <v>108</v>
      </c>
      <c r="E12" s="935">
        <f t="shared" si="0"/>
        <v>5087</v>
      </c>
      <c r="F12" s="935">
        <f t="shared" si="0"/>
        <v>0</v>
      </c>
      <c r="G12" s="935">
        <f t="shared" si="0"/>
        <v>2070</v>
      </c>
      <c r="H12" s="935">
        <f t="shared" si="0"/>
        <v>0</v>
      </c>
      <c r="I12" s="935">
        <f t="shared" si="0"/>
        <v>725</v>
      </c>
      <c r="J12" s="935">
        <f t="shared" si="0"/>
        <v>2297</v>
      </c>
      <c r="K12" s="935">
        <f>SUM(K14:K27)-J12</f>
        <v>7882</v>
      </c>
      <c r="L12" s="935">
        <f t="shared" si="0"/>
        <v>7637</v>
      </c>
      <c r="M12" s="926">
        <f t="shared" si="0"/>
        <v>2284</v>
      </c>
      <c r="N12" s="935">
        <f t="shared" si="0"/>
        <v>230</v>
      </c>
      <c r="O12" s="1172">
        <f>L12+N12</f>
        <v>7867</v>
      </c>
      <c r="P12" s="935">
        <f t="shared" si="0"/>
        <v>136</v>
      </c>
      <c r="Q12" s="935">
        <f t="shared" si="0"/>
        <v>313</v>
      </c>
      <c r="R12" s="935">
        <f t="shared" si="0"/>
        <v>57360</v>
      </c>
      <c r="S12" s="935">
        <f t="shared" si="0"/>
        <v>45822</v>
      </c>
      <c r="T12" s="935">
        <f t="shared" si="0"/>
        <v>46531</v>
      </c>
      <c r="U12" s="935">
        <f t="shared" si="0"/>
        <v>44807</v>
      </c>
      <c r="V12" s="1173">
        <f>S12/R12*100</f>
        <v>79.88493723849372</v>
      </c>
      <c r="W12" s="1174">
        <f>+T12/O12</f>
        <v>5.914707003940511</v>
      </c>
      <c r="X12" s="654">
        <f>+O12/(R12/30.4)</f>
        <v>4.169400278940028</v>
      </c>
      <c r="Y12" s="1175">
        <f>(+R12-S12)/O12</f>
        <v>1.4666327697978898</v>
      </c>
      <c r="Z12" s="441"/>
      <c r="AA12" s="441"/>
    </row>
    <row r="13" spans="1:27" ht="23.25" customHeight="1">
      <c r="A13" s="648" t="s">
        <v>1199</v>
      </c>
      <c r="B13" s="649">
        <v>401</v>
      </c>
      <c r="C13" s="1172"/>
      <c r="D13" s="1177"/>
      <c r="E13" s="1172"/>
      <c r="F13" s="1177"/>
      <c r="G13" s="1177"/>
      <c r="H13" s="1177"/>
      <c r="I13" s="1177"/>
      <c r="J13" s="1177"/>
      <c r="K13" s="1172"/>
      <c r="L13" s="1177"/>
      <c r="M13" s="1172"/>
      <c r="N13" s="1177"/>
      <c r="O13" s="1172"/>
      <c r="P13" s="1177"/>
      <c r="Q13" s="1177"/>
      <c r="R13" s="1177"/>
      <c r="S13" s="1172"/>
      <c r="T13" s="1177"/>
      <c r="U13" s="1172"/>
      <c r="V13" s="1173"/>
      <c r="W13" s="1174"/>
      <c r="X13" s="654"/>
      <c r="Y13" s="1175"/>
      <c r="Z13" s="441"/>
      <c r="AA13" s="441"/>
    </row>
    <row r="14" spans="1:27" ht="23.25" customHeight="1">
      <c r="A14" s="648" t="s">
        <v>1090</v>
      </c>
      <c r="B14" s="649">
        <v>403</v>
      </c>
      <c r="C14" s="1180">
        <v>85</v>
      </c>
      <c r="D14" s="1182">
        <v>0</v>
      </c>
      <c r="E14" s="1181">
        <v>2111</v>
      </c>
      <c r="F14" s="1183"/>
      <c r="G14" s="1183">
        <v>582</v>
      </c>
      <c r="H14" s="1183"/>
      <c r="I14" s="1183">
        <v>63</v>
      </c>
      <c r="J14" s="1183">
        <v>926</v>
      </c>
      <c r="K14" s="1172">
        <f>SUM(E14:J14)</f>
        <v>3682</v>
      </c>
      <c r="L14" s="1183">
        <v>2783</v>
      </c>
      <c r="M14" s="1181">
        <v>735</v>
      </c>
      <c r="N14" s="1183">
        <v>136</v>
      </c>
      <c r="O14" s="1180">
        <f>SUM(L14:N14)</f>
        <v>3654</v>
      </c>
      <c r="P14" s="1177">
        <f>SUM(D14,K14)-O14</f>
        <v>28</v>
      </c>
      <c r="Q14" s="1183">
        <v>97</v>
      </c>
      <c r="R14" s="458">
        <v>23841</v>
      </c>
      <c r="S14" s="1181">
        <v>21787</v>
      </c>
      <c r="T14" s="1183">
        <v>21941</v>
      </c>
      <c r="U14" s="1181">
        <v>20997</v>
      </c>
      <c r="V14" s="1173">
        <f>S14/R14*100</f>
        <v>91.384589572585043</v>
      </c>
      <c r="W14" s="1174">
        <f>+T14/O14</f>
        <v>6.0046524356869186</v>
      </c>
      <c r="X14" s="654">
        <f>+O14/(R14/30.4)</f>
        <v>4.6592676481691209</v>
      </c>
      <c r="Y14" s="1175">
        <f>(+R14-S14)/O14</f>
        <v>0.56212370005473455</v>
      </c>
      <c r="Z14" s="441"/>
      <c r="AA14" s="441"/>
    </row>
    <row r="15" spans="1:27" ht="23.25" customHeight="1">
      <c r="A15" s="648" t="s">
        <v>1091</v>
      </c>
      <c r="B15" s="649">
        <v>404</v>
      </c>
      <c r="C15" s="1180">
        <v>12</v>
      </c>
      <c r="D15" s="1182">
        <v>61</v>
      </c>
      <c r="E15" s="1180">
        <v>1227</v>
      </c>
      <c r="F15" s="1179"/>
      <c r="G15" s="1179">
        <v>842</v>
      </c>
      <c r="H15" s="1179"/>
      <c r="I15" s="1179">
        <v>18</v>
      </c>
      <c r="J15" s="1179">
        <v>601</v>
      </c>
      <c r="K15" s="1172">
        <f>SUM(E15:J15)</f>
        <v>2688</v>
      </c>
      <c r="L15" s="1183">
        <v>2140</v>
      </c>
      <c r="M15" s="1181">
        <v>540</v>
      </c>
      <c r="N15" s="1183">
        <v>15</v>
      </c>
      <c r="O15" s="1180">
        <f>SUM(L15:N15)</f>
        <v>2695</v>
      </c>
      <c r="P15" s="1177">
        <f>SUM(D15,K15)-O15</f>
        <v>54</v>
      </c>
      <c r="Q15" s="1183">
        <v>64</v>
      </c>
      <c r="R15" s="458">
        <v>14618</v>
      </c>
      <c r="S15" s="1181">
        <v>12750</v>
      </c>
      <c r="T15" s="1183">
        <v>13012</v>
      </c>
      <c r="U15" s="1181">
        <v>12825</v>
      </c>
      <c r="V15" s="1173">
        <f>S15/R15*100</f>
        <v>87.221234094951427</v>
      </c>
      <c r="W15" s="1174">
        <f>+T15/O15</f>
        <v>4.8282003710575143</v>
      </c>
      <c r="X15" s="654">
        <f>+O15/(R15/30.4)</f>
        <v>5.6045970721028864</v>
      </c>
      <c r="Y15" s="1175">
        <f>(+R15-S15)/O15</f>
        <v>0.69313543599257887</v>
      </c>
      <c r="Z15" s="441"/>
      <c r="AA15" s="441"/>
    </row>
    <row r="16" spans="1:27" ht="23.25" customHeight="1">
      <c r="A16" s="453" t="s">
        <v>156</v>
      </c>
      <c r="B16" s="649">
        <v>416</v>
      </c>
      <c r="C16" s="1181">
        <v>18</v>
      </c>
      <c r="D16" s="1182">
        <v>18</v>
      </c>
      <c r="E16" s="1181">
        <v>844</v>
      </c>
      <c r="F16" s="458"/>
      <c r="G16" s="458">
        <v>531</v>
      </c>
      <c r="H16" s="458"/>
      <c r="I16" s="458">
        <v>267</v>
      </c>
      <c r="J16" s="1183">
        <v>110</v>
      </c>
      <c r="K16" s="1172">
        <f t="shared" ref="K16:K26" si="1">SUM(E16:J16)</f>
        <v>1752</v>
      </c>
      <c r="L16" s="1183">
        <v>1603</v>
      </c>
      <c r="M16" s="1181">
        <v>144</v>
      </c>
      <c r="N16" s="1183"/>
      <c r="O16" s="1172">
        <f t="shared" ref="O16:O26" si="2">SUM(L16:N16)</f>
        <v>1747</v>
      </c>
      <c r="P16" s="1177">
        <f t="shared" ref="P16:P26" si="3">SUM(D16,K16)-O16</f>
        <v>23</v>
      </c>
      <c r="Q16" s="1183">
        <v>67</v>
      </c>
      <c r="R16" s="1183">
        <v>7057</v>
      </c>
      <c r="S16" s="1181">
        <v>4284</v>
      </c>
      <c r="T16" s="1183">
        <v>4578</v>
      </c>
      <c r="U16" s="1181">
        <v>4327</v>
      </c>
      <c r="V16" s="1173">
        <f t="shared" ref="V16:V26" si="4">S16/R16*100</f>
        <v>60.705682301261156</v>
      </c>
      <c r="W16" s="1174">
        <f t="shared" ref="W16:W26" si="5">+T16/O16</f>
        <v>2.6204922724670863</v>
      </c>
      <c r="X16" s="654">
        <f t="shared" ref="X16:X26" si="6">+O16/(R16/30.4)</f>
        <v>7.52569080345756</v>
      </c>
      <c r="Y16" s="1175">
        <f t="shared" ref="Y16:Y26" si="7">(+R16-S16)/O16</f>
        <v>1.5872925014310246</v>
      </c>
      <c r="Z16" s="441"/>
      <c r="AA16" s="441"/>
    </row>
    <row r="17" spans="1:27" ht="23.25" customHeight="1">
      <c r="A17" s="648" t="s">
        <v>1092</v>
      </c>
      <c r="B17" s="649">
        <v>407</v>
      </c>
      <c r="C17" s="1181">
        <v>17</v>
      </c>
      <c r="D17" s="1182">
        <v>3</v>
      </c>
      <c r="E17" s="1181">
        <v>406</v>
      </c>
      <c r="F17" s="1183"/>
      <c r="G17" s="1183">
        <v>42</v>
      </c>
      <c r="H17" s="1183"/>
      <c r="I17" s="1183">
        <v>9</v>
      </c>
      <c r="J17" s="1183">
        <v>97</v>
      </c>
      <c r="K17" s="1172">
        <f t="shared" si="1"/>
        <v>554</v>
      </c>
      <c r="L17" s="1183">
        <v>452</v>
      </c>
      <c r="M17" s="1181">
        <v>97</v>
      </c>
      <c r="N17" s="1183">
        <v>2</v>
      </c>
      <c r="O17" s="1172">
        <f t="shared" si="2"/>
        <v>551</v>
      </c>
      <c r="P17" s="1177">
        <f t="shared" si="3"/>
        <v>6</v>
      </c>
      <c r="Q17" s="1183">
        <v>27</v>
      </c>
      <c r="R17" s="1183">
        <v>3599</v>
      </c>
      <c r="S17" s="1181">
        <v>1909</v>
      </c>
      <c r="T17" s="1183">
        <v>2004</v>
      </c>
      <c r="U17" s="1181">
        <v>1943</v>
      </c>
      <c r="V17" s="1173">
        <f t="shared" si="4"/>
        <v>53.042511808835791</v>
      </c>
      <c r="W17" s="1174">
        <f t="shared" si="5"/>
        <v>3.6370235934664246</v>
      </c>
      <c r="X17" s="654">
        <f t="shared" si="6"/>
        <v>4.6541817171436506</v>
      </c>
      <c r="Y17" s="1175">
        <f t="shared" si="7"/>
        <v>3.0671506352087112</v>
      </c>
      <c r="Z17" s="441"/>
      <c r="AA17" s="441"/>
    </row>
    <row r="18" spans="1:27" ht="23.25" customHeight="1">
      <c r="A18" s="648" t="s">
        <v>1093</v>
      </c>
      <c r="B18" s="649">
        <v>409</v>
      </c>
      <c r="C18" s="1181"/>
      <c r="D18" s="1182"/>
      <c r="E18" s="1181"/>
      <c r="F18" s="1183"/>
      <c r="G18" s="1183"/>
      <c r="H18" s="1183"/>
      <c r="I18" s="1183"/>
      <c r="J18" s="1183"/>
      <c r="K18" s="1172"/>
      <c r="L18" s="1183"/>
      <c r="M18" s="1181"/>
      <c r="N18" s="1183"/>
      <c r="O18" s="1172"/>
      <c r="P18" s="1177"/>
      <c r="Q18" s="1183"/>
      <c r="R18" s="1183"/>
      <c r="S18" s="1181"/>
      <c r="T18" s="1183"/>
      <c r="U18" s="1181"/>
      <c r="V18" s="1173"/>
      <c r="W18" s="1174"/>
      <c r="X18" s="654"/>
      <c r="Y18" s="1175"/>
      <c r="Z18" s="441"/>
      <c r="AA18" s="441"/>
    </row>
    <row r="19" spans="1:27" ht="23.25" customHeight="1">
      <c r="A19" s="453" t="s">
        <v>157</v>
      </c>
      <c r="B19" s="649">
        <v>413</v>
      </c>
      <c r="C19" s="1181">
        <v>6</v>
      </c>
      <c r="D19" s="1182">
        <v>1</v>
      </c>
      <c r="E19" s="1181">
        <v>25</v>
      </c>
      <c r="F19" s="1183"/>
      <c r="G19" s="1183">
        <v>45</v>
      </c>
      <c r="H19" s="1183"/>
      <c r="I19" s="1183">
        <v>77</v>
      </c>
      <c r="J19" s="1183">
        <v>16</v>
      </c>
      <c r="K19" s="1172">
        <f t="shared" si="1"/>
        <v>163</v>
      </c>
      <c r="L19" s="1183">
        <v>142</v>
      </c>
      <c r="M19" s="1181">
        <v>21</v>
      </c>
      <c r="N19" s="1183"/>
      <c r="O19" s="1172">
        <f t="shared" si="2"/>
        <v>163</v>
      </c>
      <c r="P19" s="1177">
        <f t="shared" si="3"/>
        <v>1</v>
      </c>
      <c r="Q19" s="1183">
        <v>24</v>
      </c>
      <c r="R19" s="1183">
        <v>1977</v>
      </c>
      <c r="S19" s="1181">
        <v>749</v>
      </c>
      <c r="T19" s="1183">
        <v>492</v>
      </c>
      <c r="U19" s="1181">
        <v>446</v>
      </c>
      <c r="V19" s="1173">
        <f t="shared" si="4"/>
        <v>37.885685381891754</v>
      </c>
      <c r="W19" s="1174">
        <f t="shared" si="5"/>
        <v>3.01840490797546</v>
      </c>
      <c r="X19" s="654">
        <f t="shared" si="6"/>
        <v>2.5064238745574099</v>
      </c>
      <c r="Y19" s="1175">
        <f t="shared" si="7"/>
        <v>7.5337423312883436</v>
      </c>
      <c r="Z19" s="441"/>
      <c r="AA19" s="441"/>
    </row>
    <row r="20" spans="1:27" ht="23.25" customHeight="1">
      <c r="A20" s="648" t="s">
        <v>1267</v>
      </c>
      <c r="B20" s="649">
        <v>411</v>
      </c>
      <c r="C20" s="1181"/>
      <c r="D20" s="1182"/>
      <c r="E20" s="1181"/>
      <c r="F20" s="1183"/>
      <c r="G20" s="1183"/>
      <c r="H20" s="1183"/>
      <c r="I20" s="1183"/>
      <c r="J20" s="1183"/>
      <c r="K20" s="1172"/>
      <c r="L20" s="1183"/>
      <c r="M20" s="1181"/>
      <c r="N20" s="1183"/>
      <c r="O20" s="1172"/>
      <c r="P20" s="1177"/>
      <c r="Q20" s="1183"/>
      <c r="R20" s="1183"/>
      <c r="S20" s="1181"/>
      <c r="T20" s="1183"/>
      <c r="U20" s="1181"/>
      <c r="V20" s="1173"/>
      <c r="W20" s="1174"/>
      <c r="X20" s="654"/>
      <c r="Y20" s="1175"/>
      <c r="Z20" s="441"/>
      <c r="AA20" s="441"/>
    </row>
    <row r="21" spans="1:27" ht="23.25" customHeight="1">
      <c r="A21" s="648" t="s">
        <v>1087</v>
      </c>
      <c r="B21" s="649">
        <v>412</v>
      </c>
      <c r="C21" s="1181"/>
      <c r="D21" s="1182"/>
      <c r="E21" s="1181"/>
      <c r="F21" s="1183"/>
      <c r="G21" s="1183"/>
      <c r="H21" s="1183"/>
      <c r="I21" s="1183"/>
      <c r="J21" s="1183"/>
      <c r="K21" s="1172"/>
      <c r="L21" s="1183"/>
      <c r="M21" s="1181"/>
      <c r="N21" s="1183"/>
      <c r="O21" s="1172"/>
      <c r="P21" s="1177"/>
      <c r="Q21" s="1183"/>
      <c r="R21" s="1183"/>
      <c r="S21" s="1181"/>
      <c r="T21" s="1183"/>
      <c r="U21" s="1181"/>
      <c r="V21" s="1173"/>
      <c r="W21" s="1174"/>
      <c r="X21" s="654"/>
      <c r="Y21" s="1175"/>
      <c r="Z21" s="441"/>
      <c r="AA21" s="441"/>
    </row>
    <row r="22" spans="1:27" ht="23.25" customHeight="1">
      <c r="A22" s="453" t="s">
        <v>158</v>
      </c>
      <c r="B22" s="649">
        <v>414</v>
      </c>
      <c r="C22" s="1181"/>
      <c r="D22" s="1182"/>
      <c r="E22" s="1181"/>
      <c r="F22" s="1183"/>
      <c r="G22" s="1183"/>
      <c r="H22" s="1183"/>
      <c r="I22" s="1183"/>
      <c r="J22" s="1183"/>
      <c r="K22" s="1172"/>
      <c r="L22" s="1183"/>
      <c r="M22" s="1181"/>
      <c r="N22" s="1183"/>
      <c r="O22" s="1172"/>
      <c r="P22" s="1177"/>
      <c r="Q22" s="1183"/>
      <c r="R22" s="1183"/>
      <c r="S22" s="1181"/>
      <c r="T22" s="1183"/>
      <c r="U22" s="1181"/>
      <c r="V22" s="1173"/>
      <c r="W22" s="1174"/>
      <c r="X22" s="654"/>
      <c r="Y22" s="1175"/>
      <c r="Z22" s="441"/>
      <c r="AA22" s="441"/>
    </row>
    <row r="23" spans="1:27" ht="23.25" customHeight="1">
      <c r="A23" s="453" t="s">
        <v>159</v>
      </c>
      <c r="B23" s="649">
        <v>405</v>
      </c>
      <c r="C23" s="1181">
        <v>12</v>
      </c>
      <c r="D23" s="1182">
        <v>2</v>
      </c>
      <c r="E23" s="1181">
        <v>84</v>
      </c>
      <c r="F23" s="1183"/>
      <c r="G23" s="1183">
        <v>1</v>
      </c>
      <c r="H23" s="1183"/>
      <c r="I23" s="1183">
        <v>18</v>
      </c>
      <c r="J23" s="1183">
        <v>94</v>
      </c>
      <c r="K23" s="1172">
        <f t="shared" si="1"/>
        <v>197</v>
      </c>
      <c r="L23" s="1183">
        <v>37</v>
      </c>
      <c r="M23" s="1181">
        <v>111</v>
      </c>
      <c r="N23" s="1183">
        <v>51</v>
      </c>
      <c r="O23" s="1172">
        <f>SUM(L23:N23)</f>
        <v>199</v>
      </c>
      <c r="P23" s="1197">
        <f>SUM(D23,K23)-O23</f>
        <v>0</v>
      </c>
      <c r="Q23" s="1183">
        <v>7</v>
      </c>
      <c r="R23" s="1183">
        <v>2190</v>
      </c>
      <c r="S23" s="1181">
        <v>1504</v>
      </c>
      <c r="T23" s="1183">
        <v>1510</v>
      </c>
      <c r="U23" s="1181">
        <v>1417</v>
      </c>
      <c r="V23" s="1173">
        <f>S23/R23*100</f>
        <v>68.675799086757991</v>
      </c>
      <c r="W23" s="1174">
        <f>+T23/O23</f>
        <v>7.5879396984924625</v>
      </c>
      <c r="X23" s="654">
        <f>+O23/(R23/30.4)</f>
        <v>2.762374429223744</v>
      </c>
      <c r="Y23" s="1175">
        <f>(+R23-S23)/O23</f>
        <v>3.4472361809045227</v>
      </c>
      <c r="Z23" s="441"/>
      <c r="AA23" s="441"/>
    </row>
    <row r="24" spans="1:27" ht="23.25" customHeight="1">
      <c r="A24" s="453" t="s">
        <v>160</v>
      </c>
      <c r="B24" s="649">
        <v>406</v>
      </c>
      <c r="C24" s="1181">
        <v>6</v>
      </c>
      <c r="D24" s="1182">
        <v>13</v>
      </c>
      <c r="E24" s="1181">
        <v>290</v>
      </c>
      <c r="F24" s="1183"/>
      <c r="G24" s="1183">
        <v>8</v>
      </c>
      <c r="H24" s="1183"/>
      <c r="I24" s="1183">
        <v>33</v>
      </c>
      <c r="J24" s="1183">
        <v>286</v>
      </c>
      <c r="K24" s="1172">
        <f t="shared" si="1"/>
        <v>617</v>
      </c>
      <c r="L24" s="1183">
        <v>125</v>
      </c>
      <c r="M24" s="1181">
        <v>470</v>
      </c>
      <c r="N24" s="1183">
        <v>24</v>
      </c>
      <c r="O24" s="1172">
        <f t="shared" si="2"/>
        <v>619</v>
      </c>
      <c r="P24" s="1177">
        <f t="shared" si="3"/>
        <v>11</v>
      </c>
      <c r="Q24" s="1183">
        <v>9</v>
      </c>
      <c r="R24" s="1183">
        <v>2920</v>
      </c>
      <c r="S24" s="1181">
        <v>2065</v>
      </c>
      <c r="T24" s="1183">
        <v>2185</v>
      </c>
      <c r="U24" s="1181">
        <v>2071</v>
      </c>
      <c r="V24" s="1173">
        <f t="shared" si="4"/>
        <v>70.719178082191775</v>
      </c>
      <c r="W24" s="1174">
        <f t="shared" si="5"/>
        <v>3.5298869143780292</v>
      </c>
      <c r="X24" s="654">
        <f t="shared" si="6"/>
        <v>6.4443835616438356</v>
      </c>
      <c r="Y24" s="1175">
        <f t="shared" si="7"/>
        <v>1.3812600969305331</v>
      </c>
      <c r="Z24" s="441"/>
      <c r="AA24" s="441"/>
    </row>
    <row r="25" spans="1:27" ht="23.25" customHeight="1">
      <c r="A25" s="453" t="s">
        <v>699</v>
      </c>
      <c r="B25" s="649">
        <v>415</v>
      </c>
      <c r="C25" s="1181"/>
      <c r="D25" s="1182"/>
      <c r="E25" s="1181"/>
      <c r="F25" s="1183"/>
      <c r="G25" s="1183"/>
      <c r="H25" s="1183"/>
      <c r="I25" s="1183"/>
      <c r="J25" s="1183"/>
      <c r="K25" s="1172"/>
      <c r="L25" s="1183"/>
      <c r="M25" s="1181"/>
      <c r="N25" s="1183"/>
      <c r="O25" s="1172"/>
      <c r="P25" s="1177"/>
      <c r="Q25" s="1183"/>
      <c r="R25" s="1183"/>
      <c r="S25" s="1181"/>
      <c r="T25" s="1183"/>
      <c r="U25" s="1181"/>
      <c r="V25" s="1173"/>
      <c r="W25" s="1174"/>
      <c r="X25" s="654"/>
      <c r="Y25" s="1175"/>
      <c r="Z25" s="441"/>
      <c r="AA25" s="441"/>
    </row>
    <row r="26" spans="1:27" ht="23.25" customHeight="1">
      <c r="A26" s="453" t="s">
        <v>161</v>
      </c>
      <c r="B26" s="649">
        <v>330</v>
      </c>
      <c r="C26" s="1181">
        <v>12</v>
      </c>
      <c r="D26" s="1182">
        <v>10</v>
      </c>
      <c r="E26" s="1181">
        <v>100</v>
      </c>
      <c r="F26" s="1183"/>
      <c r="G26" s="1183">
        <v>19</v>
      </c>
      <c r="H26" s="1183"/>
      <c r="I26" s="1183">
        <v>240</v>
      </c>
      <c r="J26" s="1183">
        <v>167</v>
      </c>
      <c r="K26" s="1172">
        <f t="shared" si="1"/>
        <v>526</v>
      </c>
      <c r="L26" s="1183">
        <v>355</v>
      </c>
      <c r="M26" s="1181">
        <v>166</v>
      </c>
      <c r="N26" s="1183">
        <v>2</v>
      </c>
      <c r="O26" s="1172">
        <f t="shared" si="2"/>
        <v>523</v>
      </c>
      <c r="P26" s="1177">
        <f t="shared" si="3"/>
        <v>13</v>
      </c>
      <c r="Q26" s="1183">
        <v>18</v>
      </c>
      <c r="R26" s="1183">
        <v>1158</v>
      </c>
      <c r="S26" s="1181">
        <v>774</v>
      </c>
      <c r="T26" s="1183">
        <v>809</v>
      </c>
      <c r="U26" s="1181">
        <v>781</v>
      </c>
      <c r="V26" s="1173">
        <f t="shared" si="4"/>
        <v>66.839378238341979</v>
      </c>
      <c r="W26" s="1174">
        <f t="shared" si="5"/>
        <v>1.5468451242829828</v>
      </c>
      <c r="X26" s="654">
        <f t="shared" si="6"/>
        <v>13.729879101899826</v>
      </c>
      <c r="Y26" s="1175">
        <f t="shared" si="7"/>
        <v>0.73422562141491399</v>
      </c>
      <c r="Z26" s="441"/>
      <c r="AA26" s="441"/>
    </row>
    <row r="27" spans="1:27" ht="23.25" customHeight="1">
      <c r="A27" s="459" t="s">
        <v>916</v>
      </c>
      <c r="B27" s="668"/>
      <c r="C27" s="1186"/>
      <c r="D27" s="1187"/>
      <c r="E27" s="1186"/>
      <c r="F27" s="1188"/>
      <c r="G27" s="1188"/>
      <c r="H27" s="1188"/>
      <c r="I27" s="1188"/>
      <c r="J27" s="1187"/>
      <c r="K27" s="1189"/>
      <c r="L27" s="1191"/>
      <c r="M27" s="1186"/>
      <c r="N27" s="1187"/>
      <c r="O27" s="1189"/>
      <c r="P27" s="1190"/>
      <c r="Q27" s="1188"/>
      <c r="R27" s="1191"/>
      <c r="S27" s="1192"/>
      <c r="T27" s="1191"/>
      <c r="U27" s="1192"/>
      <c r="V27" s="1193"/>
      <c r="W27" s="1194"/>
      <c r="X27" s="1195"/>
      <c r="Y27" s="1196"/>
      <c r="Z27" s="441"/>
      <c r="AA27" s="441"/>
    </row>
    <row r="28" spans="1:27" ht="15.75">
      <c r="Z28" s="441"/>
      <c r="AA28" s="441"/>
    </row>
    <row r="29" spans="1:27" ht="15.75">
      <c r="Z29" s="441"/>
      <c r="AA29" s="441"/>
    </row>
    <row r="30" spans="1:27" ht="15.75">
      <c r="Z30" s="441"/>
      <c r="AA30" s="441"/>
    </row>
    <row r="31" spans="1:27">
      <c r="O31" s="470"/>
    </row>
    <row r="32" spans="1:27">
      <c r="D32" s="471"/>
    </row>
    <row r="33" spans="4:4">
      <c r="D33" s="472"/>
    </row>
  </sheetData>
  <mergeCells count="2">
    <mergeCell ref="Q9:Q10"/>
    <mergeCell ref="E9:O9"/>
  </mergeCells>
  <phoneticPr fontId="46"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AA29"/>
  <sheetViews>
    <sheetView zoomScale="75" zoomScaleNormal="75" workbookViewId="0">
      <selection activeCell="J22" sqref="J22"/>
    </sheetView>
  </sheetViews>
  <sheetFormatPr baseColWidth="10" defaultColWidth="11.42578125" defaultRowHeight="12.75"/>
  <cols>
    <col min="1" max="1" width="50.28515625" style="6" customWidth="1"/>
    <col min="2" max="2" width="10" style="6" customWidth="1"/>
    <col min="3" max="14" width="12.28515625" style="6" customWidth="1"/>
    <col min="15" max="16384" width="11.42578125" style="6"/>
  </cols>
  <sheetData>
    <row r="1" spans="1:27" s="1669" customFormat="1">
      <c r="A1" s="1667" t="s">
        <v>1211</v>
      </c>
      <c r="B1" s="1667"/>
      <c r="C1" s="1667"/>
      <c r="D1" s="1667"/>
      <c r="E1" s="1667"/>
      <c r="F1" s="1667"/>
      <c r="G1" s="1667"/>
      <c r="H1" s="1667"/>
      <c r="I1" s="1667"/>
      <c r="J1" s="1667"/>
      <c r="K1" s="1667"/>
      <c r="L1" s="1667"/>
      <c r="M1" s="1667"/>
      <c r="N1" s="1667"/>
      <c r="O1" s="1668"/>
      <c r="P1" s="1668"/>
      <c r="Q1" s="1668"/>
      <c r="R1" s="1668"/>
      <c r="S1" s="1668"/>
      <c r="T1" s="1668"/>
      <c r="U1" s="1668"/>
      <c r="V1" s="1668"/>
      <c r="W1" s="1668"/>
      <c r="X1" s="1668"/>
      <c r="Y1" s="1668"/>
    </row>
    <row r="2" spans="1:27" s="1669" customFormat="1">
      <c r="A2" s="1670"/>
      <c r="B2" s="1670"/>
      <c r="C2" s="1668"/>
      <c r="D2" s="1668"/>
      <c r="E2" s="1668"/>
      <c r="F2" s="1668"/>
      <c r="G2" s="1668"/>
      <c r="H2" s="1668"/>
      <c r="I2" s="1668"/>
      <c r="J2" s="1668"/>
      <c r="K2" s="1668"/>
      <c r="L2" s="1668"/>
      <c r="M2" s="1668"/>
      <c r="N2" s="1668"/>
      <c r="O2" s="1668"/>
      <c r="P2" s="1668"/>
      <c r="Q2" s="1668"/>
      <c r="R2" s="1668"/>
      <c r="S2" s="1668"/>
      <c r="T2" s="1668"/>
      <c r="U2" s="1668"/>
      <c r="V2" s="1668"/>
      <c r="W2" s="1668"/>
      <c r="X2" s="1668"/>
      <c r="Y2" s="1668"/>
    </row>
    <row r="3" spans="1:27" s="1669" customFormat="1">
      <c r="A3" s="1667" t="str">
        <f>+'74'!A3</f>
        <v>SERVICIO DE SALUD   ACONCAGUA   2023</v>
      </c>
      <c r="B3" s="1667"/>
      <c r="C3" s="1667"/>
      <c r="D3" s="1667"/>
      <c r="E3" s="1667"/>
      <c r="F3" s="1667"/>
      <c r="G3" s="1667"/>
      <c r="H3" s="1667"/>
      <c r="I3" s="1667"/>
      <c r="J3" s="1667"/>
      <c r="K3" s="1667"/>
      <c r="L3" s="1667"/>
      <c r="M3" s="1667"/>
      <c r="N3" s="1667"/>
      <c r="O3" s="1668"/>
      <c r="P3" s="1668"/>
      <c r="Q3" s="1668"/>
      <c r="R3" s="1668"/>
      <c r="S3" s="1668"/>
      <c r="T3" s="1668"/>
      <c r="U3" s="1668"/>
      <c r="V3" s="1668"/>
      <c r="W3" s="1668"/>
      <c r="X3" s="1668"/>
      <c r="Y3" s="1668"/>
    </row>
    <row r="4" spans="1:27" s="444" customFormat="1">
      <c r="A4" s="669"/>
      <c r="B4" s="669"/>
      <c r="C4" s="669"/>
      <c r="D4" s="669"/>
      <c r="E4" s="669"/>
      <c r="F4" s="669"/>
      <c r="G4" s="669"/>
      <c r="H4" s="669"/>
      <c r="I4" s="669"/>
      <c r="J4" s="669"/>
      <c r="K4" s="669"/>
      <c r="L4" s="669"/>
      <c r="M4" s="669"/>
      <c r="N4" s="669"/>
      <c r="O4" s="669"/>
      <c r="P4" s="669"/>
      <c r="Q4" s="669"/>
      <c r="R4" s="669"/>
      <c r="S4" s="669"/>
      <c r="T4" s="669"/>
      <c r="U4" s="669"/>
      <c r="V4" s="669"/>
      <c r="W4" s="669"/>
      <c r="X4" s="669"/>
      <c r="Y4" s="669"/>
    </row>
    <row r="5" spans="1:27" s="444" customFormat="1" ht="15.75">
      <c r="A5" s="670"/>
      <c r="B5" s="670"/>
      <c r="C5" s="670"/>
      <c r="D5" s="670"/>
      <c r="E5" s="670"/>
      <c r="F5" s="670"/>
      <c r="G5" s="670"/>
      <c r="H5" s="670"/>
      <c r="I5" s="670"/>
      <c r="J5" s="670"/>
      <c r="K5" s="670"/>
      <c r="L5" s="670"/>
      <c r="M5" s="670"/>
      <c r="N5" s="670"/>
      <c r="O5" s="670"/>
      <c r="P5" s="670"/>
      <c r="Q5" s="670"/>
      <c r="R5" s="670"/>
      <c r="S5" s="670"/>
      <c r="T5" s="670"/>
      <c r="U5" s="670"/>
      <c r="V5" s="670"/>
      <c r="W5" s="670"/>
      <c r="X5" s="670"/>
      <c r="Y5" s="670"/>
      <c r="Z5" s="443"/>
      <c r="AA5" s="443"/>
    </row>
    <row r="6" spans="1:27" ht="21" customHeight="1">
      <c r="A6" s="1429" t="s">
        <v>1122</v>
      </c>
      <c r="B6" s="1251" t="s">
        <v>448</v>
      </c>
      <c r="C6" s="1252" t="s">
        <v>1098</v>
      </c>
      <c r="D6" s="1252" t="s">
        <v>1099</v>
      </c>
      <c r="E6" s="1252" t="s">
        <v>1100</v>
      </c>
      <c r="F6" s="1252" t="s">
        <v>1101</v>
      </c>
      <c r="G6" s="1252" t="s">
        <v>1102</v>
      </c>
      <c r="H6" s="1252" t="s">
        <v>1103</v>
      </c>
      <c r="I6" s="1252" t="s">
        <v>1104</v>
      </c>
      <c r="J6" s="1252" t="s">
        <v>1105</v>
      </c>
      <c r="K6" s="1252" t="s">
        <v>1106</v>
      </c>
      <c r="L6" s="1252" t="s">
        <v>1107</v>
      </c>
      <c r="M6" s="1252" t="s">
        <v>1108</v>
      </c>
      <c r="N6" s="1354" t="s">
        <v>1109</v>
      </c>
      <c r="O6" s="10"/>
    </row>
    <row r="7" spans="1:27" s="8" customFormat="1" ht="25.5" customHeight="1">
      <c r="A7" s="665" t="s">
        <v>1110</v>
      </c>
      <c r="B7" s="358">
        <f>SUM(C7:N7)</f>
        <v>21616</v>
      </c>
      <c r="C7" s="359">
        <v>1133</v>
      </c>
      <c r="D7" s="359">
        <v>5</v>
      </c>
      <c r="E7" s="359">
        <v>0</v>
      </c>
      <c r="F7" s="359">
        <v>8258</v>
      </c>
      <c r="G7" s="359">
        <v>1011</v>
      </c>
      <c r="H7" s="359">
        <v>6</v>
      </c>
      <c r="I7" s="359">
        <v>4265</v>
      </c>
      <c r="J7" s="359">
        <v>6518</v>
      </c>
      <c r="K7" s="359">
        <v>91</v>
      </c>
      <c r="L7" s="359">
        <v>31</v>
      </c>
      <c r="M7" s="359">
        <v>274</v>
      </c>
      <c r="N7" s="360">
        <v>24</v>
      </c>
    </row>
    <row r="8" spans="1:27" s="8" customFormat="1" ht="25.5" customHeight="1">
      <c r="A8" s="666" t="s">
        <v>1119</v>
      </c>
      <c r="B8" s="353">
        <f t="shared" ref="B8:B13" si="0">SUM(C8:N8)</f>
        <v>12683</v>
      </c>
      <c r="C8" s="352">
        <v>674</v>
      </c>
      <c r="D8" s="352">
        <v>2</v>
      </c>
      <c r="E8" s="352">
        <v>0</v>
      </c>
      <c r="F8" s="352">
        <v>4853</v>
      </c>
      <c r="G8" s="352">
        <v>588</v>
      </c>
      <c r="H8" s="352">
        <v>3</v>
      </c>
      <c r="I8" s="352">
        <v>2502</v>
      </c>
      <c r="J8" s="352">
        <v>3815</v>
      </c>
      <c r="K8" s="352">
        <v>53</v>
      </c>
      <c r="L8" s="352">
        <v>18</v>
      </c>
      <c r="M8" s="352">
        <v>163</v>
      </c>
      <c r="N8" s="340">
        <v>12</v>
      </c>
    </row>
    <row r="9" spans="1:27" s="8" customFormat="1" ht="25.5" customHeight="1">
      <c r="A9" s="666" t="s">
        <v>1114</v>
      </c>
      <c r="B9" s="353">
        <f t="shared" si="0"/>
        <v>1468</v>
      </c>
      <c r="C9" s="352">
        <v>84</v>
      </c>
      <c r="D9" s="352">
        <v>0</v>
      </c>
      <c r="E9" s="352">
        <v>0</v>
      </c>
      <c r="F9" s="352">
        <v>574</v>
      </c>
      <c r="G9" s="352">
        <v>68</v>
      </c>
      <c r="H9" s="352">
        <v>0</v>
      </c>
      <c r="I9" s="352">
        <v>292</v>
      </c>
      <c r="J9" s="352">
        <v>445</v>
      </c>
      <c r="K9" s="352">
        <v>5</v>
      </c>
      <c r="L9" s="352">
        <v>0</v>
      </c>
      <c r="M9" s="352">
        <v>0</v>
      </c>
      <c r="N9" s="340">
        <v>0</v>
      </c>
    </row>
    <row r="10" spans="1:27" s="8" customFormat="1" ht="25.5" customHeight="1">
      <c r="A10" s="666" t="s">
        <v>1115</v>
      </c>
      <c r="B10" s="353">
        <f t="shared" si="0"/>
        <v>2018</v>
      </c>
      <c r="C10" s="352">
        <v>109</v>
      </c>
      <c r="D10" s="352">
        <v>0</v>
      </c>
      <c r="E10" s="352">
        <v>0</v>
      </c>
      <c r="F10" s="352">
        <v>786</v>
      </c>
      <c r="G10" s="352">
        <v>96</v>
      </c>
      <c r="H10" s="352">
        <v>0</v>
      </c>
      <c r="I10" s="352">
        <v>403</v>
      </c>
      <c r="J10" s="352">
        <v>616</v>
      </c>
      <c r="K10" s="352">
        <v>8</v>
      </c>
      <c r="L10" s="352">
        <v>0</v>
      </c>
      <c r="M10" s="352">
        <v>0</v>
      </c>
      <c r="N10" s="340">
        <v>0</v>
      </c>
    </row>
    <row r="11" spans="1:27" s="8" customFormat="1" ht="25.5" customHeight="1">
      <c r="A11" s="666" t="s">
        <v>1120</v>
      </c>
      <c r="B11" s="353">
        <f t="shared" si="0"/>
        <v>1894</v>
      </c>
      <c r="C11" s="352">
        <v>102</v>
      </c>
      <c r="D11" s="352">
        <v>0</v>
      </c>
      <c r="E11" s="352">
        <v>0</v>
      </c>
      <c r="F11" s="352">
        <v>719</v>
      </c>
      <c r="G11" s="352">
        <v>92</v>
      </c>
      <c r="H11" s="352">
        <v>0</v>
      </c>
      <c r="I11" s="352">
        <v>378</v>
      </c>
      <c r="J11" s="352">
        <v>570</v>
      </c>
      <c r="K11" s="352">
        <v>6</v>
      </c>
      <c r="L11" s="352">
        <v>2</v>
      </c>
      <c r="M11" s="352">
        <v>25</v>
      </c>
      <c r="N11" s="340">
        <v>0</v>
      </c>
    </row>
    <row r="12" spans="1:27" s="8" customFormat="1" ht="25.5" customHeight="1">
      <c r="A12" s="666" t="s">
        <v>1121</v>
      </c>
      <c r="B12" s="353">
        <f t="shared" si="0"/>
        <v>390</v>
      </c>
      <c r="C12" s="352">
        <v>1</v>
      </c>
      <c r="D12" s="352">
        <v>0</v>
      </c>
      <c r="E12" s="352">
        <v>0</v>
      </c>
      <c r="F12" s="352">
        <v>84</v>
      </c>
      <c r="G12" s="352">
        <v>0</v>
      </c>
      <c r="H12" s="352">
        <v>0</v>
      </c>
      <c r="I12" s="352">
        <v>305</v>
      </c>
      <c r="J12" s="352">
        <v>0</v>
      </c>
      <c r="K12" s="352">
        <v>0</v>
      </c>
      <c r="L12" s="352">
        <v>0</v>
      </c>
      <c r="M12" s="352">
        <v>0</v>
      </c>
      <c r="N12" s="340">
        <v>0</v>
      </c>
    </row>
    <row r="13" spans="1:27" s="8" customFormat="1" ht="25.5" customHeight="1">
      <c r="A13" s="666" t="s">
        <v>1113</v>
      </c>
      <c r="B13" s="353">
        <f t="shared" si="0"/>
        <v>4024</v>
      </c>
      <c r="C13" s="352">
        <v>2</v>
      </c>
      <c r="D13" s="352">
        <v>0</v>
      </c>
      <c r="E13" s="352">
        <v>0</v>
      </c>
      <c r="F13" s="352">
        <v>1128</v>
      </c>
      <c r="G13" s="352">
        <v>68</v>
      </c>
      <c r="H13" s="352">
        <v>0</v>
      </c>
      <c r="I13" s="352">
        <v>257</v>
      </c>
      <c r="J13" s="352">
        <v>2308</v>
      </c>
      <c r="K13" s="352">
        <v>23</v>
      </c>
      <c r="L13" s="352">
        <v>5</v>
      </c>
      <c r="M13" s="352">
        <v>223</v>
      </c>
      <c r="N13" s="340">
        <v>10</v>
      </c>
    </row>
    <row r="14" spans="1:27" s="8" customFormat="1" ht="26.25" customHeight="1">
      <c r="A14" s="667" t="s">
        <v>448</v>
      </c>
      <c r="B14" s="357">
        <f t="shared" ref="B14:N14" si="1">SUM(B7:B13)</f>
        <v>44093</v>
      </c>
      <c r="C14" s="355">
        <f t="shared" si="1"/>
        <v>2105</v>
      </c>
      <c r="D14" s="355">
        <f t="shared" si="1"/>
        <v>7</v>
      </c>
      <c r="E14" s="355">
        <f t="shared" si="1"/>
        <v>0</v>
      </c>
      <c r="F14" s="355">
        <f t="shared" si="1"/>
        <v>16402</v>
      </c>
      <c r="G14" s="355">
        <f t="shared" si="1"/>
        <v>1923</v>
      </c>
      <c r="H14" s="355">
        <f t="shared" si="1"/>
        <v>9</v>
      </c>
      <c r="I14" s="355">
        <f t="shared" si="1"/>
        <v>8402</v>
      </c>
      <c r="J14" s="355">
        <f t="shared" si="1"/>
        <v>14272</v>
      </c>
      <c r="K14" s="355">
        <f t="shared" si="1"/>
        <v>186</v>
      </c>
      <c r="L14" s="355">
        <f t="shared" si="1"/>
        <v>56</v>
      </c>
      <c r="M14" s="355">
        <f t="shared" si="1"/>
        <v>685</v>
      </c>
      <c r="N14" s="356">
        <f t="shared" si="1"/>
        <v>46</v>
      </c>
    </row>
    <row r="18" spans="1:11" ht="21" customHeight="1">
      <c r="A18" s="1090"/>
      <c r="B18" s="1629" t="s">
        <v>131</v>
      </c>
      <c r="C18" s="1629"/>
      <c r="D18" s="1629"/>
      <c r="E18" s="1529" t="s">
        <v>1126</v>
      </c>
      <c r="F18" s="1531"/>
    </row>
    <row r="19" spans="1:11" ht="24" customHeight="1">
      <c r="A19" s="1431" t="s">
        <v>1122</v>
      </c>
      <c r="B19" s="1261" t="s">
        <v>1125</v>
      </c>
      <c r="C19" s="1261" t="s">
        <v>1124</v>
      </c>
      <c r="D19" s="1261" t="s">
        <v>826</v>
      </c>
      <c r="E19" s="1261" t="s">
        <v>448</v>
      </c>
      <c r="F19" s="1261" t="s">
        <v>468</v>
      </c>
    </row>
    <row r="20" spans="1:11" ht="24.75" customHeight="1">
      <c r="A20" s="666" t="s">
        <v>1110</v>
      </c>
      <c r="B20" s="662">
        <f>+'78'!S14</f>
        <v>21787</v>
      </c>
      <c r="C20" s="705">
        <f t="shared" ref="C20:C26" si="2">+B7</f>
        <v>21616</v>
      </c>
      <c r="D20" s="674">
        <f>+C20/B20*100</f>
        <v>99.215128287510908</v>
      </c>
      <c r="E20" s="662">
        <f t="shared" ref="E20:E27" si="3">SUM(M7:N7)</f>
        <v>298</v>
      </c>
      <c r="F20" s="674">
        <f>+E20/B7*100</f>
        <v>1.3786084381939303</v>
      </c>
      <c r="H20" s="609"/>
      <c r="K20" s="94"/>
    </row>
    <row r="21" spans="1:11" ht="24.75" customHeight="1">
      <c r="A21" s="666" t="s">
        <v>1119</v>
      </c>
      <c r="B21" s="664">
        <f>+'78'!S15</f>
        <v>12750</v>
      </c>
      <c r="C21" s="235">
        <f t="shared" si="2"/>
        <v>12683</v>
      </c>
      <c r="D21" s="675">
        <f t="shared" ref="D21:D27" si="4">+C21/B21*100</f>
        <v>99.474509803921578</v>
      </c>
      <c r="E21" s="664">
        <f t="shared" si="3"/>
        <v>175</v>
      </c>
      <c r="F21" s="675">
        <f>+E21/B8*100</f>
        <v>1.3797997319246236</v>
      </c>
      <c r="K21" s="94"/>
    </row>
    <row r="22" spans="1:11" ht="24.75" customHeight="1">
      <c r="A22" s="666" t="s">
        <v>1114</v>
      </c>
      <c r="B22" s="664">
        <f>+'78'!S23</f>
        <v>1504</v>
      </c>
      <c r="C22" s="235">
        <f t="shared" si="2"/>
        <v>1468</v>
      </c>
      <c r="D22" s="675">
        <f>+C22/B22*100</f>
        <v>97.606382978723403</v>
      </c>
      <c r="E22" s="664">
        <f t="shared" si="3"/>
        <v>0</v>
      </c>
      <c r="F22" s="675">
        <f>+E22/B9*100</f>
        <v>0</v>
      </c>
      <c r="K22" s="94"/>
    </row>
    <row r="23" spans="1:11" ht="24.75" customHeight="1">
      <c r="A23" s="666" t="s">
        <v>1115</v>
      </c>
      <c r="B23" s="664">
        <f>+'78'!S24</f>
        <v>2065</v>
      </c>
      <c r="C23" s="235">
        <f t="shared" si="2"/>
        <v>2018</v>
      </c>
      <c r="D23" s="675">
        <f>+C23/B23*100</f>
        <v>97.723970944309926</v>
      </c>
      <c r="E23" s="664">
        <f t="shared" si="3"/>
        <v>0</v>
      </c>
      <c r="F23" s="675">
        <f>+E23/B9*100</f>
        <v>0</v>
      </c>
      <c r="K23" s="94"/>
    </row>
    <row r="24" spans="1:11" ht="24.75" customHeight="1">
      <c r="A24" s="666" t="s">
        <v>1120</v>
      </c>
      <c r="B24" s="664">
        <f>+'78'!S17</f>
        <v>1909</v>
      </c>
      <c r="C24" s="235">
        <f t="shared" si="2"/>
        <v>1894</v>
      </c>
      <c r="D24" s="675">
        <f t="shared" si="4"/>
        <v>99.214248297537978</v>
      </c>
      <c r="E24" s="664">
        <f t="shared" si="3"/>
        <v>25</v>
      </c>
      <c r="F24" s="675">
        <f>+E24/B11*100</f>
        <v>1.3199577613516367</v>
      </c>
    </row>
    <row r="25" spans="1:11" ht="24.75" customHeight="1">
      <c r="A25" s="666" t="s">
        <v>1121</v>
      </c>
      <c r="B25" s="664">
        <f>+'78'!S19</f>
        <v>749</v>
      </c>
      <c r="C25" s="235">
        <f t="shared" si="2"/>
        <v>390</v>
      </c>
      <c r="D25" s="675">
        <f t="shared" si="4"/>
        <v>52.069425901201605</v>
      </c>
      <c r="E25" s="664">
        <f t="shared" si="3"/>
        <v>0</v>
      </c>
      <c r="F25" s="675">
        <f>+E25/B12*100</f>
        <v>0</v>
      </c>
    </row>
    <row r="26" spans="1:11" ht="24.75" customHeight="1">
      <c r="A26" s="666" t="s">
        <v>1113</v>
      </c>
      <c r="B26" s="664">
        <f>+'78'!S16</f>
        <v>4284</v>
      </c>
      <c r="C26" s="235">
        <f t="shared" si="2"/>
        <v>4024</v>
      </c>
      <c r="D26" s="675">
        <f t="shared" si="4"/>
        <v>93.930905695611571</v>
      </c>
      <c r="E26" s="664">
        <f t="shared" si="3"/>
        <v>233</v>
      </c>
      <c r="F26" s="675">
        <f>+E26/B13*100</f>
        <v>5.7902584493041749</v>
      </c>
      <c r="I26" s="589"/>
    </row>
    <row r="27" spans="1:11" ht="22.5" customHeight="1">
      <c r="A27" s="667" t="s">
        <v>448</v>
      </c>
      <c r="B27" s="393">
        <f>SUM(B20:B26)</f>
        <v>45048</v>
      </c>
      <c r="C27" s="237">
        <f>SUM(C20:C26)</f>
        <v>44093</v>
      </c>
      <c r="D27" s="676">
        <f t="shared" si="4"/>
        <v>97.880039069437046</v>
      </c>
      <c r="E27" s="393">
        <f t="shared" si="3"/>
        <v>731</v>
      </c>
      <c r="F27" s="677">
        <f>+E27/B14*100</f>
        <v>1.6578595241875129</v>
      </c>
    </row>
    <row r="29" spans="1:11">
      <c r="B29" s="94"/>
      <c r="C29" s="94"/>
    </row>
  </sheetData>
  <mergeCells count="4">
    <mergeCell ref="A1:N1"/>
    <mergeCell ref="A3:N3"/>
    <mergeCell ref="B18:D18"/>
    <mergeCell ref="E18:F18"/>
  </mergeCells>
  <pageMargins left="1.1023622047244095" right="0.70866141732283472" top="0.74803149606299213" bottom="0.74803149606299213" header="0.31496062992125984" footer="0.31496062992125984"/>
  <pageSetup paperSize="5" scale="70" orientation="landscape" r:id="rId1"/>
  <ignoredErrors>
    <ignoredError sqref="E24:E26 E27 E20:E21" formulaRange="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ransitionEvaluation="1"/>
  <dimension ref="A1:AA33"/>
  <sheetViews>
    <sheetView showGridLines="0" zoomScale="75" workbookViewId="0">
      <selection sqref="A1:XFD4"/>
    </sheetView>
  </sheetViews>
  <sheetFormatPr baseColWidth="10" defaultColWidth="12.5703125" defaultRowHeight="12.75"/>
  <cols>
    <col min="1" max="1" width="31.5703125" style="469" customWidth="1"/>
    <col min="2" max="2" width="9.42578125" style="469" customWidth="1"/>
    <col min="3" max="3" width="8.28515625" style="469" customWidth="1"/>
    <col min="4" max="4" width="8.42578125" style="469" customWidth="1"/>
    <col min="5" max="9" width="8.28515625" style="469" customWidth="1"/>
    <col min="10" max="10" width="7" style="469" customWidth="1"/>
    <col min="11" max="12" width="8.28515625" style="469" customWidth="1"/>
    <col min="13" max="13" width="9.28515625" style="469" customWidth="1"/>
    <col min="14" max="17" width="8.28515625" style="469" customWidth="1"/>
    <col min="18" max="21" width="9" style="469" customWidth="1"/>
    <col min="22" max="22" width="8.28515625" style="469" customWidth="1"/>
    <col min="23" max="23" width="8.7109375" style="469" customWidth="1"/>
    <col min="24" max="25" width="9.7109375" style="469" customWidth="1"/>
    <col min="26" max="26" width="10.7109375" style="440" customWidth="1"/>
    <col min="27" max="27" width="9.28515625" style="440" customWidth="1"/>
    <col min="28" max="16384" width="12.5703125" style="440"/>
  </cols>
  <sheetData>
    <row r="1" spans="1:27" s="1427" customFormat="1">
      <c r="A1" s="1424" t="s">
        <v>167</v>
      </c>
      <c r="B1" s="1424"/>
      <c r="C1" s="1425"/>
      <c r="D1" s="1425"/>
      <c r="E1" s="1425"/>
      <c r="F1" s="1425"/>
      <c r="G1" s="1425"/>
      <c r="H1" s="1425"/>
      <c r="I1" s="1425"/>
      <c r="J1" s="1425"/>
      <c r="K1" s="1426"/>
      <c r="L1" s="1425"/>
      <c r="M1" s="1425"/>
      <c r="N1" s="1425"/>
      <c r="O1" s="1425"/>
      <c r="P1" s="1425"/>
      <c r="Q1" s="1425"/>
      <c r="R1" s="1425"/>
      <c r="S1" s="1425"/>
      <c r="T1" s="1425"/>
      <c r="U1" s="1425"/>
      <c r="V1" s="1425"/>
      <c r="W1" s="1425"/>
      <c r="X1" s="1425"/>
      <c r="Y1" s="1425"/>
    </row>
    <row r="2" spans="1:27" s="1427" customFormat="1">
      <c r="A2" s="1424"/>
      <c r="B2" s="1424"/>
      <c r="C2" s="1425"/>
      <c r="D2" s="1425"/>
      <c r="E2" s="1425"/>
      <c r="F2" s="1425"/>
      <c r="G2" s="1425"/>
      <c r="H2" s="1425"/>
      <c r="I2" s="1425"/>
      <c r="J2" s="1425"/>
      <c r="K2" s="1425"/>
      <c r="L2" s="1425"/>
      <c r="M2" s="1425"/>
      <c r="N2" s="1425"/>
      <c r="O2" s="1425"/>
      <c r="P2" s="1425"/>
      <c r="Q2" s="1425"/>
      <c r="R2" s="1425"/>
      <c r="S2" s="1425"/>
      <c r="T2" s="1425"/>
      <c r="U2" s="1425"/>
      <c r="V2" s="1425"/>
      <c r="W2" s="1425"/>
      <c r="X2" s="1425"/>
      <c r="Y2" s="1425"/>
    </row>
    <row r="3" spans="1:27" s="1427" customFormat="1">
      <c r="A3" s="1424" t="str">
        <f>+'76'!A3</f>
        <v>SERVICIO DE SALUD   ACONCAGUA   2023</v>
      </c>
      <c r="B3" s="1424"/>
      <c r="C3" s="1425"/>
      <c r="D3" s="1425"/>
      <c r="E3" s="1425"/>
      <c r="F3" s="1425"/>
      <c r="G3" s="1425"/>
      <c r="H3" s="1425"/>
      <c r="I3" s="1425"/>
      <c r="J3" s="1425"/>
      <c r="K3" s="1425"/>
      <c r="L3" s="1425"/>
      <c r="M3" s="1425"/>
      <c r="N3" s="1425"/>
      <c r="O3" s="1425"/>
      <c r="P3" s="1425"/>
      <c r="Q3" s="1425"/>
      <c r="R3" s="1425"/>
      <c r="S3" s="1425"/>
      <c r="T3" s="1425"/>
      <c r="U3" s="1425"/>
      <c r="V3" s="1425"/>
      <c r="W3" s="1425"/>
      <c r="X3" s="1425"/>
      <c r="Y3" s="1425"/>
    </row>
    <row r="4" spans="1:27" s="1427" customFormat="1">
      <c r="A4" s="1425"/>
      <c r="B4" s="1425"/>
      <c r="C4" s="1425"/>
      <c r="D4" s="1425"/>
      <c r="E4" s="1425"/>
      <c r="F4" s="1425"/>
      <c r="G4" s="1425"/>
      <c r="H4" s="1425"/>
      <c r="I4" s="1425"/>
      <c r="J4" s="1425"/>
      <c r="K4" s="1425"/>
      <c r="L4" s="1425"/>
      <c r="M4" s="1425"/>
      <c r="N4" s="1425"/>
      <c r="O4" s="1425"/>
      <c r="P4" s="1425"/>
      <c r="Q4" s="1425"/>
      <c r="R4" s="1425"/>
      <c r="S4" s="1425"/>
      <c r="T4" s="1425"/>
      <c r="U4" s="1425"/>
      <c r="V4" s="1425"/>
      <c r="W4" s="1425"/>
      <c r="X4" s="1425"/>
      <c r="Y4" s="1425"/>
    </row>
    <row r="5" spans="1:27">
      <c r="A5" s="439"/>
      <c r="B5" s="439"/>
      <c r="C5" s="439"/>
      <c r="D5" s="439"/>
      <c r="E5" s="439"/>
      <c r="F5" s="439"/>
      <c r="G5" s="439"/>
      <c r="H5" s="439"/>
      <c r="I5" s="439"/>
      <c r="J5" s="439"/>
      <c r="K5" s="439"/>
      <c r="L5" s="439"/>
      <c r="M5" s="439"/>
      <c r="N5" s="439"/>
      <c r="O5" s="439"/>
      <c r="P5" s="439"/>
      <c r="Q5" s="439"/>
      <c r="R5" s="439"/>
      <c r="S5" s="439"/>
      <c r="T5" s="439"/>
      <c r="U5" s="439"/>
      <c r="V5" s="439"/>
      <c r="W5" s="439"/>
      <c r="X5" s="439"/>
      <c r="Y5" s="439"/>
    </row>
    <row r="6" spans="1:27">
      <c r="A6" s="439"/>
      <c r="B6" s="439"/>
      <c r="C6" s="439"/>
      <c r="D6" s="439"/>
      <c r="E6" s="439"/>
      <c r="F6" s="439"/>
      <c r="G6" s="439"/>
      <c r="H6" s="439"/>
      <c r="I6" s="439"/>
      <c r="J6" s="439"/>
      <c r="K6" s="439"/>
      <c r="L6" s="439"/>
      <c r="M6" s="439"/>
      <c r="N6" s="439"/>
      <c r="O6" s="439"/>
      <c r="P6" s="439"/>
      <c r="Q6" s="439"/>
      <c r="R6" s="439"/>
      <c r="S6" s="439"/>
      <c r="T6" s="439"/>
      <c r="U6" s="439"/>
      <c r="V6" s="439"/>
      <c r="W6" s="439"/>
      <c r="X6" s="439"/>
      <c r="Y6" s="439"/>
    </row>
    <row r="7" spans="1:27">
      <c r="A7" s="439"/>
      <c r="B7" s="439"/>
      <c r="C7" s="439"/>
      <c r="D7" s="439"/>
      <c r="E7" s="439"/>
      <c r="F7" s="439"/>
      <c r="G7" s="439"/>
      <c r="H7" s="439"/>
      <c r="I7" s="439"/>
      <c r="J7" s="439"/>
      <c r="K7" s="439"/>
      <c r="L7" s="439"/>
      <c r="M7" s="439"/>
      <c r="N7" s="439"/>
      <c r="O7" s="439"/>
      <c r="P7" s="439"/>
      <c r="Q7" s="439"/>
      <c r="R7" s="439"/>
      <c r="S7" s="439"/>
      <c r="T7" s="439"/>
      <c r="U7" s="439"/>
      <c r="V7" s="439"/>
      <c r="W7" s="439"/>
      <c r="X7" s="439"/>
      <c r="Y7" s="439"/>
    </row>
    <row r="8" spans="1:27" ht="15.75">
      <c r="A8" s="442"/>
      <c r="B8" s="442"/>
      <c r="C8" s="442"/>
      <c r="D8" s="442"/>
      <c r="E8" s="442"/>
      <c r="F8" s="442"/>
      <c r="G8" s="442"/>
      <c r="H8" s="442"/>
      <c r="I8" s="442"/>
      <c r="J8" s="442"/>
      <c r="K8" s="442"/>
      <c r="L8" s="442"/>
      <c r="M8" s="442"/>
      <c r="N8" s="442"/>
      <c r="O8" s="442"/>
      <c r="P8" s="442"/>
      <c r="Q8" s="442"/>
      <c r="R8" s="442"/>
      <c r="S8" s="442"/>
      <c r="T8" s="442"/>
      <c r="U8" s="442"/>
      <c r="V8" s="442"/>
      <c r="W8" s="442"/>
      <c r="X8" s="442"/>
      <c r="Y8" s="442"/>
      <c r="Z8" s="441"/>
      <c r="AA8" s="441"/>
    </row>
    <row r="9" spans="1:27" s="444" customFormat="1" ht="21.75" customHeight="1">
      <c r="A9" s="1390"/>
      <c r="B9" s="1390"/>
      <c r="C9" s="1391"/>
      <c r="D9" s="1392"/>
      <c r="E9" s="1627" t="s">
        <v>129</v>
      </c>
      <c r="F9" s="1627"/>
      <c r="G9" s="1627"/>
      <c r="H9" s="1627"/>
      <c r="I9" s="1627"/>
      <c r="J9" s="1627"/>
      <c r="K9" s="1627"/>
      <c r="L9" s="1627"/>
      <c r="M9" s="1627"/>
      <c r="N9" s="1627"/>
      <c r="O9" s="1627"/>
      <c r="P9" s="1393"/>
      <c r="Q9" s="1625" t="s">
        <v>130</v>
      </c>
      <c r="R9" s="1394" t="s">
        <v>131</v>
      </c>
      <c r="S9" s="1395"/>
      <c r="T9" s="1630" t="s">
        <v>132</v>
      </c>
      <c r="U9" s="1631"/>
      <c r="V9" s="1394" t="s">
        <v>133</v>
      </c>
      <c r="W9" s="1398"/>
      <c r="X9" s="1398"/>
      <c r="Y9" s="1395"/>
      <c r="Z9" s="443"/>
      <c r="AA9" s="443"/>
    </row>
    <row r="10" spans="1:27" s="444" customFormat="1" ht="19.5" customHeight="1">
      <c r="A10" s="1399" t="s">
        <v>134</v>
      </c>
      <c r="B10" s="1399" t="s">
        <v>1088</v>
      </c>
      <c r="C10" s="1400"/>
      <c r="D10" s="1401" t="s">
        <v>135</v>
      </c>
      <c r="E10" s="1402" t="s">
        <v>136</v>
      </c>
      <c r="F10" s="1403"/>
      <c r="G10" s="1403"/>
      <c r="H10" s="1403"/>
      <c r="I10" s="1403"/>
      <c r="J10" s="1403"/>
      <c r="K10" s="1404"/>
      <c r="L10" s="1405" t="s">
        <v>137</v>
      </c>
      <c r="M10" s="1405"/>
      <c r="N10" s="1405"/>
      <c r="O10" s="1405"/>
      <c r="P10" s="1401" t="s">
        <v>135</v>
      </c>
      <c r="Q10" s="1626"/>
      <c r="R10" s="1406"/>
      <c r="S10" s="1407"/>
      <c r="T10" s="1408"/>
      <c r="U10" s="1408"/>
      <c r="V10" s="1409"/>
      <c r="W10" s="1410"/>
      <c r="X10" s="1410"/>
      <c r="Y10" s="1411"/>
      <c r="Z10" s="443"/>
      <c r="AA10" s="443"/>
    </row>
    <row r="11" spans="1:27" s="444" customFormat="1" ht="36" customHeight="1">
      <c r="A11" s="1399" t="s">
        <v>138</v>
      </c>
      <c r="B11" s="1399" t="s">
        <v>1089</v>
      </c>
      <c r="C11" s="1412" t="s">
        <v>139</v>
      </c>
      <c r="D11" s="1412" t="s">
        <v>140</v>
      </c>
      <c r="E11" s="1413" t="s">
        <v>957</v>
      </c>
      <c r="F11" s="1414" t="s">
        <v>955</v>
      </c>
      <c r="G11" s="1414" t="s">
        <v>141</v>
      </c>
      <c r="H11" s="1415" t="s">
        <v>142</v>
      </c>
      <c r="I11" s="1415" t="s">
        <v>143</v>
      </c>
      <c r="J11" s="1416" t="s">
        <v>1565</v>
      </c>
      <c r="K11" s="1414" t="s">
        <v>474</v>
      </c>
      <c r="L11" s="1417" t="s">
        <v>144</v>
      </c>
      <c r="M11" s="1415" t="s">
        <v>145</v>
      </c>
      <c r="N11" s="1418" t="s">
        <v>146</v>
      </c>
      <c r="O11" s="1414" t="s">
        <v>474</v>
      </c>
      <c r="P11" s="1412" t="s">
        <v>147</v>
      </c>
      <c r="Q11" s="1419" t="s">
        <v>148</v>
      </c>
      <c r="R11" s="1420" t="s">
        <v>149</v>
      </c>
      <c r="S11" s="1414" t="s">
        <v>150</v>
      </c>
      <c r="T11" s="1414" t="s">
        <v>474</v>
      </c>
      <c r="U11" s="1421" t="s">
        <v>151</v>
      </c>
      <c r="V11" s="1415" t="s">
        <v>152</v>
      </c>
      <c r="W11" s="1415" t="s">
        <v>153</v>
      </c>
      <c r="X11" s="1422" t="s">
        <v>154</v>
      </c>
      <c r="Y11" s="1423" t="s">
        <v>155</v>
      </c>
      <c r="Z11" s="443"/>
      <c r="AA11" s="443"/>
    </row>
    <row r="12" spans="1:27" ht="23.25" customHeight="1">
      <c r="A12" s="446" t="s">
        <v>582</v>
      </c>
      <c r="B12" s="1170"/>
      <c r="C12" s="935">
        <f t="shared" ref="C12:U12" si="0">SUM(C13:C27)</f>
        <v>37</v>
      </c>
      <c r="D12" s="935">
        <f t="shared" si="0"/>
        <v>23</v>
      </c>
      <c r="E12" s="935">
        <f t="shared" si="0"/>
        <v>936</v>
      </c>
      <c r="F12" s="935">
        <f t="shared" si="0"/>
        <v>0</v>
      </c>
      <c r="G12" s="935">
        <f t="shared" si="0"/>
        <v>0</v>
      </c>
      <c r="H12" s="935">
        <f t="shared" si="0"/>
        <v>0</v>
      </c>
      <c r="I12" s="935">
        <f t="shared" si="0"/>
        <v>0</v>
      </c>
      <c r="J12" s="935">
        <f t="shared" si="0"/>
        <v>0</v>
      </c>
      <c r="K12" s="935">
        <f t="shared" si="0"/>
        <v>936</v>
      </c>
      <c r="L12" s="935">
        <f t="shared" si="0"/>
        <v>849</v>
      </c>
      <c r="M12" s="935">
        <f t="shared" si="0"/>
        <v>0</v>
      </c>
      <c r="N12" s="935">
        <f t="shared" si="0"/>
        <v>94</v>
      </c>
      <c r="O12" s="935">
        <f t="shared" si="0"/>
        <v>943</v>
      </c>
      <c r="P12" s="935">
        <f t="shared" si="0"/>
        <v>16</v>
      </c>
      <c r="Q12" s="935">
        <f t="shared" si="0"/>
        <v>49</v>
      </c>
      <c r="R12" s="935">
        <f t="shared" si="0"/>
        <v>12450</v>
      </c>
      <c r="S12" s="935">
        <f t="shared" si="0"/>
        <v>8481</v>
      </c>
      <c r="T12" s="935">
        <f t="shared" si="0"/>
        <v>8719</v>
      </c>
      <c r="U12" s="935">
        <f t="shared" si="0"/>
        <v>8719</v>
      </c>
      <c r="V12" s="1173">
        <f>S12/R12*100</f>
        <v>68.120481927710841</v>
      </c>
      <c r="W12" s="1174">
        <f>+T12/O12</f>
        <v>9.2460233297985148</v>
      </c>
      <c r="X12" s="654">
        <f>+O12/(R12/30.4)</f>
        <v>2.3025863453815263</v>
      </c>
      <c r="Y12" s="1175">
        <f>(+R12-S12)/O12</f>
        <v>4.2089077412513252</v>
      </c>
      <c r="Z12" s="441"/>
      <c r="AA12" s="441"/>
    </row>
    <row r="13" spans="1:27" ht="23.25" customHeight="1">
      <c r="A13" s="648" t="s">
        <v>1199</v>
      </c>
      <c r="B13" s="649">
        <v>401</v>
      </c>
      <c r="C13" s="1181">
        <v>31</v>
      </c>
      <c r="D13" s="1182">
        <v>23</v>
      </c>
      <c r="E13" s="1181">
        <v>936</v>
      </c>
      <c r="F13" s="1183"/>
      <c r="G13" s="1183"/>
      <c r="H13" s="1183"/>
      <c r="I13" s="1183"/>
      <c r="J13" s="1183"/>
      <c r="K13" s="1172">
        <f>SUM(E13:J13)</f>
        <v>936</v>
      </c>
      <c r="L13" s="1183">
        <v>849</v>
      </c>
      <c r="M13" s="1181"/>
      <c r="N13" s="1183">
        <v>94</v>
      </c>
      <c r="O13" s="1172">
        <f>SUM(L13:N13)</f>
        <v>943</v>
      </c>
      <c r="P13" s="1177">
        <f>SUM(D13,K13)-O13</f>
        <v>16</v>
      </c>
      <c r="Q13" s="1183">
        <v>49</v>
      </c>
      <c r="R13" s="1183">
        <v>12450</v>
      </c>
      <c r="S13" s="1181">
        <v>8481</v>
      </c>
      <c r="T13" s="1183">
        <v>8719</v>
      </c>
      <c r="U13" s="1181">
        <v>8719</v>
      </c>
      <c r="V13" s="1173">
        <f>S13/R13*100</f>
        <v>68.120481927710841</v>
      </c>
      <c r="W13" s="1174">
        <f>+T13/O13</f>
        <v>9.2460233297985148</v>
      </c>
      <c r="X13" s="654">
        <f>+O13/(R13/30.4)</f>
        <v>2.3025863453815263</v>
      </c>
      <c r="Y13" s="1175">
        <f>(+R13-S13)/O13</f>
        <v>4.2089077412513252</v>
      </c>
      <c r="Z13" s="441"/>
      <c r="AA13" s="441"/>
    </row>
    <row r="14" spans="1:27" ht="23.25" customHeight="1">
      <c r="A14" s="648" t="s">
        <v>1090</v>
      </c>
      <c r="B14" s="649">
        <v>403</v>
      </c>
      <c r="C14" s="1181"/>
      <c r="D14" s="1182"/>
      <c r="E14" s="1181"/>
      <c r="F14" s="1183"/>
      <c r="G14" s="1183"/>
      <c r="H14" s="1183"/>
      <c r="I14" s="1183"/>
      <c r="J14" s="1183"/>
      <c r="K14" s="1172"/>
      <c r="L14" s="1183"/>
      <c r="M14" s="1181"/>
      <c r="N14" s="1183"/>
      <c r="O14" s="1172"/>
      <c r="P14" s="1177"/>
      <c r="Q14" s="1183"/>
      <c r="R14" s="1183"/>
      <c r="S14" s="1181"/>
      <c r="T14" s="1183"/>
      <c r="U14" s="1181"/>
      <c r="V14" s="1173"/>
      <c r="W14" s="1174"/>
      <c r="X14" s="654"/>
      <c r="Y14" s="1175"/>
      <c r="Z14" s="441"/>
      <c r="AA14" s="441"/>
    </row>
    <row r="15" spans="1:27" ht="23.25" customHeight="1">
      <c r="A15" s="648" t="s">
        <v>1091</v>
      </c>
      <c r="B15" s="649">
        <v>404</v>
      </c>
      <c r="C15" s="1172"/>
      <c r="D15" s="1177"/>
      <c r="E15" s="1172"/>
      <c r="F15" s="1177"/>
      <c r="G15" s="1177"/>
      <c r="H15" s="1177"/>
      <c r="I15" s="1177"/>
      <c r="J15" s="1177"/>
      <c r="K15" s="1172"/>
      <c r="L15" s="1177"/>
      <c r="M15" s="1172"/>
      <c r="N15" s="1177"/>
      <c r="O15" s="1172"/>
      <c r="P15" s="1177"/>
      <c r="Q15" s="1177"/>
      <c r="R15" s="1177"/>
      <c r="S15" s="1172"/>
      <c r="T15" s="1177"/>
      <c r="U15" s="1172"/>
      <c r="V15" s="1173"/>
      <c r="W15" s="1174"/>
      <c r="X15" s="654"/>
      <c r="Y15" s="1175"/>
      <c r="Z15" s="441"/>
      <c r="AA15" s="441"/>
    </row>
    <row r="16" spans="1:27" ht="23.25" customHeight="1">
      <c r="A16" s="453" t="s">
        <v>156</v>
      </c>
      <c r="B16" s="649">
        <v>416</v>
      </c>
      <c r="C16" s="1181"/>
      <c r="D16" s="1182"/>
      <c r="E16" s="1181"/>
      <c r="F16" s="458"/>
      <c r="G16" s="458"/>
      <c r="H16" s="458"/>
      <c r="I16" s="458"/>
      <c r="J16" s="1183"/>
      <c r="K16" s="1172">
        <f>SUM(E16:J16)</f>
        <v>0</v>
      </c>
      <c r="L16" s="1183"/>
      <c r="M16" s="1181"/>
      <c r="N16" s="1183"/>
      <c r="O16" s="1172"/>
      <c r="P16" s="1177">
        <f>SUM(D16,K16)-O16</f>
        <v>0</v>
      </c>
      <c r="Q16" s="1183"/>
      <c r="R16" s="1183"/>
      <c r="S16" s="1181"/>
      <c r="T16" s="1183"/>
      <c r="U16" s="1181"/>
      <c r="V16" s="1173"/>
      <c r="W16" s="1174"/>
      <c r="X16" s="654"/>
      <c r="Y16" s="1175"/>
      <c r="Z16" s="441"/>
      <c r="AA16" s="441"/>
    </row>
    <row r="17" spans="1:27" ht="23.25" customHeight="1">
      <c r="A17" s="648" t="s">
        <v>1092</v>
      </c>
      <c r="B17" s="649">
        <v>407</v>
      </c>
      <c r="C17" s="1181">
        <v>6</v>
      </c>
      <c r="D17" s="1182"/>
      <c r="E17" s="1181"/>
      <c r="F17" s="1183"/>
      <c r="G17" s="1183"/>
      <c r="H17" s="1183"/>
      <c r="I17" s="1183"/>
      <c r="J17" s="1183"/>
      <c r="K17" s="1172">
        <f>SUM(E17:J17)</f>
        <v>0</v>
      </c>
      <c r="L17" s="1183"/>
      <c r="M17" s="1181"/>
      <c r="N17" s="1183"/>
      <c r="O17" s="1172">
        <f>SUM(L17:N17)</f>
        <v>0</v>
      </c>
      <c r="P17" s="1177">
        <f>SUM(D17,K17)-O17</f>
        <v>0</v>
      </c>
      <c r="Q17" s="1183"/>
      <c r="R17" s="1183"/>
      <c r="S17" s="1181"/>
      <c r="T17" s="1183"/>
      <c r="U17" s="1181"/>
      <c r="V17" s="1173"/>
      <c r="W17" s="1174"/>
      <c r="X17" s="654"/>
      <c r="Y17" s="1175"/>
      <c r="Z17" s="441"/>
      <c r="AA17" s="441"/>
    </row>
    <row r="18" spans="1:27" ht="23.25" customHeight="1">
      <c r="A18" s="648" t="s">
        <v>1093</v>
      </c>
      <c r="B18" s="649">
        <v>409</v>
      </c>
      <c r="C18" s="1181"/>
      <c r="D18" s="1182"/>
      <c r="E18" s="1181"/>
      <c r="F18" s="1183"/>
      <c r="G18" s="1183"/>
      <c r="H18" s="1183"/>
      <c r="I18" s="1183"/>
      <c r="J18" s="1183"/>
      <c r="K18" s="1172"/>
      <c r="L18" s="1183"/>
      <c r="M18" s="1181"/>
      <c r="N18" s="1183"/>
      <c r="O18" s="1172"/>
      <c r="P18" s="1177"/>
      <c r="Q18" s="1183"/>
      <c r="R18" s="1183"/>
      <c r="S18" s="1181"/>
      <c r="T18" s="1183"/>
      <c r="U18" s="1181"/>
      <c r="V18" s="1173"/>
      <c r="W18" s="1174"/>
      <c r="X18" s="654"/>
      <c r="Y18" s="1175"/>
      <c r="Z18" s="441"/>
      <c r="AA18" s="441"/>
    </row>
    <row r="19" spans="1:27" ht="23.25" customHeight="1">
      <c r="A19" s="453" t="s">
        <v>157</v>
      </c>
      <c r="B19" s="649">
        <v>413</v>
      </c>
      <c r="C19" s="1181"/>
      <c r="D19" s="1182"/>
      <c r="E19" s="1181"/>
      <c r="F19" s="1183"/>
      <c r="G19" s="1183"/>
      <c r="H19" s="1183"/>
      <c r="I19" s="1183"/>
      <c r="J19" s="1183"/>
      <c r="K19" s="1172"/>
      <c r="L19" s="1183"/>
      <c r="M19" s="1181"/>
      <c r="N19" s="1183"/>
      <c r="O19" s="1172"/>
      <c r="P19" s="1177"/>
      <c r="Q19" s="1183"/>
      <c r="R19" s="1183"/>
      <c r="S19" s="1181"/>
      <c r="T19" s="1183"/>
      <c r="U19" s="1181"/>
      <c r="V19" s="1173"/>
      <c r="W19" s="1174"/>
      <c r="X19" s="654"/>
      <c r="Y19" s="1175"/>
      <c r="Z19" s="441"/>
      <c r="AA19" s="441"/>
    </row>
    <row r="20" spans="1:27" ht="23.25" customHeight="1">
      <c r="A20" s="648" t="s">
        <v>1267</v>
      </c>
      <c r="B20" s="649">
        <v>411</v>
      </c>
      <c r="C20" s="1181"/>
      <c r="D20" s="1182"/>
      <c r="E20" s="1181"/>
      <c r="F20" s="1183"/>
      <c r="G20" s="1183"/>
      <c r="H20" s="1183"/>
      <c r="I20" s="1183"/>
      <c r="J20" s="1183"/>
      <c r="K20" s="1172"/>
      <c r="L20" s="1183"/>
      <c r="M20" s="1181"/>
      <c r="N20" s="1183"/>
      <c r="O20" s="1172"/>
      <c r="P20" s="1177"/>
      <c r="Q20" s="1183"/>
      <c r="R20" s="1183"/>
      <c r="S20" s="1181"/>
      <c r="T20" s="1183"/>
      <c r="U20" s="1181"/>
      <c r="V20" s="1173"/>
      <c r="W20" s="1174"/>
      <c r="X20" s="654"/>
      <c r="Y20" s="1175"/>
      <c r="Z20" s="441"/>
      <c r="AA20" s="441"/>
    </row>
    <row r="21" spans="1:27" ht="23.25" customHeight="1">
      <c r="A21" s="648" t="s">
        <v>1087</v>
      </c>
      <c r="B21" s="649">
        <v>412</v>
      </c>
      <c r="C21" s="1181"/>
      <c r="D21" s="1183"/>
      <c r="E21" s="1181"/>
      <c r="F21" s="1183"/>
      <c r="G21" s="1183"/>
      <c r="H21" s="1183"/>
      <c r="I21" s="1183"/>
      <c r="J21" s="1183"/>
      <c r="K21" s="1172"/>
      <c r="L21" s="1183"/>
      <c r="M21" s="1181"/>
      <c r="N21" s="1183"/>
      <c r="O21" s="1172"/>
      <c r="P21" s="1177"/>
      <c r="Q21" s="1183"/>
      <c r="R21" s="1183"/>
      <c r="S21" s="1181"/>
      <c r="T21" s="1183"/>
      <c r="U21" s="1181"/>
      <c r="V21" s="1198"/>
      <c r="W21" s="1174"/>
      <c r="X21" s="654"/>
      <c r="Y21" s="1175"/>
      <c r="Z21" s="441"/>
      <c r="AA21" s="441"/>
    </row>
    <row r="22" spans="1:27" ht="23.25" customHeight="1">
      <c r="A22" s="453" t="s">
        <v>158</v>
      </c>
      <c r="B22" s="649">
        <v>414</v>
      </c>
      <c r="C22" s="1181"/>
      <c r="D22" s="1182"/>
      <c r="E22" s="1181"/>
      <c r="F22" s="1183"/>
      <c r="G22" s="1183"/>
      <c r="H22" s="1183"/>
      <c r="I22" s="1183"/>
      <c r="J22" s="1183"/>
      <c r="K22" s="1172"/>
      <c r="L22" s="1183"/>
      <c r="M22" s="1181"/>
      <c r="N22" s="1183"/>
      <c r="O22" s="1172"/>
      <c r="P22" s="1177"/>
      <c r="Q22" s="1183"/>
      <c r="R22" s="1183"/>
      <c r="S22" s="1181"/>
      <c r="T22" s="1183"/>
      <c r="U22" s="1181"/>
      <c r="V22" s="1173"/>
      <c r="W22" s="1174"/>
      <c r="X22" s="654"/>
      <c r="Y22" s="1175"/>
      <c r="Z22" s="441"/>
      <c r="AA22" s="441"/>
    </row>
    <row r="23" spans="1:27" ht="23.25" customHeight="1">
      <c r="A23" s="453" t="s">
        <v>159</v>
      </c>
      <c r="B23" s="649">
        <v>405</v>
      </c>
      <c r="C23" s="1181"/>
      <c r="D23" s="1182"/>
      <c r="E23" s="1181"/>
      <c r="F23" s="1183"/>
      <c r="G23" s="1183"/>
      <c r="H23" s="1183"/>
      <c r="I23" s="1183"/>
      <c r="J23" s="1183"/>
      <c r="K23" s="1172"/>
      <c r="L23" s="1183"/>
      <c r="M23" s="1181"/>
      <c r="N23" s="1183"/>
      <c r="O23" s="1172"/>
      <c r="P23" s="1177"/>
      <c r="Q23" s="1183"/>
      <c r="R23" s="1183"/>
      <c r="S23" s="1181"/>
      <c r="T23" s="1183"/>
      <c r="U23" s="1181"/>
      <c r="V23" s="1173"/>
      <c r="W23" s="1174"/>
      <c r="X23" s="654"/>
      <c r="Y23" s="1175"/>
      <c r="Z23" s="441"/>
      <c r="AA23" s="441"/>
    </row>
    <row r="24" spans="1:27" ht="23.25" customHeight="1">
      <c r="A24" s="453" t="s">
        <v>160</v>
      </c>
      <c r="B24" s="649">
        <v>406</v>
      </c>
      <c r="C24" s="1181"/>
      <c r="D24" s="1182"/>
      <c r="E24" s="1181"/>
      <c r="F24" s="1183"/>
      <c r="G24" s="1183"/>
      <c r="H24" s="1183"/>
      <c r="I24" s="1183"/>
      <c r="J24" s="1183"/>
      <c r="K24" s="1172"/>
      <c r="L24" s="1183"/>
      <c r="M24" s="1181"/>
      <c r="N24" s="1183"/>
      <c r="O24" s="1172"/>
      <c r="P24" s="1177"/>
      <c r="Q24" s="1183"/>
      <c r="R24" s="1183"/>
      <c r="S24" s="1181"/>
      <c r="T24" s="1183"/>
      <c r="U24" s="1181"/>
      <c r="V24" s="1173"/>
      <c r="W24" s="1174"/>
      <c r="X24" s="654"/>
      <c r="Y24" s="1175"/>
      <c r="Z24" s="441"/>
      <c r="AA24" s="441"/>
    </row>
    <row r="25" spans="1:27" ht="23.25" customHeight="1">
      <c r="A25" s="453" t="s">
        <v>699</v>
      </c>
      <c r="B25" s="649">
        <v>415</v>
      </c>
      <c r="C25" s="1181"/>
      <c r="D25" s="1182"/>
      <c r="E25" s="1181"/>
      <c r="F25" s="1183"/>
      <c r="G25" s="1183"/>
      <c r="H25" s="1183"/>
      <c r="I25" s="1183"/>
      <c r="J25" s="1183"/>
      <c r="K25" s="1172"/>
      <c r="L25" s="1183"/>
      <c r="M25" s="1181"/>
      <c r="N25" s="1183"/>
      <c r="O25" s="1172"/>
      <c r="P25" s="1177"/>
      <c r="Q25" s="1183"/>
      <c r="R25" s="1183"/>
      <c r="S25" s="1181"/>
      <c r="T25" s="1183"/>
      <c r="U25" s="1181"/>
      <c r="V25" s="1173"/>
      <c r="W25" s="1174"/>
      <c r="X25" s="654"/>
      <c r="Y25" s="1175"/>
      <c r="Z25" s="441"/>
      <c r="AA25" s="441"/>
    </row>
    <row r="26" spans="1:27" ht="23.25" customHeight="1">
      <c r="A26" s="453" t="s">
        <v>161</v>
      </c>
      <c r="B26" s="649">
        <v>330</v>
      </c>
      <c r="C26" s="1181"/>
      <c r="D26" s="1183"/>
      <c r="E26" s="1181"/>
      <c r="F26" s="1183"/>
      <c r="G26" s="1183"/>
      <c r="H26" s="1183"/>
      <c r="I26" s="1183"/>
      <c r="J26" s="1183"/>
      <c r="K26" s="1172">
        <f>SUM(E26:J26)</f>
        <v>0</v>
      </c>
      <c r="L26" s="1183"/>
      <c r="M26" s="1181"/>
      <c r="N26" s="1183"/>
      <c r="O26" s="1172"/>
      <c r="P26" s="1177">
        <f>SUM(D26,K26)-O26</f>
        <v>0</v>
      </c>
      <c r="Q26" s="1183"/>
      <c r="R26" s="1183"/>
      <c r="S26" s="1181"/>
      <c r="T26" s="1183"/>
      <c r="U26" s="1181"/>
      <c r="V26" s="1198"/>
      <c r="W26" s="1174"/>
      <c r="X26" s="1199"/>
      <c r="Y26" s="1175"/>
      <c r="Z26" s="441"/>
      <c r="AA26" s="441"/>
    </row>
    <row r="27" spans="1:27" ht="23.25" customHeight="1">
      <c r="A27" s="459" t="s">
        <v>916</v>
      </c>
      <c r="B27" s="668"/>
      <c r="C27" s="1186"/>
      <c r="D27" s="1187"/>
      <c r="E27" s="1186"/>
      <c r="F27" s="1188"/>
      <c r="G27" s="1188"/>
      <c r="H27" s="1188"/>
      <c r="I27" s="1188"/>
      <c r="J27" s="1187"/>
      <c r="K27" s="1189"/>
      <c r="L27" s="1187"/>
      <c r="M27" s="1186"/>
      <c r="N27" s="1187"/>
      <c r="O27" s="1189"/>
      <c r="P27" s="1190"/>
      <c r="Q27" s="1188"/>
      <c r="R27" s="1191"/>
      <c r="S27" s="1192"/>
      <c r="T27" s="1191"/>
      <c r="U27" s="1192"/>
      <c r="V27" s="1193"/>
      <c r="W27" s="1194"/>
      <c r="X27" s="1195"/>
      <c r="Y27" s="1196"/>
      <c r="Z27" s="441"/>
      <c r="AA27" s="441"/>
    </row>
    <row r="28" spans="1:27" ht="15.75">
      <c r="Z28" s="441"/>
      <c r="AA28" s="441"/>
    </row>
    <row r="29" spans="1:27" ht="15.75">
      <c r="Z29" s="441"/>
      <c r="AA29" s="441"/>
    </row>
    <row r="30" spans="1:27" ht="15.75">
      <c r="Z30" s="441"/>
      <c r="AA30" s="441"/>
    </row>
    <row r="31" spans="1:27">
      <c r="O31" s="470"/>
    </row>
    <row r="32" spans="1:27">
      <c r="D32" s="471"/>
    </row>
    <row r="33" spans="4:4">
      <c r="D33" s="472"/>
    </row>
  </sheetData>
  <mergeCells count="3">
    <mergeCell ref="Q9:Q10"/>
    <mergeCell ref="T9:U9"/>
    <mergeCell ref="E9:O9"/>
  </mergeCells>
  <phoneticPr fontId="46"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41"/>
  <sheetViews>
    <sheetView zoomScaleNormal="100" workbookViewId="0">
      <selection activeCell="H36" sqref="H36"/>
    </sheetView>
  </sheetViews>
  <sheetFormatPr baseColWidth="10" defaultRowHeight="12.75"/>
  <cols>
    <col min="1" max="1" width="18.7109375" customWidth="1"/>
    <col min="2" max="3" width="10.7109375" customWidth="1"/>
    <col min="4" max="4" width="11.28515625" customWidth="1"/>
    <col min="5" max="5" width="11" customWidth="1"/>
    <col min="6" max="6" width="11.28515625" customWidth="1"/>
    <col min="7" max="7" width="10.42578125" customWidth="1"/>
    <col min="8" max="8" width="14.28515625" customWidth="1"/>
    <col min="9" max="9" width="7.5703125" customWidth="1"/>
    <col min="10" max="10" width="11.7109375" customWidth="1"/>
    <col min="11" max="11" width="12.28515625" customWidth="1"/>
  </cols>
  <sheetData>
    <row r="1" spans="1:10">
      <c r="A1" s="1517" t="s">
        <v>466</v>
      </c>
      <c r="B1" s="1517"/>
      <c r="C1" s="1517"/>
      <c r="D1" s="1517"/>
      <c r="E1" s="1517"/>
      <c r="F1" s="1517"/>
      <c r="G1" s="1517"/>
      <c r="H1" s="1"/>
    </row>
    <row r="2" spans="1:10">
      <c r="A2" s="949"/>
      <c r="B2" s="949"/>
      <c r="C2" s="949"/>
      <c r="D2" s="950"/>
      <c r="E2" s="950"/>
      <c r="F2" s="950"/>
      <c r="G2" s="950"/>
      <c r="H2" s="1"/>
    </row>
    <row r="3" spans="1:10">
      <c r="A3" s="1517" t="s">
        <v>1487</v>
      </c>
      <c r="B3" s="1517"/>
      <c r="C3" s="1517"/>
      <c r="D3" s="1517"/>
      <c r="E3" s="1517"/>
      <c r="F3" s="1517"/>
      <c r="G3" s="1517"/>
      <c r="H3" s="1"/>
    </row>
    <row r="4" spans="1:10">
      <c r="A4" s="1"/>
      <c r="B4" s="1"/>
      <c r="C4" s="1"/>
      <c r="D4" s="1"/>
      <c r="E4" s="1"/>
      <c r="F4" s="1"/>
    </row>
    <row r="5" spans="1:10">
      <c r="A5" s="1"/>
      <c r="B5" s="1"/>
      <c r="C5" s="1"/>
      <c r="D5" s="1"/>
      <c r="E5" s="1"/>
      <c r="F5" s="1"/>
    </row>
    <row r="6" spans="1:10">
      <c r="A6" s="1"/>
      <c r="B6" s="1"/>
      <c r="C6" s="1"/>
      <c r="D6" s="1"/>
      <c r="E6" s="1"/>
      <c r="F6" s="1"/>
    </row>
    <row r="7" spans="1:10">
      <c r="A7" s="1"/>
      <c r="B7" s="1"/>
      <c r="C7" s="1"/>
      <c r="D7" s="1"/>
      <c r="E7" s="1"/>
      <c r="F7" s="1"/>
    </row>
    <row r="8" spans="1:10">
      <c r="A8" s="1"/>
      <c r="B8" s="1"/>
      <c r="C8" s="1"/>
      <c r="D8" s="1"/>
      <c r="E8" s="1"/>
      <c r="F8" s="1"/>
    </row>
    <row r="9" spans="1:10">
      <c r="A9" s="1"/>
      <c r="B9" s="1"/>
      <c r="C9" s="1"/>
      <c r="D9" s="1"/>
      <c r="E9" s="1"/>
      <c r="F9" s="1"/>
    </row>
    <row r="10" spans="1:10" ht="18" customHeight="1">
      <c r="A10" s="937"/>
      <c r="B10" s="938" t="s">
        <v>467</v>
      </c>
      <c r="C10" s="939"/>
      <c r="D10" s="940"/>
      <c r="E10" s="941" t="s">
        <v>468</v>
      </c>
      <c r="F10" s="942" t="s">
        <v>469</v>
      </c>
      <c r="G10" s="943" t="s">
        <v>470</v>
      </c>
      <c r="H10" s="201"/>
    </row>
    <row r="11" spans="1:10" ht="17.25" customHeight="1">
      <c r="A11" s="944" t="s">
        <v>471</v>
      </c>
      <c r="B11" s="945" t="s">
        <v>472</v>
      </c>
      <c r="C11" s="946" t="s">
        <v>473</v>
      </c>
      <c r="D11" s="946" t="s">
        <v>474</v>
      </c>
      <c r="E11" s="947" t="s">
        <v>475</v>
      </c>
      <c r="F11" s="947" t="s">
        <v>476</v>
      </c>
      <c r="G11" s="948" t="s">
        <v>477</v>
      </c>
      <c r="H11" s="638"/>
    </row>
    <row r="12" spans="1:10" ht="18" customHeight="1">
      <c r="A12" s="67" t="s">
        <v>478</v>
      </c>
      <c r="B12" s="68">
        <v>63097</v>
      </c>
      <c r="C12" s="69">
        <v>5691</v>
      </c>
      <c r="D12" s="68">
        <f>SUM(B12:C12)</f>
        <v>68788</v>
      </c>
      <c r="E12" s="70">
        <f>+C12/D12*100</f>
        <v>8.2732453334883989</v>
      </c>
      <c r="F12" s="71">
        <v>1258.3</v>
      </c>
      <c r="G12" s="171">
        <f>+D12/F12</f>
        <v>54.667408408169756</v>
      </c>
      <c r="H12" s="80"/>
      <c r="I12" s="656"/>
      <c r="J12" s="121"/>
    </row>
    <row r="13" spans="1:10" ht="18" customHeight="1">
      <c r="A13" s="67" t="s">
        <v>479</v>
      </c>
      <c r="B13" s="68">
        <v>14010</v>
      </c>
      <c r="C13" s="69">
        <v>7483</v>
      </c>
      <c r="D13" s="68">
        <f>SUM(B13:C13)</f>
        <v>21493</v>
      </c>
      <c r="E13" s="70">
        <f>+C13/D13*100</f>
        <v>34.815986600288468</v>
      </c>
      <c r="F13" s="71">
        <v>1359</v>
      </c>
      <c r="G13" s="171">
        <f>+D13/F13</f>
        <v>15.815305371596763</v>
      </c>
      <c r="H13" s="80"/>
      <c r="I13" s="656"/>
      <c r="J13" s="121"/>
    </row>
    <row r="14" spans="1:10" ht="18" customHeight="1">
      <c r="A14" s="67" t="s">
        <v>480</v>
      </c>
      <c r="B14" s="68">
        <v>13247</v>
      </c>
      <c r="C14" s="69">
        <v>4141</v>
      </c>
      <c r="D14" s="68">
        <f>SUM(B14:C14)</f>
        <v>17388</v>
      </c>
      <c r="E14" s="70">
        <f>+C14/D14*100</f>
        <v>23.815274902231423</v>
      </c>
      <c r="F14" s="71">
        <v>332.3</v>
      </c>
      <c r="G14" s="171">
        <f>+D14/F14</f>
        <v>52.326211254890161</v>
      </c>
      <c r="H14" s="80"/>
      <c r="I14" s="656"/>
      <c r="J14" s="121"/>
    </row>
    <row r="15" spans="1:10" ht="18" customHeight="1">
      <c r="A15" s="67" t="s">
        <v>481</v>
      </c>
      <c r="B15" s="68">
        <v>9705</v>
      </c>
      <c r="C15" s="69">
        <v>2142</v>
      </c>
      <c r="D15" s="68">
        <f>SUM(B15:C15)</f>
        <v>11847</v>
      </c>
      <c r="E15" s="70">
        <f>+C15/D15*100</f>
        <v>18.08052671562421</v>
      </c>
      <c r="F15" s="71">
        <v>128</v>
      </c>
      <c r="G15" s="171">
        <f>+D15/F15</f>
        <v>92.5546875</v>
      </c>
      <c r="H15" s="80"/>
      <c r="I15" s="656"/>
      <c r="J15" s="121"/>
    </row>
    <row r="16" spans="1:10" ht="14.25" customHeight="1">
      <c r="A16" s="67"/>
      <c r="B16" s="68"/>
      <c r="C16" s="69"/>
      <c r="D16" s="72"/>
      <c r="E16" s="69"/>
      <c r="F16" s="71"/>
      <c r="G16" s="344"/>
      <c r="H16" s="72"/>
      <c r="I16" s="656"/>
      <c r="J16" s="121"/>
    </row>
    <row r="17" spans="1:10" ht="18" customHeight="1">
      <c r="A17" s="73" t="s">
        <v>482</v>
      </c>
      <c r="B17" s="74">
        <f>SUM(B12:B15)</f>
        <v>100059</v>
      </c>
      <c r="C17" s="75">
        <f>SUM(C12:C15)</f>
        <v>19457</v>
      </c>
      <c r="D17" s="74">
        <f>SUM(B17:C17)</f>
        <v>119516</v>
      </c>
      <c r="E17" s="76">
        <f>+C17/D17*100</f>
        <v>16.279828642190168</v>
      </c>
      <c r="F17" s="77">
        <f>SUM(F12:F15)</f>
        <v>3077.6000000000004</v>
      </c>
      <c r="G17" s="172">
        <f>+D17/F17</f>
        <v>38.834156485573168</v>
      </c>
      <c r="H17" s="120"/>
      <c r="I17" s="656"/>
      <c r="J17" s="121"/>
    </row>
    <row r="18" spans="1:10" ht="15" customHeight="1">
      <c r="A18" s="67"/>
      <c r="B18" s="68"/>
      <c r="C18" s="69"/>
      <c r="D18" s="67"/>
      <c r="E18" s="78"/>
      <c r="F18" s="79"/>
      <c r="G18" s="344"/>
      <c r="H18" s="8"/>
      <c r="I18" s="656"/>
      <c r="J18" s="121"/>
    </row>
    <row r="19" spans="1:10" ht="18" customHeight="1">
      <c r="A19" s="67" t="s">
        <v>483</v>
      </c>
      <c r="B19" s="68">
        <v>78835</v>
      </c>
      <c r="C19" s="69">
        <v>7227</v>
      </c>
      <c r="D19" s="68">
        <f t="shared" ref="D19:D24" si="0">SUM(B19:C19)</f>
        <v>86062</v>
      </c>
      <c r="E19" s="70">
        <f>+C19/D19*100</f>
        <v>8.3974344077525505</v>
      </c>
      <c r="F19" s="71">
        <v>200.8</v>
      </c>
      <c r="G19" s="171">
        <f t="shared" ref="G19:G24" si="1">+D19/F19</f>
        <v>428.59561752988043</v>
      </c>
      <c r="H19" s="80"/>
      <c r="I19" s="656"/>
      <c r="J19" s="121"/>
    </row>
    <row r="20" spans="1:10" ht="18" customHeight="1">
      <c r="A20" s="67" t="s">
        <v>484</v>
      </c>
      <c r="B20" s="68">
        <v>7925</v>
      </c>
      <c r="C20" s="69">
        <v>10020</v>
      </c>
      <c r="D20" s="68">
        <f t="shared" si="0"/>
        <v>17945</v>
      </c>
      <c r="E20" s="70">
        <f t="shared" ref="E20:E24" si="2">+C20/D20*100</f>
        <v>55.837280579548619</v>
      </c>
      <c r="F20" s="71">
        <v>1397</v>
      </c>
      <c r="G20" s="171">
        <f t="shared" si="1"/>
        <v>12.845382963493199</v>
      </c>
      <c r="H20" s="80"/>
      <c r="I20" s="656"/>
      <c r="J20" s="121"/>
    </row>
    <row r="21" spans="1:10" ht="18" customHeight="1">
      <c r="A21" s="67" t="s">
        <v>485</v>
      </c>
      <c r="B21" s="68">
        <v>11374</v>
      </c>
      <c r="C21" s="69">
        <v>5453</v>
      </c>
      <c r="D21" s="68">
        <f t="shared" si="0"/>
        <v>16827</v>
      </c>
      <c r="E21" s="70">
        <f t="shared" si="2"/>
        <v>32.406251857134365</v>
      </c>
      <c r="F21" s="71">
        <v>178.3</v>
      </c>
      <c r="G21" s="171">
        <f t="shared" si="1"/>
        <v>94.374649467190125</v>
      </c>
      <c r="H21" s="80"/>
      <c r="I21" s="656"/>
      <c r="J21" s="121"/>
    </row>
    <row r="22" spans="1:10" ht="18" customHeight="1">
      <c r="A22" s="67" t="s">
        <v>486</v>
      </c>
      <c r="B22" s="68">
        <v>4147</v>
      </c>
      <c r="C22" s="69">
        <v>3647</v>
      </c>
      <c r="D22" s="68">
        <f t="shared" si="0"/>
        <v>7794</v>
      </c>
      <c r="E22" s="70">
        <f t="shared" si="2"/>
        <v>46.792404413651525</v>
      </c>
      <c r="F22" s="71">
        <v>123.5</v>
      </c>
      <c r="G22" s="171">
        <f t="shared" si="1"/>
        <v>63.109311740890689</v>
      </c>
      <c r="H22" s="80"/>
    </row>
    <row r="23" spans="1:10" ht="18" customHeight="1">
      <c r="A23" s="67" t="s">
        <v>487</v>
      </c>
      <c r="B23" s="68">
        <v>20483</v>
      </c>
      <c r="C23" s="69">
        <v>6636</v>
      </c>
      <c r="D23" s="68">
        <f t="shared" si="0"/>
        <v>27119</v>
      </c>
      <c r="E23" s="70">
        <f t="shared" si="2"/>
        <v>24.469928832184078</v>
      </c>
      <c r="F23" s="71">
        <v>349</v>
      </c>
      <c r="G23" s="171">
        <f t="shared" si="1"/>
        <v>77.704871060171925</v>
      </c>
      <c r="H23" s="80"/>
    </row>
    <row r="24" spans="1:10" ht="18" customHeight="1">
      <c r="A24" s="67" t="s">
        <v>488</v>
      </c>
      <c r="B24" s="68">
        <v>9415</v>
      </c>
      <c r="C24" s="69">
        <v>6185</v>
      </c>
      <c r="D24" s="68">
        <f t="shared" si="0"/>
        <v>15600</v>
      </c>
      <c r="E24" s="70">
        <f t="shared" si="2"/>
        <v>39.647435897435898</v>
      </c>
      <c r="F24" s="71">
        <v>350.2</v>
      </c>
      <c r="G24" s="171">
        <f t="shared" si="1"/>
        <v>44.545973729297543</v>
      </c>
      <c r="H24" s="80"/>
    </row>
    <row r="25" spans="1:10" ht="13.5" customHeight="1">
      <c r="A25" s="67"/>
      <c r="B25" s="68"/>
      <c r="C25" s="69"/>
      <c r="D25" s="80"/>
      <c r="E25" s="69"/>
      <c r="F25" s="71"/>
      <c r="G25" s="171"/>
      <c r="H25" s="80"/>
    </row>
    <row r="26" spans="1:10" ht="18" customHeight="1">
      <c r="A26" s="73" t="s">
        <v>490</v>
      </c>
      <c r="B26" s="74">
        <f>SUM(B19:B25)</f>
        <v>132179</v>
      </c>
      <c r="C26" s="75">
        <f>SUM(C19:C25)</f>
        <v>39168</v>
      </c>
      <c r="D26" s="74">
        <f>SUM(B26:C26)</f>
        <v>171347</v>
      </c>
      <c r="E26" s="76">
        <f>+C26/D26*100</f>
        <v>22.858877015646613</v>
      </c>
      <c r="F26" s="77">
        <f>SUM(F19:F24)</f>
        <v>2598.7999999999997</v>
      </c>
      <c r="G26" s="172">
        <f>+D26/F26</f>
        <v>65.933122979836853</v>
      </c>
      <c r="H26" s="120"/>
    </row>
    <row r="27" spans="1:10" ht="11.25" customHeight="1">
      <c r="A27" s="67"/>
      <c r="B27" s="68"/>
      <c r="C27" s="69"/>
      <c r="D27" s="72"/>
      <c r="E27" s="69"/>
      <c r="F27" s="71"/>
      <c r="G27" s="344"/>
      <c r="H27" s="72"/>
    </row>
    <row r="28" spans="1:10" ht="21.75" customHeight="1">
      <c r="A28" s="81" t="s">
        <v>491</v>
      </c>
      <c r="B28" s="82">
        <f>+B17+B26</f>
        <v>232238</v>
      </c>
      <c r="C28" s="83">
        <f>+C17+C26</f>
        <v>58625</v>
      </c>
      <c r="D28" s="82">
        <f>SUM(B28:C28)</f>
        <v>290863</v>
      </c>
      <c r="E28" s="84">
        <f>+C28/D28*100</f>
        <v>20.155537142916081</v>
      </c>
      <c r="F28" s="85">
        <f>+F17+F26</f>
        <v>5676.4</v>
      </c>
      <c r="G28" s="173">
        <f>+D28/F28</f>
        <v>51.24075118032556</v>
      </c>
      <c r="H28" s="120"/>
    </row>
    <row r="29" spans="1:10">
      <c r="A29" s="8" t="s">
        <v>1488</v>
      </c>
      <c r="B29" s="8"/>
      <c r="C29" s="8"/>
      <c r="D29" s="8"/>
      <c r="E29" s="8"/>
      <c r="F29" s="8"/>
    </row>
    <row r="30" spans="1:10">
      <c r="A30" s="8"/>
      <c r="B30" s="8"/>
      <c r="C30" s="8"/>
      <c r="D30" s="8"/>
      <c r="E30" s="8"/>
      <c r="F30" s="8"/>
    </row>
    <row r="31" spans="1:10">
      <c r="A31" s="8"/>
      <c r="B31" s="8"/>
      <c r="C31" s="8"/>
      <c r="D31" s="8"/>
      <c r="E31" s="8"/>
      <c r="F31" s="8"/>
    </row>
    <row r="32" spans="1:10">
      <c r="A32" s="8"/>
      <c r="B32" s="8"/>
      <c r="C32" s="8"/>
      <c r="D32" s="8"/>
      <c r="E32" s="8"/>
      <c r="F32" s="8"/>
    </row>
    <row r="33" spans="1:6">
      <c r="A33" s="8"/>
      <c r="B33" s="8"/>
      <c r="C33" s="8"/>
      <c r="D33" s="8"/>
      <c r="E33" s="8"/>
      <c r="F33" s="8"/>
    </row>
    <row r="34" spans="1:6">
      <c r="A34" s="8"/>
      <c r="B34" s="8"/>
      <c r="C34" s="8"/>
      <c r="D34" s="8"/>
      <c r="E34" s="8"/>
      <c r="F34" s="8"/>
    </row>
    <row r="35" spans="1:6">
      <c r="A35" s="8"/>
      <c r="B35" s="8"/>
      <c r="C35" s="8"/>
      <c r="D35" s="8"/>
      <c r="E35" s="8"/>
      <c r="F35" s="8"/>
    </row>
    <row r="36" spans="1:6">
      <c r="A36" s="8"/>
      <c r="B36" s="8"/>
      <c r="C36" s="8"/>
      <c r="D36" s="8"/>
      <c r="E36" s="8"/>
      <c r="F36" s="8"/>
    </row>
    <row r="37" spans="1:6">
      <c r="A37" s="8"/>
      <c r="B37" s="8"/>
      <c r="C37" s="8"/>
      <c r="D37" s="8"/>
      <c r="E37" s="8"/>
      <c r="F37" s="8"/>
    </row>
    <row r="38" spans="1:6">
      <c r="A38" s="8"/>
      <c r="B38" s="8"/>
      <c r="C38" s="8"/>
      <c r="D38" s="8"/>
      <c r="E38" s="8"/>
      <c r="F38" s="8"/>
    </row>
    <row r="39" spans="1:6">
      <c r="A39" s="8"/>
      <c r="B39" s="8"/>
      <c r="C39" s="8"/>
      <c r="D39" s="8"/>
      <c r="E39" s="8"/>
      <c r="F39" s="8"/>
    </row>
    <row r="40" spans="1:6">
      <c r="A40" s="8"/>
      <c r="B40" s="8"/>
      <c r="C40" s="8"/>
      <c r="D40" s="8"/>
      <c r="E40" s="8"/>
      <c r="F40" s="8"/>
    </row>
    <row r="41" spans="1:6">
      <c r="A41" s="8"/>
      <c r="B41" s="8"/>
      <c r="C41" s="8"/>
      <c r="D41" s="8"/>
      <c r="E41" s="8"/>
      <c r="F41" s="8"/>
    </row>
  </sheetData>
  <mergeCells count="2">
    <mergeCell ref="A1:G1"/>
    <mergeCell ref="A3:G3"/>
  </mergeCells>
  <phoneticPr fontId="18" type="noConversion"/>
  <pageMargins left="0.98425196850393704" right="0.59055118110236227" top="1.3779527559055118" bottom="0.98425196850393704" header="0.51181102362204722" footer="0.51181102362204722"/>
  <pageSetup paperSize="14" orientation="portrait" horizontalDpi="300" verticalDpi="3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ransitionEvaluation="1"/>
  <dimension ref="A1:AA33"/>
  <sheetViews>
    <sheetView showGridLines="0" zoomScale="75" workbookViewId="0">
      <selection sqref="A1:XFD3"/>
    </sheetView>
  </sheetViews>
  <sheetFormatPr baseColWidth="10" defaultColWidth="12.5703125" defaultRowHeight="12.75"/>
  <cols>
    <col min="1" max="1" width="30.28515625" style="469" customWidth="1"/>
    <col min="2" max="2" width="9.42578125" style="469" customWidth="1"/>
    <col min="3" max="9" width="8.28515625" style="469" customWidth="1"/>
    <col min="10" max="10" width="7" style="469" customWidth="1"/>
    <col min="11" max="12" width="8.28515625" style="469" customWidth="1"/>
    <col min="13" max="13" width="9.28515625" style="469" customWidth="1"/>
    <col min="14" max="17" width="8.28515625" style="469" customWidth="1"/>
    <col min="18" max="21" width="9.42578125" style="469" customWidth="1"/>
    <col min="22" max="22" width="8.28515625" style="469" customWidth="1"/>
    <col min="23" max="23" width="8.7109375" style="469" customWidth="1"/>
    <col min="24" max="24" width="8.5703125" style="469" customWidth="1"/>
    <col min="25" max="25" width="9.5703125" style="469" customWidth="1"/>
    <col min="26" max="26" width="10.7109375" style="440" customWidth="1"/>
    <col min="27" max="27" width="9.28515625" style="440" customWidth="1"/>
    <col min="28" max="16384" width="12.5703125" style="440"/>
  </cols>
  <sheetData>
    <row r="1" spans="1:27" s="1427" customFormat="1">
      <c r="A1" s="1424" t="s">
        <v>168</v>
      </c>
      <c r="B1" s="1424"/>
      <c r="C1" s="1425"/>
      <c r="D1" s="1425"/>
      <c r="E1" s="1425"/>
      <c r="F1" s="1425"/>
      <c r="G1" s="1425"/>
      <c r="H1" s="1425"/>
      <c r="I1" s="1425"/>
      <c r="J1" s="1425"/>
      <c r="K1" s="1426"/>
      <c r="L1" s="1425"/>
      <c r="M1" s="1425"/>
      <c r="N1" s="1425"/>
      <c r="O1" s="1425"/>
      <c r="P1" s="1425"/>
      <c r="Q1" s="1425"/>
      <c r="R1" s="1425"/>
      <c r="S1" s="1425"/>
      <c r="T1" s="1425"/>
      <c r="U1" s="1425"/>
      <c r="V1" s="1425"/>
      <c r="W1" s="1425"/>
      <c r="X1" s="1425"/>
      <c r="Y1" s="1425"/>
    </row>
    <row r="2" spans="1:27" s="1427" customFormat="1">
      <c r="A2" s="1424"/>
      <c r="B2" s="1424"/>
      <c r="C2" s="1425"/>
      <c r="D2" s="1425"/>
      <c r="E2" s="1425"/>
      <c r="F2" s="1425"/>
      <c r="G2" s="1425"/>
      <c r="H2" s="1425"/>
      <c r="I2" s="1425"/>
      <c r="J2" s="1425"/>
      <c r="K2" s="1425"/>
      <c r="L2" s="1425"/>
      <c r="M2" s="1425"/>
      <c r="N2" s="1425"/>
      <c r="O2" s="1425"/>
      <c r="P2" s="1425"/>
      <c r="Q2" s="1425"/>
      <c r="R2" s="1425"/>
      <c r="S2" s="1425"/>
      <c r="T2" s="1425"/>
      <c r="U2" s="1425"/>
      <c r="V2" s="1425"/>
      <c r="W2" s="1425"/>
      <c r="X2" s="1425"/>
      <c r="Y2" s="1425"/>
    </row>
    <row r="3" spans="1:27" s="1427" customFormat="1">
      <c r="A3" s="1424" t="str">
        <f>+'76'!A3</f>
        <v>SERVICIO DE SALUD   ACONCAGUA   2023</v>
      </c>
      <c r="B3" s="1424"/>
      <c r="C3" s="1425"/>
      <c r="D3" s="1425"/>
      <c r="E3" s="1425"/>
      <c r="F3" s="1425"/>
      <c r="G3" s="1425"/>
      <c r="H3" s="1425"/>
      <c r="I3" s="1425"/>
      <c r="J3" s="1425"/>
      <c r="K3" s="1425"/>
      <c r="L3" s="1425"/>
      <c r="M3" s="1425"/>
      <c r="N3" s="1425"/>
      <c r="O3" s="1425"/>
      <c r="P3" s="1425"/>
      <c r="Q3" s="1425"/>
      <c r="R3" s="1425"/>
      <c r="S3" s="1425"/>
      <c r="T3" s="1425"/>
      <c r="U3" s="1425"/>
      <c r="V3" s="1425"/>
      <c r="W3" s="1425"/>
      <c r="X3" s="1425"/>
      <c r="Y3" s="1425"/>
    </row>
    <row r="4" spans="1:27">
      <c r="A4" s="439"/>
      <c r="B4" s="439"/>
      <c r="C4" s="439"/>
      <c r="D4" s="439"/>
      <c r="E4" s="439"/>
      <c r="F4" s="439"/>
      <c r="G4" s="439"/>
      <c r="H4" s="439"/>
      <c r="I4" s="439"/>
      <c r="J4" s="439"/>
      <c r="K4" s="439"/>
      <c r="L4" s="439"/>
      <c r="M4" s="439"/>
      <c r="N4" s="439"/>
      <c r="O4" s="439"/>
      <c r="P4" s="439"/>
      <c r="Q4" s="439"/>
      <c r="R4" s="439"/>
      <c r="S4" s="439"/>
      <c r="T4" s="439"/>
      <c r="U4" s="439"/>
      <c r="V4" s="439"/>
      <c r="W4" s="439"/>
      <c r="X4" s="439"/>
      <c r="Y4" s="439"/>
    </row>
    <row r="5" spans="1:27">
      <c r="A5" s="438"/>
      <c r="B5" s="438"/>
      <c r="C5" s="439"/>
      <c r="D5" s="439"/>
      <c r="E5" s="439"/>
      <c r="F5" s="439"/>
      <c r="G5" s="439"/>
      <c r="H5" s="439"/>
      <c r="I5" s="439"/>
      <c r="J5" s="439"/>
      <c r="K5" s="439"/>
      <c r="L5" s="439"/>
      <c r="M5" s="439"/>
      <c r="N5" s="439"/>
      <c r="O5" s="439"/>
      <c r="P5" s="439"/>
      <c r="Q5" s="439"/>
      <c r="R5" s="439"/>
      <c r="S5" s="439"/>
      <c r="T5" s="439"/>
      <c r="U5" s="439"/>
      <c r="V5" s="439"/>
      <c r="W5" s="439"/>
      <c r="X5" s="439"/>
      <c r="Y5" s="439"/>
    </row>
    <row r="6" spans="1:27">
      <c r="A6" s="439"/>
      <c r="B6" s="439"/>
      <c r="C6" s="439"/>
      <c r="D6" s="439"/>
      <c r="E6" s="439"/>
      <c r="F6" s="439"/>
      <c r="G6" s="439"/>
      <c r="H6" s="439"/>
      <c r="I6" s="439"/>
      <c r="J6" s="439"/>
      <c r="K6" s="439"/>
      <c r="L6" s="439"/>
      <c r="M6" s="439"/>
      <c r="N6" s="439"/>
      <c r="O6" s="439"/>
      <c r="P6" s="439"/>
      <c r="Q6" s="439"/>
      <c r="R6" s="439"/>
      <c r="S6" s="439"/>
      <c r="T6" s="439"/>
      <c r="U6" s="439"/>
      <c r="V6" s="439"/>
      <c r="W6" s="439"/>
      <c r="X6" s="439"/>
      <c r="Y6" s="439"/>
    </row>
    <row r="7" spans="1:27">
      <c r="A7" s="439"/>
      <c r="B7" s="439"/>
      <c r="C7" s="439"/>
      <c r="D7" s="439"/>
      <c r="E7" s="439"/>
      <c r="F7" s="439"/>
      <c r="G7" s="439"/>
      <c r="H7" s="439"/>
      <c r="I7" s="439"/>
      <c r="J7" s="439"/>
      <c r="K7" s="439"/>
      <c r="L7" s="439"/>
      <c r="M7" s="439"/>
      <c r="N7" s="439"/>
      <c r="O7" s="439"/>
      <c r="P7" s="439"/>
      <c r="Q7" s="604"/>
      <c r="R7" s="439"/>
      <c r="S7" s="439"/>
      <c r="T7" s="439"/>
      <c r="U7" s="439"/>
      <c r="V7" s="439"/>
      <c r="W7" s="439"/>
      <c r="X7" s="439"/>
      <c r="Y7" s="439"/>
    </row>
    <row r="8" spans="1:27" ht="15.75">
      <c r="A8" s="442"/>
      <c r="B8" s="442"/>
      <c r="C8" s="442"/>
      <c r="D8" s="442"/>
      <c r="E8" s="442"/>
      <c r="F8" s="442"/>
      <c r="G8" s="442"/>
      <c r="H8" s="442"/>
      <c r="I8" s="442"/>
      <c r="J8" s="442"/>
      <c r="K8" s="442"/>
      <c r="L8" s="442"/>
      <c r="M8" s="442"/>
      <c r="N8" s="442"/>
      <c r="O8" s="442"/>
      <c r="P8" s="442"/>
      <c r="Q8" s="442"/>
      <c r="R8" s="442"/>
      <c r="S8" s="442"/>
      <c r="T8" s="442"/>
      <c r="U8" s="442"/>
      <c r="V8" s="442"/>
      <c r="W8" s="442"/>
      <c r="X8" s="442"/>
      <c r="Y8" s="442"/>
      <c r="Z8" s="441"/>
      <c r="AA8" s="441"/>
    </row>
    <row r="9" spans="1:27" s="444" customFormat="1" ht="21.75" customHeight="1">
      <c r="A9" s="1390"/>
      <c r="B9" s="1390"/>
      <c r="C9" s="1391"/>
      <c r="D9" s="1392"/>
      <c r="E9" s="1627" t="s">
        <v>129</v>
      </c>
      <c r="F9" s="1627"/>
      <c r="G9" s="1627"/>
      <c r="H9" s="1627"/>
      <c r="I9" s="1627"/>
      <c r="J9" s="1627"/>
      <c r="K9" s="1627"/>
      <c r="L9" s="1627"/>
      <c r="M9" s="1627"/>
      <c r="N9" s="1627"/>
      <c r="O9" s="1627"/>
      <c r="P9" s="1393"/>
      <c r="Q9" s="1625" t="s">
        <v>130</v>
      </c>
      <c r="R9" s="1394" t="s">
        <v>131</v>
      </c>
      <c r="S9" s="1395"/>
      <c r="T9" s="1396" t="s">
        <v>132</v>
      </c>
      <c r="U9" s="1397"/>
      <c r="V9" s="1394" t="s">
        <v>133</v>
      </c>
      <c r="W9" s="1398"/>
      <c r="X9" s="1398"/>
      <c r="Y9" s="1395"/>
      <c r="Z9" s="443"/>
      <c r="AA9" s="443"/>
    </row>
    <row r="10" spans="1:27" s="444" customFormat="1" ht="19.5" customHeight="1">
      <c r="A10" s="1399" t="s">
        <v>134</v>
      </c>
      <c r="B10" s="1399" t="s">
        <v>1088</v>
      </c>
      <c r="C10" s="1400"/>
      <c r="D10" s="1401" t="s">
        <v>135</v>
      </c>
      <c r="E10" s="1402" t="s">
        <v>136</v>
      </c>
      <c r="F10" s="1403"/>
      <c r="G10" s="1403"/>
      <c r="H10" s="1403"/>
      <c r="I10" s="1403"/>
      <c r="J10" s="1403"/>
      <c r="K10" s="1404"/>
      <c r="L10" s="1405" t="s">
        <v>137</v>
      </c>
      <c r="M10" s="1405"/>
      <c r="N10" s="1405"/>
      <c r="O10" s="1405"/>
      <c r="P10" s="1401" t="s">
        <v>135</v>
      </c>
      <c r="Q10" s="1626"/>
      <c r="R10" s="1406"/>
      <c r="S10" s="1407"/>
      <c r="T10" s="1408"/>
      <c r="U10" s="1408"/>
      <c r="V10" s="1409"/>
      <c r="W10" s="1410"/>
      <c r="X10" s="1410"/>
      <c r="Y10" s="1411"/>
      <c r="Z10" s="443"/>
      <c r="AA10" s="443"/>
    </row>
    <row r="11" spans="1:27" s="444" customFormat="1" ht="36" customHeight="1">
      <c r="A11" s="1399" t="s">
        <v>138</v>
      </c>
      <c r="B11" s="1399" t="s">
        <v>1089</v>
      </c>
      <c r="C11" s="1412" t="s">
        <v>139</v>
      </c>
      <c r="D11" s="1412" t="s">
        <v>140</v>
      </c>
      <c r="E11" s="1413" t="s">
        <v>957</v>
      </c>
      <c r="F11" s="1414" t="s">
        <v>955</v>
      </c>
      <c r="G11" s="1414" t="s">
        <v>141</v>
      </c>
      <c r="H11" s="1415" t="s">
        <v>142</v>
      </c>
      <c r="I11" s="1415" t="s">
        <v>143</v>
      </c>
      <c r="J11" s="1416" t="s">
        <v>1565</v>
      </c>
      <c r="K11" s="1414" t="s">
        <v>474</v>
      </c>
      <c r="L11" s="1417" t="s">
        <v>144</v>
      </c>
      <c r="M11" s="1415" t="s">
        <v>145</v>
      </c>
      <c r="N11" s="1418" t="s">
        <v>146</v>
      </c>
      <c r="O11" s="1414" t="s">
        <v>474</v>
      </c>
      <c r="P11" s="1412" t="s">
        <v>147</v>
      </c>
      <c r="Q11" s="1419" t="s">
        <v>148</v>
      </c>
      <c r="R11" s="1420" t="s">
        <v>149</v>
      </c>
      <c r="S11" s="1414" t="s">
        <v>150</v>
      </c>
      <c r="T11" s="1414" t="s">
        <v>474</v>
      </c>
      <c r="U11" s="1421" t="s">
        <v>151</v>
      </c>
      <c r="V11" s="1415" t="s">
        <v>152</v>
      </c>
      <c r="W11" s="1415" t="s">
        <v>153</v>
      </c>
      <c r="X11" s="1422" t="s">
        <v>154</v>
      </c>
      <c r="Y11" s="1423" t="s">
        <v>155</v>
      </c>
      <c r="Z11" s="443"/>
      <c r="AA11" s="443"/>
    </row>
    <row r="12" spans="1:27" ht="23.25" customHeight="1">
      <c r="A12" s="446" t="s">
        <v>582</v>
      </c>
      <c r="B12" s="1170"/>
      <c r="C12" s="935">
        <f>SUM(C13:C27)</f>
        <v>28</v>
      </c>
      <c r="D12" s="935">
        <f t="shared" ref="D12:U12" si="0">SUM(D13:D27)</f>
        <v>29</v>
      </c>
      <c r="E12" s="935">
        <f t="shared" si="0"/>
        <v>295</v>
      </c>
      <c r="F12" s="935">
        <f t="shared" si="0"/>
        <v>0</v>
      </c>
      <c r="G12" s="935">
        <f t="shared" si="0"/>
        <v>0</v>
      </c>
      <c r="H12" s="935">
        <f t="shared" si="0"/>
        <v>224</v>
      </c>
      <c r="I12" s="935">
        <f t="shared" si="0"/>
        <v>2</v>
      </c>
      <c r="J12" s="935">
        <f t="shared" si="0"/>
        <v>4</v>
      </c>
      <c r="K12" s="935">
        <f t="shared" si="0"/>
        <v>525</v>
      </c>
      <c r="L12" s="935">
        <f t="shared" si="0"/>
        <v>486</v>
      </c>
      <c r="M12" s="935">
        <f t="shared" si="0"/>
        <v>0</v>
      </c>
      <c r="N12" s="935">
        <f t="shared" si="0"/>
        <v>39</v>
      </c>
      <c r="O12" s="935">
        <f t="shared" si="0"/>
        <v>525</v>
      </c>
      <c r="P12" s="935">
        <f t="shared" si="0"/>
        <v>29</v>
      </c>
      <c r="Q12" s="935">
        <f t="shared" si="0"/>
        <v>26</v>
      </c>
      <c r="R12" s="935">
        <f t="shared" si="0"/>
        <v>10220</v>
      </c>
      <c r="S12" s="935">
        <f t="shared" si="0"/>
        <v>8195</v>
      </c>
      <c r="T12" s="935">
        <f t="shared" si="0"/>
        <v>6876</v>
      </c>
      <c r="U12" s="935">
        <f t="shared" si="0"/>
        <v>6294</v>
      </c>
      <c r="V12" s="1173">
        <f>S12/R12*100</f>
        <v>80.185909980430523</v>
      </c>
      <c r="W12" s="1174">
        <f>+T12/O12</f>
        <v>13.097142857142858</v>
      </c>
      <c r="X12" s="654">
        <f>+O12/(R12/30.4)</f>
        <v>1.5616438356164384</v>
      </c>
      <c r="Y12" s="1175">
        <f>(+R12-S12)/O12</f>
        <v>3.8571428571428572</v>
      </c>
      <c r="Z12" s="441"/>
      <c r="AA12" s="441"/>
    </row>
    <row r="13" spans="1:27" ht="23.25" customHeight="1">
      <c r="A13" s="648" t="s">
        <v>1199</v>
      </c>
      <c r="B13" s="649">
        <v>401</v>
      </c>
      <c r="C13" s="1180">
        <v>28</v>
      </c>
      <c r="D13" s="1179">
        <v>29</v>
      </c>
      <c r="E13" s="1180">
        <v>295</v>
      </c>
      <c r="F13" s="1179"/>
      <c r="G13" s="1179"/>
      <c r="H13" s="1179">
        <v>224</v>
      </c>
      <c r="I13" s="1179">
        <v>2</v>
      </c>
      <c r="J13" s="1179">
        <v>4</v>
      </c>
      <c r="K13" s="1172">
        <f>SUM(E13:J13)</f>
        <v>525</v>
      </c>
      <c r="L13" s="1183">
        <v>486</v>
      </c>
      <c r="M13" s="1181"/>
      <c r="N13" s="1183">
        <v>39</v>
      </c>
      <c r="O13" s="1172">
        <f>SUM(L13:N13)</f>
        <v>525</v>
      </c>
      <c r="P13" s="1177">
        <f>SUM(D13,K13)-O13</f>
        <v>29</v>
      </c>
      <c r="Q13" s="1179">
        <v>26</v>
      </c>
      <c r="R13" s="1179">
        <v>10220</v>
      </c>
      <c r="S13" s="1180">
        <v>8195</v>
      </c>
      <c r="T13" s="1179">
        <v>6876</v>
      </c>
      <c r="U13" s="1180">
        <v>6294</v>
      </c>
      <c r="V13" s="1173">
        <f>S13/R13*100</f>
        <v>80.185909980430523</v>
      </c>
      <c r="W13" s="1174">
        <f>+T13/O13</f>
        <v>13.097142857142858</v>
      </c>
      <c r="X13" s="654">
        <f>+O13/(R13/30.4)</f>
        <v>1.5616438356164384</v>
      </c>
      <c r="Y13" s="1175">
        <f>(+R13-S13)/O13</f>
        <v>3.8571428571428572</v>
      </c>
      <c r="Z13" s="441"/>
      <c r="AA13" s="441"/>
    </row>
    <row r="14" spans="1:27" ht="23.25" customHeight="1">
      <c r="A14" s="648" t="s">
        <v>1090</v>
      </c>
      <c r="B14" s="649">
        <v>403</v>
      </c>
      <c r="C14" s="1181"/>
      <c r="D14" s="1182"/>
      <c r="E14" s="1181"/>
      <c r="F14" s="1183"/>
      <c r="G14" s="1183"/>
      <c r="H14" s="1183"/>
      <c r="I14" s="1183"/>
      <c r="J14" s="1183"/>
      <c r="K14" s="1172"/>
      <c r="L14" s="1183"/>
      <c r="M14" s="1181"/>
      <c r="N14" s="1183"/>
      <c r="O14" s="1172"/>
      <c r="P14" s="1177"/>
      <c r="Q14" s="1183"/>
      <c r="R14" s="1183"/>
      <c r="S14" s="1181"/>
      <c r="T14" s="1183"/>
      <c r="U14" s="1181"/>
      <c r="V14" s="1173"/>
      <c r="W14" s="1174"/>
      <c r="X14" s="654"/>
      <c r="Y14" s="1175"/>
      <c r="Z14" s="441"/>
      <c r="AA14" s="441"/>
    </row>
    <row r="15" spans="1:27" ht="23.25" customHeight="1">
      <c r="A15" s="648" t="s">
        <v>1091</v>
      </c>
      <c r="B15" s="649">
        <v>404</v>
      </c>
      <c r="C15" s="1172"/>
      <c r="D15" s="1177"/>
      <c r="E15" s="1172"/>
      <c r="F15" s="1177"/>
      <c r="G15" s="1177"/>
      <c r="H15" s="1177"/>
      <c r="I15" s="1177"/>
      <c r="J15" s="1177"/>
      <c r="K15" s="1172"/>
      <c r="L15" s="1177"/>
      <c r="M15" s="1172"/>
      <c r="N15" s="1177"/>
      <c r="O15" s="1172"/>
      <c r="P15" s="1177"/>
      <c r="Q15" s="1177"/>
      <c r="R15" s="1177"/>
      <c r="S15" s="1172"/>
      <c r="T15" s="1177"/>
      <c r="U15" s="1172"/>
      <c r="V15" s="1173"/>
      <c r="W15" s="1174"/>
      <c r="X15" s="654"/>
      <c r="Y15" s="1175"/>
      <c r="Z15" s="441"/>
      <c r="AA15" s="441"/>
    </row>
    <row r="16" spans="1:27" ht="23.25" customHeight="1">
      <c r="A16" s="453" t="s">
        <v>156</v>
      </c>
      <c r="B16" s="649">
        <v>416</v>
      </c>
      <c r="C16" s="1200"/>
      <c r="D16" s="1182"/>
      <c r="E16" s="1181"/>
      <c r="F16" s="458"/>
      <c r="G16" s="458"/>
      <c r="H16" s="458"/>
      <c r="I16" s="458"/>
      <c r="J16" s="1183"/>
      <c r="K16" s="1172"/>
      <c r="L16" s="1183"/>
      <c r="M16" s="1181"/>
      <c r="N16" s="1183"/>
      <c r="O16" s="1172"/>
      <c r="P16" s="1177"/>
      <c r="Q16" s="1183"/>
      <c r="R16" s="1183"/>
      <c r="S16" s="1181"/>
      <c r="T16" s="1183"/>
      <c r="U16" s="1181"/>
      <c r="V16" s="1173"/>
      <c r="W16" s="1174"/>
      <c r="X16" s="654"/>
      <c r="Y16" s="1175"/>
      <c r="Z16" s="441"/>
      <c r="AA16" s="441"/>
    </row>
    <row r="17" spans="1:27" ht="23.25" customHeight="1">
      <c r="A17" s="648" t="s">
        <v>1092</v>
      </c>
      <c r="B17" s="649">
        <v>407</v>
      </c>
      <c r="C17" s="1200"/>
      <c r="D17" s="1183"/>
      <c r="E17" s="1181"/>
      <c r="F17" s="1183"/>
      <c r="G17" s="1183"/>
      <c r="H17" s="1183"/>
      <c r="I17" s="1183"/>
      <c r="J17" s="1183"/>
      <c r="K17" s="1172"/>
      <c r="L17" s="1183"/>
      <c r="M17" s="1181"/>
      <c r="N17" s="1183"/>
      <c r="O17" s="1172"/>
      <c r="P17" s="1177"/>
      <c r="Q17" s="1183"/>
      <c r="R17" s="1183"/>
      <c r="S17" s="1181"/>
      <c r="T17" s="1183"/>
      <c r="U17" s="1181"/>
      <c r="V17" s="1173"/>
      <c r="W17" s="1174"/>
      <c r="X17" s="654"/>
      <c r="Y17" s="1175"/>
      <c r="Z17" s="441"/>
      <c r="AA17" s="441"/>
    </row>
    <row r="18" spans="1:27" ht="23.25" customHeight="1">
      <c r="A18" s="648" t="s">
        <v>1093</v>
      </c>
      <c r="B18" s="649">
        <v>409</v>
      </c>
      <c r="C18" s="1200"/>
      <c r="D18" s="1183"/>
      <c r="E18" s="1181"/>
      <c r="F18" s="1183"/>
      <c r="G18" s="1183"/>
      <c r="H18" s="1183"/>
      <c r="I18" s="1183"/>
      <c r="J18" s="1183"/>
      <c r="K18" s="1172"/>
      <c r="L18" s="1183"/>
      <c r="M18" s="1181"/>
      <c r="N18" s="1183"/>
      <c r="O18" s="1172"/>
      <c r="P18" s="1177"/>
      <c r="Q18" s="1183"/>
      <c r="R18" s="1183"/>
      <c r="S18" s="1181"/>
      <c r="T18" s="1183"/>
      <c r="U18" s="1181"/>
      <c r="V18" s="1173"/>
      <c r="W18" s="1174"/>
      <c r="X18" s="654"/>
      <c r="Y18" s="1175"/>
      <c r="Z18" s="441"/>
      <c r="AA18" s="441"/>
    </row>
    <row r="19" spans="1:27" ht="23.25" customHeight="1">
      <c r="A19" s="453" t="s">
        <v>157</v>
      </c>
      <c r="B19" s="649">
        <v>413</v>
      </c>
      <c r="C19" s="1200"/>
      <c r="D19" s="1182"/>
      <c r="E19" s="1181"/>
      <c r="F19" s="1183"/>
      <c r="G19" s="1183"/>
      <c r="H19" s="1183"/>
      <c r="I19" s="1183"/>
      <c r="J19" s="1183"/>
      <c r="K19" s="1172"/>
      <c r="L19" s="1182"/>
      <c r="M19" s="1200"/>
      <c r="N19" s="1182"/>
      <c r="O19" s="1172"/>
      <c r="P19" s="1177"/>
      <c r="Q19" s="1183"/>
      <c r="R19" s="1182"/>
      <c r="S19" s="1200"/>
      <c r="T19" s="1182"/>
      <c r="U19" s="1200"/>
      <c r="V19" s="1173"/>
      <c r="W19" s="1174"/>
      <c r="X19" s="654"/>
      <c r="Y19" s="1175"/>
      <c r="Z19" s="441"/>
      <c r="AA19" s="441"/>
    </row>
    <row r="20" spans="1:27" ht="23.25" customHeight="1">
      <c r="A20" s="648" t="s">
        <v>1267</v>
      </c>
      <c r="B20" s="649">
        <v>411</v>
      </c>
      <c r="C20" s="1200"/>
      <c r="D20" s="1182"/>
      <c r="E20" s="1181"/>
      <c r="F20" s="1183"/>
      <c r="G20" s="1183"/>
      <c r="H20" s="1183"/>
      <c r="I20" s="1183"/>
      <c r="J20" s="1183"/>
      <c r="K20" s="1172"/>
      <c r="L20" s="1182"/>
      <c r="M20" s="1200"/>
      <c r="N20" s="1182"/>
      <c r="O20" s="1172"/>
      <c r="P20" s="1177"/>
      <c r="Q20" s="1183"/>
      <c r="R20" s="1182"/>
      <c r="S20" s="1200"/>
      <c r="T20" s="1182"/>
      <c r="U20" s="1200"/>
      <c r="V20" s="1173"/>
      <c r="W20" s="1174"/>
      <c r="X20" s="654"/>
      <c r="Y20" s="1175"/>
      <c r="Z20" s="441"/>
      <c r="AA20" s="441"/>
    </row>
    <row r="21" spans="1:27" ht="23.25" customHeight="1">
      <c r="A21" s="648" t="s">
        <v>1087</v>
      </c>
      <c r="B21" s="649">
        <v>412</v>
      </c>
      <c r="C21" s="1200"/>
      <c r="D21" s="1182"/>
      <c r="E21" s="1200"/>
      <c r="F21" s="1183"/>
      <c r="G21" s="1183"/>
      <c r="H21" s="1183"/>
      <c r="I21" s="1183"/>
      <c r="J21" s="1182"/>
      <c r="K21" s="1172"/>
      <c r="L21" s="1201"/>
      <c r="M21" s="1200"/>
      <c r="N21" s="1182"/>
      <c r="O21" s="1172"/>
      <c r="P21" s="1177"/>
      <c r="Q21" s="1183"/>
      <c r="R21" s="1201"/>
      <c r="S21" s="1202"/>
      <c r="T21" s="1201"/>
      <c r="U21" s="1202"/>
      <c r="V21" s="1173"/>
      <c r="W21" s="1174"/>
      <c r="X21" s="654"/>
      <c r="Y21" s="1175"/>
      <c r="Z21" s="441"/>
      <c r="AA21" s="441"/>
    </row>
    <row r="22" spans="1:27" ht="23.25" customHeight="1">
      <c r="A22" s="453" t="s">
        <v>158</v>
      </c>
      <c r="B22" s="649">
        <v>414</v>
      </c>
      <c r="C22" s="1200"/>
      <c r="D22" s="1182"/>
      <c r="E22" s="1200"/>
      <c r="F22" s="1183"/>
      <c r="G22" s="1183"/>
      <c r="H22" s="1183"/>
      <c r="I22" s="1183"/>
      <c r="J22" s="1182"/>
      <c r="K22" s="1172"/>
      <c r="L22" s="1201"/>
      <c r="M22" s="1200"/>
      <c r="N22" s="1182"/>
      <c r="O22" s="1172"/>
      <c r="P22" s="1177"/>
      <c r="Q22" s="1183"/>
      <c r="R22" s="1201"/>
      <c r="S22" s="1202"/>
      <c r="T22" s="1201"/>
      <c r="U22" s="1202"/>
      <c r="V22" s="1173"/>
      <c r="W22" s="1174"/>
      <c r="X22" s="654"/>
      <c r="Y22" s="1175"/>
      <c r="Z22" s="441"/>
      <c r="AA22" s="441"/>
    </row>
    <row r="23" spans="1:27" ht="23.25" customHeight="1">
      <c r="A23" s="453" t="s">
        <v>159</v>
      </c>
      <c r="B23" s="649">
        <v>405</v>
      </c>
      <c r="C23" s="1200"/>
      <c r="D23" s="1182"/>
      <c r="E23" s="1200"/>
      <c r="F23" s="1183"/>
      <c r="G23" s="1183"/>
      <c r="H23" s="1183"/>
      <c r="I23" s="1183"/>
      <c r="J23" s="1182"/>
      <c r="K23" s="1172"/>
      <c r="L23" s="1201"/>
      <c r="M23" s="1200"/>
      <c r="N23" s="1182"/>
      <c r="O23" s="1172"/>
      <c r="P23" s="1177"/>
      <c r="Q23" s="1183"/>
      <c r="R23" s="1201"/>
      <c r="S23" s="1202"/>
      <c r="T23" s="1201"/>
      <c r="U23" s="1202"/>
      <c r="V23" s="1173"/>
      <c r="W23" s="1174"/>
      <c r="X23" s="654"/>
      <c r="Y23" s="1175"/>
      <c r="Z23" s="441"/>
      <c r="AA23" s="441"/>
    </row>
    <row r="24" spans="1:27" ht="23.25" customHeight="1">
      <c r="A24" s="453" t="s">
        <v>160</v>
      </c>
      <c r="B24" s="649">
        <v>406</v>
      </c>
      <c r="C24" s="1200"/>
      <c r="D24" s="1182"/>
      <c r="E24" s="1200"/>
      <c r="F24" s="1183"/>
      <c r="G24" s="1183"/>
      <c r="H24" s="1183"/>
      <c r="I24" s="1183"/>
      <c r="J24" s="1182"/>
      <c r="K24" s="1172"/>
      <c r="L24" s="1201"/>
      <c r="M24" s="1200"/>
      <c r="N24" s="1182"/>
      <c r="O24" s="1172"/>
      <c r="P24" s="1177"/>
      <c r="Q24" s="1183"/>
      <c r="R24" s="1201"/>
      <c r="S24" s="1202"/>
      <c r="T24" s="1201"/>
      <c r="U24" s="1202"/>
      <c r="V24" s="1173"/>
      <c r="W24" s="1174"/>
      <c r="X24" s="654"/>
      <c r="Y24" s="1175"/>
      <c r="Z24" s="441"/>
      <c r="AA24" s="441"/>
    </row>
    <row r="25" spans="1:27" ht="23.25" customHeight="1">
      <c r="A25" s="453" t="s">
        <v>699</v>
      </c>
      <c r="B25" s="649">
        <v>415</v>
      </c>
      <c r="C25" s="1200"/>
      <c r="D25" s="1182"/>
      <c r="E25" s="1200"/>
      <c r="F25" s="1183"/>
      <c r="G25" s="1183"/>
      <c r="H25" s="1183"/>
      <c r="I25" s="1183"/>
      <c r="J25" s="1182"/>
      <c r="K25" s="1172"/>
      <c r="L25" s="1201"/>
      <c r="M25" s="1200"/>
      <c r="N25" s="1182"/>
      <c r="O25" s="1172"/>
      <c r="P25" s="1177"/>
      <c r="Q25" s="1183"/>
      <c r="R25" s="1201"/>
      <c r="S25" s="1202"/>
      <c r="T25" s="1201"/>
      <c r="U25" s="1202"/>
      <c r="V25" s="1173"/>
      <c r="W25" s="1174"/>
      <c r="X25" s="654"/>
      <c r="Y25" s="1175"/>
      <c r="Z25" s="441"/>
      <c r="AA25" s="441"/>
    </row>
    <row r="26" spans="1:27" ht="23.25" customHeight="1">
      <c r="A26" s="453" t="s">
        <v>161</v>
      </c>
      <c r="B26" s="649">
        <v>330</v>
      </c>
      <c r="C26" s="1200"/>
      <c r="D26" s="1182"/>
      <c r="E26" s="1200"/>
      <c r="F26" s="1183"/>
      <c r="G26" s="1183"/>
      <c r="H26" s="1183"/>
      <c r="I26" s="1183"/>
      <c r="J26" s="1182"/>
      <c r="K26" s="1172"/>
      <c r="L26" s="1201"/>
      <c r="M26" s="1200"/>
      <c r="N26" s="1182"/>
      <c r="O26" s="1172"/>
      <c r="P26" s="1177"/>
      <c r="Q26" s="1183"/>
      <c r="R26" s="1201"/>
      <c r="S26" s="1202"/>
      <c r="T26" s="1201"/>
      <c r="U26" s="1202"/>
      <c r="V26" s="1173"/>
      <c r="W26" s="1174"/>
      <c r="X26" s="654"/>
      <c r="Y26" s="1175"/>
      <c r="Z26" s="441"/>
      <c r="AA26" s="441"/>
    </row>
    <row r="27" spans="1:27" ht="23.25" customHeight="1">
      <c r="A27" s="459" t="s">
        <v>916</v>
      </c>
      <c r="B27" s="668"/>
      <c r="C27" s="1186"/>
      <c r="D27" s="1187"/>
      <c r="E27" s="1186"/>
      <c r="F27" s="1188"/>
      <c r="G27" s="1188"/>
      <c r="H27" s="1188"/>
      <c r="I27" s="1188"/>
      <c r="J27" s="1187"/>
      <c r="K27" s="1189"/>
      <c r="L27" s="1191"/>
      <c r="M27" s="1186"/>
      <c r="N27" s="1187"/>
      <c r="O27" s="1189"/>
      <c r="P27" s="1190"/>
      <c r="Q27" s="1188"/>
      <c r="R27" s="1191"/>
      <c r="S27" s="1192"/>
      <c r="T27" s="1191"/>
      <c r="U27" s="1192"/>
      <c r="V27" s="1193"/>
      <c r="W27" s="1194"/>
      <c r="X27" s="1195"/>
      <c r="Y27" s="1196"/>
      <c r="Z27" s="441"/>
      <c r="AA27" s="441"/>
    </row>
    <row r="28" spans="1:27" ht="15.75">
      <c r="Z28" s="441"/>
      <c r="AA28" s="441"/>
    </row>
    <row r="29" spans="1:27" ht="15.75">
      <c r="Z29" s="441"/>
      <c r="AA29" s="441"/>
    </row>
    <row r="30" spans="1:27" ht="15.75">
      <c r="Z30" s="441"/>
      <c r="AA30" s="441"/>
    </row>
    <row r="31" spans="1:27">
      <c r="O31" s="470"/>
    </row>
    <row r="32" spans="1:27">
      <c r="D32" s="471"/>
    </row>
    <row r="33" spans="4:4">
      <c r="D33" s="472"/>
    </row>
  </sheetData>
  <mergeCells count="2">
    <mergeCell ref="Q9:Q10"/>
    <mergeCell ref="E9:O9"/>
  </mergeCells>
  <phoneticPr fontId="46" type="noConversion"/>
  <printOptions horizontalCentered="1" verticalCentered="1" gridLinesSet="0"/>
  <pageMargins left="0.19685039370078741" right="0.59055118110236227" top="0.27559055118110237" bottom="0.23622047244094491" header="0.39370078740157483" footer="0.39370078740157483"/>
  <pageSetup paperSize="5" scale="73"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ransitionEvaluation="1"/>
  <dimension ref="A1:AA38"/>
  <sheetViews>
    <sheetView showGridLines="0" zoomScale="75" workbookViewId="0">
      <selection sqref="A1:XFD3"/>
    </sheetView>
  </sheetViews>
  <sheetFormatPr baseColWidth="10" defaultColWidth="12.5703125" defaultRowHeight="12.75"/>
  <cols>
    <col min="1" max="1" width="30.28515625" style="469" customWidth="1"/>
    <col min="2" max="2" width="11.28515625" style="469" customWidth="1"/>
    <col min="3" max="3" width="8.28515625" style="469" customWidth="1"/>
    <col min="4" max="4" width="8.5703125" style="469" customWidth="1"/>
    <col min="5" max="9" width="8.28515625" style="469" customWidth="1"/>
    <col min="10" max="10" width="7" style="469" customWidth="1"/>
    <col min="11" max="12" width="8.28515625" style="469" customWidth="1"/>
    <col min="13" max="14" width="9.28515625" style="469" customWidth="1"/>
    <col min="15" max="17" width="8.28515625" style="469" customWidth="1"/>
    <col min="18" max="19" width="8.42578125" style="469" customWidth="1"/>
    <col min="20" max="21" width="8.7109375" style="469" customWidth="1"/>
    <col min="22" max="25" width="8.28515625" style="469" customWidth="1"/>
    <col min="26" max="26" width="10.7109375" style="440" customWidth="1"/>
    <col min="27" max="27" width="9.28515625" style="440" customWidth="1"/>
    <col min="28" max="16384" width="12.5703125" style="440"/>
  </cols>
  <sheetData>
    <row r="1" spans="1:27" s="1427" customFormat="1">
      <c r="A1" s="1424" t="s">
        <v>169</v>
      </c>
      <c r="B1" s="1424"/>
      <c r="C1" s="1425"/>
      <c r="D1" s="1425"/>
      <c r="E1" s="1425"/>
      <c r="F1" s="1425"/>
      <c r="G1" s="1425"/>
      <c r="H1" s="1425"/>
      <c r="I1" s="1425"/>
      <c r="J1" s="1425"/>
      <c r="K1" s="1426"/>
      <c r="L1" s="1425"/>
      <c r="M1" s="1425"/>
      <c r="N1" s="1425"/>
      <c r="O1" s="1425"/>
      <c r="P1" s="1425"/>
      <c r="Q1" s="1425"/>
      <c r="R1" s="1425"/>
      <c r="S1" s="1425"/>
      <c r="T1" s="1425"/>
      <c r="U1" s="1425"/>
      <c r="V1" s="1425"/>
      <c r="W1" s="1425"/>
      <c r="X1" s="1425"/>
      <c r="Y1" s="1425"/>
    </row>
    <row r="2" spans="1:27" s="1427" customFormat="1">
      <c r="A2" s="1424"/>
      <c r="B2" s="1424"/>
      <c r="C2" s="1425"/>
      <c r="D2" s="1425"/>
      <c r="E2" s="1425"/>
      <c r="F2" s="1425"/>
      <c r="G2" s="1425"/>
      <c r="H2" s="1425"/>
      <c r="I2" s="1425"/>
      <c r="J2" s="1425"/>
      <c r="K2" s="1425"/>
      <c r="L2" s="1425"/>
      <c r="M2" s="1425"/>
      <c r="N2" s="1425"/>
      <c r="O2" s="1425"/>
      <c r="P2" s="1425"/>
      <c r="Q2" s="1425"/>
      <c r="R2" s="1425"/>
      <c r="S2" s="1425"/>
      <c r="T2" s="1425"/>
      <c r="U2" s="1425"/>
      <c r="V2" s="1425"/>
      <c r="W2" s="1425"/>
      <c r="X2" s="1425"/>
      <c r="Y2" s="1425"/>
    </row>
    <row r="3" spans="1:27" s="1427" customFormat="1">
      <c r="A3" s="1424" t="str">
        <f>+'76'!A3</f>
        <v>SERVICIO DE SALUD   ACONCAGUA   2023</v>
      </c>
      <c r="B3" s="1424"/>
      <c r="C3" s="1425"/>
      <c r="D3" s="1425"/>
      <c r="E3" s="1425"/>
      <c r="F3" s="1425"/>
      <c r="G3" s="1425"/>
      <c r="H3" s="1425"/>
      <c r="I3" s="1425"/>
      <c r="J3" s="1425"/>
      <c r="K3" s="1425"/>
      <c r="L3" s="1425"/>
      <c r="M3" s="1425"/>
      <c r="N3" s="1425"/>
      <c r="O3" s="1425"/>
      <c r="P3" s="1425"/>
      <c r="Q3" s="1425"/>
      <c r="R3" s="1425"/>
      <c r="S3" s="1425"/>
      <c r="T3" s="1425"/>
      <c r="U3" s="1425"/>
      <c r="V3" s="1425"/>
      <c r="W3" s="1425"/>
      <c r="X3" s="1425"/>
      <c r="Y3" s="1425"/>
    </row>
    <row r="4" spans="1:27">
      <c r="A4" s="439"/>
      <c r="B4" s="439"/>
      <c r="C4" s="439"/>
      <c r="D4" s="439"/>
      <c r="E4" s="439"/>
      <c r="F4" s="439"/>
      <c r="G4" s="439"/>
      <c r="H4" s="439"/>
      <c r="I4" s="439"/>
      <c r="J4" s="439"/>
      <c r="K4" s="439"/>
      <c r="L4" s="439"/>
      <c r="M4" s="439"/>
      <c r="N4" s="439"/>
      <c r="O4" s="439"/>
      <c r="P4" s="439"/>
      <c r="Q4" s="439"/>
      <c r="R4" s="439"/>
      <c r="S4" s="439"/>
      <c r="T4" s="439"/>
      <c r="U4" s="439"/>
      <c r="V4" s="439"/>
      <c r="W4" s="439"/>
      <c r="X4" s="439"/>
      <c r="Y4" s="439"/>
    </row>
    <row r="5" spans="1:27">
      <c r="A5" s="439"/>
      <c r="B5" s="439"/>
      <c r="C5" s="439"/>
      <c r="D5" s="439"/>
      <c r="E5" s="439"/>
      <c r="F5" s="439"/>
      <c r="G5" s="439"/>
      <c r="H5" s="439"/>
      <c r="I5" s="439"/>
      <c r="J5" s="439"/>
      <c r="K5" s="439"/>
      <c r="L5" s="439"/>
      <c r="M5" s="439"/>
      <c r="N5" s="439"/>
      <c r="O5" s="439"/>
      <c r="P5" s="439"/>
      <c r="Q5" s="439"/>
      <c r="R5" s="439"/>
      <c r="S5" s="439"/>
      <c r="T5" s="439"/>
      <c r="U5" s="439"/>
      <c r="V5" s="439"/>
      <c r="W5" s="439"/>
      <c r="X5" s="439"/>
      <c r="Y5" s="439"/>
    </row>
    <row r="6" spans="1:27">
      <c r="A6" s="439"/>
      <c r="B6" s="439"/>
      <c r="C6" s="439"/>
      <c r="D6" s="439"/>
      <c r="E6" s="439"/>
      <c r="F6" s="439"/>
      <c r="G6" s="439"/>
      <c r="H6" s="439"/>
      <c r="I6" s="439"/>
      <c r="J6" s="439"/>
      <c r="K6" s="439"/>
      <c r="L6" s="439"/>
      <c r="M6" s="439"/>
      <c r="N6" s="439"/>
      <c r="O6" s="439"/>
      <c r="P6" s="439"/>
      <c r="Q6" s="439"/>
      <c r="R6" s="439"/>
      <c r="S6" s="439"/>
      <c r="T6" s="439"/>
      <c r="U6" s="439"/>
      <c r="V6" s="439"/>
      <c r="W6" s="439"/>
      <c r="X6" s="439"/>
      <c r="Y6" s="439"/>
    </row>
    <row r="7" spans="1:27">
      <c r="A7" s="439"/>
      <c r="B7" s="439"/>
      <c r="C7" s="439"/>
      <c r="D7" s="439"/>
      <c r="E7" s="439"/>
      <c r="F7" s="439"/>
      <c r="G7" s="439"/>
      <c r="H7" s="439"/>
      <c r="I7" s="439"/>
      <c r="J7" s="439"/>
      <c r="K7" s="439"/>
      <c r="L7" s="439"/>
      <c r="M7" s="439"/>
      <c r="N7" s="439"/>
      <c r="O7" s="439"/>
      <c r="P7" s="439"/>
      <c r="Q7" s="439"/>
      <c r="R7" s="439"/>
      <c r="S7" s="439"/>
      <c r="T7" s="439"/>
      <c r="U7" s="439"/>
      <c r="V7" s="439"/>
      <c r="W7" s="439"/>
      <c r="X7" s="439"/>
      <c r="Y7" s="439"/>
    </row>
    <row r="8" spans="1:27" ht="15.75">
      <c r="A8" s="442"/>
      <c r="B8" s="442"/>
      <c r="C8" s="442"/>
      <c r="D8" s="442"/>
      <c r="E8" s="442"/>
      <c r="F8" s="442"/>
      <c r="G8" s="442"/>
      <c r="H8" s="442"/>
      <c r="I8" s="442"/>
      <c r="J8" s="442"/>
      <c r="K8" s="442"/>
      <c r="L8" s="442"/>
      <c r="M8" s="442"/>
      <c r="N8" s="442"/>
      <c r="O8" s="442"/>
      <c r="P8" s="442"/>
      <c r="Q8" s="442"/>
      <c r="R8" s="442"/>
      <c r="S8" s="442"/>
      <c r="T8" s="442"/>
      <c r="U8" s="442"/>
      <c r="V8" s="442"/>
      <c r="W8" s="442"/>
      <c r="X8" s="442"/>
      <c r="Y8" s="442"/>
      <c r="Z8" s="441"/>
      <c r="AA8" s="441"/>
    </row>
    <row r="9" spans="1:27" s="444" customFormat="1" ht="21.75" customHeight="1">
      <c r="A9" s="1390"/>
      <c r="B9" s="1390"/>
      <c r="C9" s="1391"/>
      <c r="D9" s="1392"/>
      <c r="E9" s="1627" t="s">
        <v>129</v>
      </c>
      <c r="F9" s="1627"/>
      <c r="G9" s="1627"/>
      <c r="H9" s="1627"/>
      <c r="I9" s="1627"/>
      <c r="J9" s="1627"/>
      <c r="K9" s="1627"/>
      <c r="L9" s="1627"/>
      <c r="M9" s="1627"/>
      <c r="N9" s="1627"/>
      <c r="O9" s="1627"/>
      <c r="P9" s="1393"/>
      <c r="Q9" s="1625" t="s">
        <v>130</v>
      </c>
      <c r="R9" s="1394" t="s">
        <v>131</v>
      </c>
      <c r="S9" s="1395"/>
      <c r="T9" s="1396" t="s">
        <v>132</v>
      </c>
      <c r="U9" s="1397"/>
      <c r="V9" s="1394" t="s">
        <v>133</v>
      </c>
      <c r="W9" s="1398"/>
      <c r="X9" s="1398"/>
      <c r="Y9" s="1395"/>
      <c r="Z9" s="443"/>
      <c r="AA9" s="443"/>
    </row>
    <row r="10" spans="1:27" s="444" customFormat="1" ht="19.5" customHeight="1">
      <c r="A10" s="1399" t="s">
        <v>134</v>
      </c>
      <c r="B10" s="1399" t="s">
        <v>1088</v>
      </c>
      <c r="C10" s="1400"/>
      <c r="D10" s="1401" t="s">
        <v>135</v>
      </c>
      <c r="E10" s="1402" t="s">
        <v>136</v>
      </c>
      <c r="F10" s="1403"/>
      <c r="G10" s="1403"/>
      <c r="H10" s="1403"/>
      <c r="I10" s="1403"/>
      <c r="J10" s="1403"/>
      <c r="K10" s="1404"/>
      <c r="L10" s="1405" t="s">
        <v>137</v>
      </c>
      <c r="M10" s="1405"/>
      <c r="N10" s="1405"/>
      <c r="O10" s="1405"/>
      <c r="P10" s="1401" t="s">
        <v>135</v>
      </c>
      <c r="Q10" s="1626"/>
      <c r="R10" s="1406"/>
      <c r="S10" s="1407"/>
      <c r="T10" s="1408"/>
      <c r="U10" s="1408"/>
      <c r="V10" s="1409"/>
      <c r="W10" s="1410"/>
      <c r="X10" s="1410"/>
      <c r="Y10" s="1411"/>
      <c r="Z10" s="443"/>
      <c r="AA10" s="443"/>
    </row>
    <row r="11" spans="1:27" s="444" customFormat="1" ht="36" customHeight="1">
      <c r="A11" s="1399" t="s">
        <v>138</v>
      </c>
      <c r="B11" s="1399" t="s">
        <v>1089</v>
      </c>
      <c r="C11" s="1412" t="s">
        <v>139</v>
      </c>
      <c r="D11" s="1412" t="s">
        <v>140</v>
      </c>
      <c r="E11" s="1413" t="s">
        <v>957</v>
      </c>
      <c r="F11" s="1414" t="s">
        <v>955</v>
      </c>
      <c r="G11" s="1414" t="s">
        <v>141</v>
      </c>
      <c r="H11" s="1415" t="s">
        <v>142</v>
      </c>
      <c r="I11" s="1415" t="s">
        <v>143</v>
      </c>
      <c r="J11" s="1416" t="s">
        <v>1565</v>
      </c>
      <c r="K11" s="1414" t="s">
        <v>474</v>
      </c>
      <c r="L11" s="1417" t="s">
        <v>144</v>
      </c>
      <c r="M11" s="1415" t="s">
        <v>145</v>
      </c>
      <c r="N11" s="1418" t="s">
        <v>146</v>
      </c>
      <c r="O11" s="1414" t="s">
        <v>474</v>
      </c>
      <c r="P11" s="1412" t="s">
        <v>147</v>
      </c>
      <c r="Q11" s="1419" t="s">
        <v>148</v>
      </c>
      <c r="R11" s="1420" t="s">
        <v>149</v>
      </c>
      <c r="S11" s="1414" t="s">
        <v>150</v>
      </c>
      <c r="T11" s="1414" t="s">
        <v>474</v>
      </c>
      <c r="U11" s="1421" t="s">
        <v>151</v>
      </c>
      <c r="V11" s="1415" t="s">
        <v>152</v>
      </c>
      <c r="W11" s="1415" t="s">
        <v>153</v>
      </c>
      <c r="X11" s="1422" t="s">
        <v>154</v>
      </c>
      <c r="Y11" s="1423" t="s">
        <v>155</v>
      </c>
      <c r="Z11" s="443"/>
      <c r="AA11" s="443"/>
    </row>
    <row r="12" spans="1:27" ht="22.5" customHeight="1">
      <c r="A12" s="446" t="s">
        <v>582</v>
      </c>
      <c r="B12" s="1170"/>
      <c r="C12" s="1172">
        <f t="shared" ref="C12:J12" si="0">SUM(C16:C27)</f>
        <v>354</v>
      </c>
      <c r="D12" s="935">
        <f t="shared" si="0"/>
        <v>209</v>
      </c>
      <c r="E12" s="935">
        <f t="shared" si="0"/>
        <v>0</v>
      </c>
      <c r="F12" s="935">
        <f t="shared" si="0"/>
        <v>0</v>
      </c>
      <c r="G12" s="935">
        <f t="shared" si="0"/>
        <v>0</v>
      </c>
      <c r="H12" s="935">
        <f t="shared" si="0"/>
        <v>134</v>
      </c>
      <c r="I12" s="935">
        <f t="shared" si="0"/>
        <v>463</v>
      </c>
      <c r="J12" s="935">
        <f t="shared" si="0"/>
        <v>81</v>
      </c>
      <c r="K12" s="935">
        <f>SUM(K14:K27)</f>
        <v>597</v>
      </c>
      <c r="L12" s="935">
        <f>SUM(L16:L27)</f>
        <v>573</v>
      </c>
      <c r="M12" s="1172">
        <f>SUM(M16:M27)</f>
        <v>84</v>
      </c>
      <c r="N12" s="935">
        <f>SUM(N16:N27)</f>
        <v>2</v>
      </c>
      <c r="O12" s="1172">
        <f>L12+N12</f>
        <v>575</v>
      </c>
      <c r="P12" s="935">
        <f t="shared" ref="P12:U12" si="1">SUM(P16:P27)</f>
        <v>228</v>
      </c>
      <c r="Q12" s="935">
        <f t="shared" si="1"/>
        <v>4</v>
      </c>
      <c r="R12" s="1172">
        <f t="shared" si="1"/>
        <v>94788</v>
      </c>
      <c r="S12" s="935">
        <f t="shared" si="1"/>
        <v>90132</v>
      </c>
      <c r="T12" s="1172">
        <f t="shared" si="1"/>
        <v>115929</v>
      </c>
      <c r="U12" s="935">
        <f t="shared" si="1"/>
        <v>115819</v>
      </c>
      <c r="V12" s="1203">
        <f>S12/R12*100</f>
        <v>95.087985820989999</v>
      </c>
      <c r="W12" s="1204">
        <f>+T12/O12</f>
        <v>201.61565217391305</v>
      </c>
      <c r="X12" s="1205">
        <f>+O12/(R12/30.4)</f>
        <v>0.18441152888551293</v>
      </c>
      <c r="Y12" s="1206">
        <f>(+R12-S12)/O12</f>
        <v>8.0973913043478269</v>
      </c>
      <c r="Z12" s="441"/>
      <c r="AA12" s="441"/>
    </row>
    <row r="13" spans="1:27" ht="22.5" customHeight="1">
      <c r="A13" s="648" t="s">
        <v>1199</v>
      </c>
      <c r="B13" s="649">
        <v>401</v>
      </c>
      <c r="C13" s="1172"/>
      <c r="D13" s="1177"/>
      <c r="E13" s="1172"/>
      <c r="F13" s="1177"/>
      <c r="G13" s="1177"/>
      <c r="H13" s="1177"/>
      <c r="I13" s="1177"/>
      <c r="J13" s="1177"/>
      <c r="K13" s="1172"/>
      <c r="L13" s="1177"/>
      <c r="M13" s="1172"/>
      <c r="N13" s="1177"/>
      <c r="O13" s="1172"/>
      <c r="P13" s="1177"/>
      <c r="Q13" s="1177"/>
      <c r="R13" s="1201"/>
      <c r="S13" s="1202"/>
      <c r="T13" s="1201"/>
      <c r="U13" s="1172"/>
      <c r="V13" s="1173"/>
      <c r="W13" s="1174"/>
      <c r="X13" s="654"/>
      <c r="Y13" s="1175"/>
      <c r="Z13" s="441"/>
      <c r="AA13" s="441"/>
    </row>
    <row r="14" spans="1:27" ht="22.5" customHeight="1">
      <c r="A14" s="648" t="s">
        <v>1090</v>
      </c>
      <c r="B14" s="649">
        <v>403</v>
      </c>
      <c r="C14" s="1172"/>
      <c r="D14" s="1177"/>
      <c r="E14" s="1172"/>
      <c r="F14" s="1177"/>
      <c r="G14" s="1177"/>
      <c r="H14" s="1177"/>
      <c r="I14" s="1177"/>
      <c r="J14" s="1177"/>
      <c r="K14" s="1172"/>
      <c r="L14" s="1177"/>
      <c r="M14" s="1172"/>
      <c r="N14" s="1177"/>
      <c r="O14" s="1172"/>
      <c r="P14" s="1177"/>
      <c r="Q14" s="1177"/>
      <c r="R14" s="1201"/>
      <c r="S14" s="1202"/>
      <c r="T14" s="1201"/>
      <c r="U14" s="1172"/>
      <c r="V14" s="1173"/>
      <c r="W14" s="1174"/>
      <c r="X14" s="654"/>
      <c r="Y14" s="1175"/>
      <c r="Z14" s="441"/>
      <c r="AA14" s="441"/>
    </row>
    <row r="15" spans="1:27" ht="22.5" customHeight="1">
      <c r="A15" s="648" t="s">
        <v>1091</v>
      </c>
      <c r="B15" s="649">
        <v>404</v>
      </c>
      <c r="C15" s="1172"/>
      <c r="D15" s="1177"/>
      <c r="E15" s="1172"/>
      <c r="F15" s="1177"/>
      <c r="G15" s="1177"/>
      <c r="H15" s="1177"/>
      <c r="I15" s="1177"/>
      <c r="J15" s="1177"/>
      <c r="K15" s="1172"/>
      <c r="L15" s="1177"/>
      <c r="M15" s="1172"/>
      <c r="N15" s="1177"/>
      <c r="O15" s="1172"/>
      <c r="P15" s="1177"/>
      <c r="Q15" s="1177"/>
      <c r="R15" s="1201"/>
      <c r="S15" s="1202"/>
      <c r="T15" s="1201"/>
      <c r="U15" s="1172"/>
      <c r="V15" s="1173"/>
      <c r="W15" s="1174"/>
      <c r="X15" s="654"/>
      <c r="Y15" s="1175"/>
      <c r="Z15" s="441"/>
      <c r="AA15" s="441"/>
    </row>
    <row r="16" spans="1:27" ht="16.5" customHeight="1">
      <c r="A16" s="453" t="s">
        <v>156</v>
      </c>
      <c r="B16" s="649">
        <v>416</v>
      </c>
      <c r="C16" s="1200"/>
      <c r="D16" s="1182"/>
      <c r="E16" s="1200"/>
      <c r="F16" s="458"/>
      <c r="G16" s="458"/>
      <c r="H16" s="458"/>
      <c r="I16" s="458"/>
      <c r="J16" s="1182"/>
      <c r="K16" s="1172"/>
      <c r="L16" s="1201"/>
      <c r="M16" s="1200"/>
      <c r="N16" s="1182"/>
      <c r="O16" s="1172"/>
      <c r="P16" s="1177"/>
      <c r="Q16" s="1183"/>
      <c r="R16" s="1201"/>
      <c r="S16" s="1202"/>
      <c r="T16" s="1201"/>
      <c r="U16" s="1202"/>
      <c r="V16" s="1173"/>
      <c r="W16" s="1174"/>
      <c r="X16" s="654"/>
      <c r="Y16" s="1175"/>
      <c r="Z16" s="441"/>
      <c r="AA16" s="441"/>
    </row>
    <row r="17" spans="1:27" ht="18" customHeight="1">
      <c r="A17" s="648" t="s">
        <v>1092</v>
      </c>
      <c r="B17" s="649">
        <v>407</v>
      </c>
      <c r="C17" s="1200"/>
      <c r="D17" s="1182"/>
      <c r="E17" s="1200"/>
      <c r="F17" s="1183"/>
      <c r="G17" s="1183"/>
      <c r="H17" s="1183"/>
      <c r="I17" s="1183"/>
      <c r="J17" s="1182"/>
      <c r="K17" s="1172"/>
      <c r="L17" s="1201"/>
      <c r="M17" s="1200"/>
      <c r="N17" s="1182"/>
      <c r="O17" s="1172"/>
      <c r="P17" s="1177"/>
      <c r="Q17" s="1183"/>
      <c r="R17" s="1201"/>
      <c r="S17" s="1202"/>
      <c r="T17" s="1201"/>
      <c r="U17" s="1202"/>
      <c r="V17" s="1173"/>
      <c r="W17" s="1174"/>
      <c r="X17" s="654"/>
      <c r="Y17" s="1175"/>
      <c r="Z17" s="441"/>
      <c r="AA17" s="441"/>
    </row>
    <row r="18" spans="1:27" ht="18" customHeight="1">
      <c r="A18" s="648" t="s">
        <v>1093</v>
      </c>
      <c r="B18" s="649">
        <v>409</v>
      </c>
      <c r="C18" s="1200"/>
      <c r="D18" s="1182"/>
      <c r="E18" s="1200"/>
      <c r="F18" s="1183"/>
      <c r="G18" s="1183"/>
      <c r="H18" s="1183"/>
      <c r="I18" s="1183"/>
      <c r="J18" s="1182"/>
      <c r="K18" s="1172"/>
      <c r="L18" s="1201"/>
      <c r="M18" s="1200"/>
      <c r="N18" s="1182"/>
      <c r="O18" s="1172"/>
      <c r="P18" s="1177"/>
      <c r="Q18" s="1183"/>
      <c r="R18" s="1201"/>
      <c r="S18" s="1202"/>
      <c r="T18" s="1201"/>
      <c r="U18" s="1202"/>
      <c r="V18" s="1173"/>
      <c r="W18" s="1174"/>
      <c r="X18" s="654"/>
      <c r="Y18" s="1175"/>
      <c r="Z18" s="441"/>
      <c r="AA18" s="441"/>
    </row>
    <row r="19" spans="1:27" ht="17.25" customHeight="1">
      <c r="A19" s="453" t="s">
        <v>157</v>
      </c>
      <c r="B19" s="649">
        <v>413</v>
      </c>
      <c r="C19" s="1200"/>
      <c r="D19" s="1182"/>
      <c r="E19" s="1200"/>
      <c r="F19" s="1183"/>
      <c r="G19" s="1183"/>
      <c r="H19" s="1183"/>
      <c r="I19" s="1183"/>
      <c r="J19" s="1182"/>
      <c r="K19" s="1172"/>
      <c r="L19" s="1201"/>
      <c r="M19" s="1200"/>
      <c r="N19" s="1182"/>
      <c r="O19" s="1172"/>
      <c r="P19" s="1177"/>
      <c r="Q19" s="1183"/>
      <c r="R19" s="1201"/>
      <c r="S19" s="1202"/>
      <c r="T19" s="1201"/>
      <c r="U19" s="1202"/>
      <c r="V19" s="1173"/>
      <c r="W19" s="1174"/>
      <c r="X19" s="654"/>
      <c r="Y19" s="1175"/>
      <c r="Z19" s="441"/>
      <c r="AA19" s="441"/>
    </row>
    <row r="20" spans="1:27" ht="17.25" customHeight="1">
      <c r="A20" s="648" t="s">
        <v>1267</v>
      </c>
      <c r="B20" s="649">
        <v>411</v>
      </c>
      <c r="C20" s="1200"/>
      <c r="D20" s="1182"/>
      <c r="E20" s="1200"/>
      <c r="F20" s="1183"/>
      <c r="G20" s="1183"/>
      <c r="H20" s="1183"/>
      <c r="I20" s="1183"/>
      <c r="J20" s="1182"/>
      <c r="K20" s="1172"/>
      <c r="L20" s="1201"/>
      <c r="M20" s="1200"/>
      <c r="N20" s="1182"/>
      <c r="O20" s="1172"/>
      <c r="P20" s="1177"/>
      <c r="Q20" s="1183"/>
      <c r="R20" s="1201"/>
      <c r="S20" s="1202"/>
      <c r="T20" s="1201"/>
      <c r="U20" s="1202"/>
      <c r="V20" s="1173"/>
      <c r="W20" s="1174"/>
      <c r="X20" s="654"/>
      <c r="Y20" s="1175"/>
      <c r="Z20" s="441"/>
      <c r="AA20" s="441"/>
    </row>
    <row r="21" spans="1:27" ht="17.25" customHeight="1">
      <c r="A21" s="648" t="s">
        <v>1087</v>
      </c>
      <c r="B21" s="649">
        <v>412</v>
      </c>
      <c r="C21" s="1200"/>
      <c r="D21" s="1182"/>
      <c r="E21" s="1200"/>
      <c r="F21" s="1183"/>
      <c r="G21" s="1183"/>
      <c r="H21" s="1183"/>
      <c r="I21" s="1183"/>
      <c r="J21" s="1182"/>
      <c r="K21" s="1172"/>
      <c r="L21" s="1201"/>
      <c r="M21" s="1200"/>
      <c r="N21" s="1182"/>
      <c r="O21" s="1172"/>
      <c r="P21" s="1177"/>
      <c r="Q21" s="1183"/>
      <c r="R21" s="1201"/>
      <c r="S21" s="1202"/>
      <c r="T21" s="1201"/>
      <c r="U21" s="1202"/>
      <c r="V21" s="1173"/>
      <c r="W21" s="1174"/>
      <c r="X21" s="654"/>
      <c r="Y21" s="1175"/>
      <c r="Z21" s="441"/>
      <c r="AA21" s="441"/>
    </row>
    <row r="22" spans="1:27" ht="18.75" customHeight="1">
      <c r="A22" s="453" t="s">
        <v>158</v>
      </c>
      <c r="B22" s="649">
        <v>414</v>
      </c>
      <c r="C22" s="1200"/>
      <c r="D22" s="1182"/>
      <c r="E22" s="1200"/>
      <c r="F22" s="1183"/>
      <c r="G22" s="1183"/>
      <c r="H22" s="1183"/>
      <c r="I22" s="1183"/>
      <c r="J22" s="1182"/>
      <c r="K22" s="1172"/>
      <c r="L22" s="1201"/>
      <c r="M22" s="1200"/>
      <c r="N22" s="1182"/>
      <c r="O22" s="1172"/>
      <c r="P22" s="1177"/>
      <c r="Q22" s="1183"/>
      <c r="R22" s="1201"/>
      <c r="S22" s="1202"/>
      <c r="T22" s="1201"/>
      <c r="U22" s="1202"/>
      <c r="V22" s="1173"/>
      <c r="W22" s="1174"/>
      <c r="X22" s="654"/>
      <c r="Y22" s="1175"/>
      <c r="Z22" s="441"/>
      <c r="AA22" s="441"/>
    </row>
    <row r="23" spans="1:27" ht="19.5" customHeight="1">
      <c r="A23" s="453" t="s">
        <v>159</v>
      </c>
      <c r="B23" s="649">
        <v>405</v>
      </c>
      <c r="C23" s="1200"/>
      <c r="D23" s="1182"/>
      <c r="E23" s="1200"/>
      <c r="F23" s="1183"/>
      <c r="G23" s="1183"/>
      <c r="H23" s="1183"/>
      <c r="I23" s="1183"/>
      <c r="J23" s="1182"/>
      <c r="K23" s="1172"/>
      <c r="L23" s="1201"/>
      <c r="M23" s="1200"/>
      <c r="N23" s="1182"/>
      <c r="O23" s="1172"/>
      <c r="P23" s="1177"/>
      <c r="Q23" s="1183"/>
      <c r="R23" s="1201"/>
      <c r="S23" s="1202"/>
      <c r="T23" s="1201"/>
      <c r="U23" s="1202"/>
      <c r="V23" s="1173"/>
      <c r="W23" s="1174"/>
      <c r="X23" s="654"/>
      <c r="Y23" s="1175"/>
      <c r="Z23" s="441"/>
      <c r="AA23" s="441"/>
    </row>
    <row r="24" spans="1:27" ht="19.5" customHeight="1">
      <c r="A24" s="453" t="s">
        <v>160</v>
      </c>
      <c r="B24" s="649">
        <v>406</v>
      </c>
      <c r="C24" s="1200"/>
      <c r="D24" s="1182"/>
      <c r="E24" s="1200"/>
      <c r="F24" s="1183"/>
      <c r="G24" s="1183"/>
      <c r="H24" s="1183"/>
      <c r="I24" s="1183"/>
      <c r="J24" s="1182"/>
      <c r="K24" s="1172"/>
      <c r="L24" s="1201"/>
      <c r="M24" s="1200"/>
      <c r="N24" s="1182"/>
      <c r="O24" s="1172"/>
      <c r="P24" s="1177"/>
      <c r="Q24" s="1183"/>
      <c r="R24" s="1201"/>
      <c r="S24" s="1202"/>
      <c r="T24" s="1201"/>
      <c r="U24" s="1202"/>
      <c r="V24" s="1173"/>
      <c r="W24" s="1174"/>
      <c r="X24" s="654"/>
      <c r="Y24" s="1175"/>
      <c r="Z24" s="441"/>
      <c r="AA24" s="441"/>
    </row>
    <row r="25" spans="1:27" ht="19.5" customHeight="1">
      <c r="A25" s="453" t="s">
        <v>699</v>
      </c>
      <c r="B25" s="649">
        <v>415</v>
      </c>
      <c r="C25" s="1200"/>
      <c r="D25" s="1182"/>
      <c r="E25" s="1200"/>
      <c r="F25" s="1183"/>
      <c r="G25" s="1183"/>
      <c r="H25" s="1183"/>
      <c r="I25" s="1183"/>
      <c r="J25" s="1182"/>
      <c r="K25" s="1172"/>
      <c r="L25" s="1201"/>
      <c r="M25" s="1200"/>
      <c r="N25" s="1182"/>
      <c r="O25" s="1172"/>
      <c r="P25" s="1177"/>
      <c r="Q25" s="1183"/>
      <c r="R25" s="1201"/>
      <c r="S25" s="1202"/>
      <c r="T25" s="1201"/>
      <c r="U25" s="1202"/>
      <c r="V25" s="1173"/>
      <c r="W25" s="1174"/>
      <c r="X25" s="654"/>
      <c r="Y25" s="1175"/>
      <c r="Z25" s="441"/>
      <c r="AA25" s="441"/>
    </row>
    <row r="26" spans="1:27" ht="18" customHeight="1">
      <c r="A26" s="453" t="s">
        <v>161</v>
      </c>
      <c r="B26" s="649">
        <v>330</v>
      </c>
      <c r="C26" s="1200"/>
      <c r="D26" s="1182"/>
      <c r="E26" s="1200"/>
      <c r="F26" s="1183"/>
      <c r="G26" s="1183"/>
      <c r="H26" s="1183"/>
      <c r="I26" s="1183"/>
      <c r="J26" s="1182"/>
      <c r="K26" s="1172"/>
      <c r="L26" s="1201"/>
      <c r="M26" s="1200"/>
      <c r="N26" s="1182"/>
      <c r="O26" s="1172"/>
      <c r="P26" s="1177"/>
      <c r="Q26" s="1183"/>
      <c r="R26" s="1201"/>
      <c r="S26" s="1202"/>
      <c r="T26" s="1201"/>
      <c r="U26" s="1202"/>
      <c r="V26" s="1173"/>
      <c r="W26" s="1174"/>
      <c r="X26" s="654"/>
      <c r="Y26" s="1175"/>
      <c r="Z26" s="441"/>
      <c r="AA26" s="441"/>
    </row>
    <row r="27" spans="1:27" ht="27" customHeight="1">
      <c r="A27" s="453" t="s">
        <v>916</v>
      </c>
      <c r="B27" s="649"/>
      <c r="C27" s="1200">
        <f t="shared" ref="C27:Q27" si="2">SUM(C28:C35)</f>
        <v>354</v>
      </c>
      <c r="D27" s="1182">
        <f t="shared" si="2"/>
        <v>209</v>
      </c>
      <c r="E27" s="1182">
        <f t="shared" si="2"/>
        <v>0</v>
      </c>
      <c r="F27" s="1182">
        <f t="shared" si="2"/>
        <v>0</v>
      </c>
      <c r="G27" s="1182">
        <f t="shared" si="2"/>
        <v>0</v>
      </c>
      <c r="H27" s="1182">
        <f t="shared" si="2"/>
        <v>134</v>
      </c>
      <c r="I27" s="1182">
        <f t="shared" si="2"/>
        <v>463</v>
      </c>
      <c r="J27" s="1182">
        <f t="shared" si="2"/>
        <v>81</v>
      </c>
      <c r="K27" s="1172">
        <f>SUM(E27:I27)</f>
        <v>597</v>
      </c>
      <c r="L27" s="1182">
        <f t="shared" si="2"/>
        <v>573</v>
      </c>
      <c r="M27" s="1182">
        <f t="shared" si="2"/>
        <v>84</v>
      </c>
      <c r="N27" s="1182">
        <f t="shared" si="2"/>
        <v>2</v>
      </c>
      <c r="O27" s="1172">
        <f>L27+N27</f>
        <v>575</v>
      </c>
      <c r="P27" s="1182">
        <f t="shared" si="2"/>
        <v>228</v>
      </c>
      <c r="Q27" s="1182">
        <f t="shared" si="2"/>
        <v>4</v>
      </c>
      <c r="R27" s="1182">
        <f>SUM(R28:R35)</f>
        <v>94788</v>
      </c>
      <c r="S27" s="1182">
        <f>SUM(S28:S35)</f>
        <v>90132</v>
      </c>
      <c r="T27" s="1182">
        <f>SUM(T28:T35)</f>
        <v>115929</v>
      </c>
      <c r="U27" s="1182">
        <f>SUM(U28:U35)</f>
        <v>115819</v>
      </c>
      <c r="V27" s="1173">
        <f t="shared" ref="V27:V33" si="3">S27/R27*100</f>
        <v>95.087985820989999</v>
      </c>
      <c r="W27" s="1174">
        <f t="shared" ref="W27:W33" si="4">+T27/O27</f>
        <v>201.61565217391305</v>
      </c>
      <c r="X27" s="654">
        <f t="shared" ref="X27:X33" si="5">+O27/(R27/30.4)</f>
        <v>0.18441152888551293</v>
      </c>
      <c r="Y27" s="1175">
        <f t="shared" ref="Y27:Y33" si="6">(+R27-S27)/O27</f>
        <v>8.0973913043478269</v>
      </c>
      <c r="Z27" s="441"/>
      <c r="AA27" s="441"/>
    </row>
    <row r="28" spans="1:27" s="444" customFormat="1" ht="18" customHeight="1">
      <c r="A28" s="473" t="s">
        <v>170</v>
      </c>
      <c r="B28" s="649">
        <v>418</v>
      </c>
      <c r="C28" s="649">
        <v>42</v>
      </c>
      <c r="D28" s="1207">
        <v>28</v>
      </c>
      <c r="E28" s="649"/>
      <c r="F28" s="1183"/>
      <c r="G28" s="1183"/>
      <c r="H28" s="1183">
        <v>27</v>
      </c>
      <c r="I28" s="649">
        <v>84</v>
      </c>
      <c r="J28" s="649">
        <v>1</v>
      </c>
      <c r="K28" s="1172">
        <f t="shared" ref="K28:K35" si="7">SUM(E28:J28)</f>
        <v>112</v>
      </c>
      <c r="L28" s="649">
        <v>103</v>
      </c>
      <c r="M28" s="649">
        <v>6</v>
      </c>
      <c r="N28" s="649"/>
      <c r="O28" s="1177">
        <f>SUM(L28:N28)</f>
        <v>109</v>
      </c>
      <c r="P28" s="1177">
        <f t="shared" ref="P28:P35" si="8">SUM(D28,K28)-O28</f>
        <v>31</v>
      </c>
      <c r="Q28" s="1183"/>
      <c r="R28" s="1183">
        <v>3601</v>
      </c>
      <c r="S28" s="1183">
        <v>3408</v>
      </c>
      <c r="T28" s="1179">
        <v>3509</v>
      </c>
      <c r="U28" s="1179">
        <v>3439</v>
      </c>
      <c r="V28" s="1173">
        <f t="shared" si="3"/>
        <v>94.640377672868652</v>
      </c>
      <c r="W28" s="1174">
        <f t="shared" si="4"/>
        <v>32.192660550458719</v>
      </c>
      <c r="X28" s="654">
        <f t="shared" si="5"/>
        <v>0.92018883643432381</v>
      </c>
      <c r="Y28" s="1175">
        <f t="shared" si="6"/>
        <v>1.7706422018348624</v>
      </c>
      <c r="Z28" s="443"/>
      <c r="AA28" s="443"/>
    </row>
    <row r="29" spans="1:27" s="444" customFormat="1" ht="18" customHeight="1">
      <c r="A29" s="473" t="s">
        <v>171</v>
      </c>
      <c r="B29" s="649">
        <v>419</v>
      </c>
      <c r="C29" s="649">
        <v>110</v>
      </c>
      <c r="D29" s="1207">
        <v>12</v>
      </c>
      <c r="E29" s="649"/>
      <c r="F29" s="1183"/>
      <c r="G29" s="1183"/>
      <c r="H29" s="1183">
        <v>32</v>
      </c>
      <c r="I29" s="649">
        <v>40</v>
      </c>
      <c r="J29" s="649">
        <v>17</v>
      </c>
      <c r="K29" s="1172">
        <f t="shared" si="7"/>
        <v>89</v>
      </c>
      <c r="L29" s="649">
        <v>77</v>
      </c>
      <c r="M29" s="649">
        <v>8</v>
      </c>
      <c r="N29" s="649"/>
      <c r="O29" s="1177">
        <f t="shared" ref="O29:O34" si="9">SUM(L29:N29)</f>
        <v>85</v>
      </c>
      <c r="P29" s="1177">
        <f t="shared" si="8"/>
        <v>16</v>
      </c>
      <c r="Q29" s="1183"/>
      <c r="R29" s="1179">
        <v>31755</v>
      </c>
      <c r="S29" s="1179">
        <v>30474</v>
      </c>
      <c r="T29" s="1179">
        <v>42034</v>
      </c>
      <c r="U29" s="649">
        <v>42034</v>
      </c>
      <c r="V29" s="1173">
        <f t="shared" si="3"/>
        <v>95.965989607935754</v>
      </c>
      <c r="W29" s="1174">
        <f t="shared" si="4"/>
        <v>494.51764705882351</v>
      </c>
      <c r="X29" s="654">
        <f t="shared" si="5"/>
        <v>8.1373012124074939E-2</v>
      </c>
      <c r="Y29" s="1175">
        <f t="shared" si="6"/>
        <v>15.070588235294117</v>
      </c>
      <c r="Z29" s="443"/>
      <c r="AA29" s="443"/>
    </row>
    <row r="30" spans="1:27" s="444" customFormat="1" ht="18" customHeight="1">
      <c r="A30" s="453" t="s">
        <v>172</v>
      </c>
      <c r="B30" s="649">
        <v>420</v>
      </c>
      <c r="C30" s="649">
        <v>109</v>
      </c>
      <c r="D30" s="649">
        <v>105</v>
      </c>
      <c r="E30" s="649"/>
      <c r="F30" s="1183"/>
      <c r="G30" s="1183"/>
      <c r="H30" s="1183">
        <v>19</v>
      </c>
      <c r="I30" s="649"/>
      <c r="J30" s="649"/>
      <c r="K30" s="1172">
        <f t="shared" si="7"/>
        <v>19</v>
      </c>
      <c r="L30" s="649">
        <v>22</v>
      </c>
      <c r="M30" s="649"/>
      <c r="N30" s="649">
        <v>2</v>
      </c>
      <c r="O30" s="1177">
        <f t="shared" si="9"/>
        <v>24</v>
      </c>
      <c r="P30" s="1177">
        <f t="shared" si="8"/>
        <v>100</v>
      </c>
      <c r="Q30" s="1183"/>
      <c r="R30" s="1179">
        <v>15582</v>
      </c>
      <c r="S30" s="1179">
        <v>15383</v>
      </c>
      <c r="T30" s="1179">
        <v>18210</v>
      </c>
      <c r="U30" s="649">
        <v>18210</v>
      </c>
      <c r="V30" s="1173">
        <f t="shared" si="3"/>
        <v>98.722885380567334</v>
      </c>
      <c r="W30" s="1174">
        <f t="shared" si="4"/>
        <v>758.75</v>
      </c>
      <c r="X30" s="654">
        <f t="shared" si="5"/>
        <v>4.682325760492876E-2</v>
      </c>
      <c r="Y30" s="1175">
        <f t="shared" si="6"/>
        <v>8.2916666666666661</v>
      </c>
      <c r="Z30" s="443"/>
      <c r="AA30" s="443"/>
    </row>
    <row r="31" spans="1:27" s="444" customFormat="1" ht="18" customHeight="1">
      <c r="A31" s="473" t="s">
        <v>173</v>
      </c>
      <c r="B31" s="649"/>
      <c r="C31" s="649"/>
      <c r="D31" s="649">
        <v>0</v>
      </c>
      <c r="E31" s="649"/>
      <c r="F31" s="1183"/>
      <c r="G31" s="1183"/>
      <c r="H31" s="1183"/>
      <c r="I31" s="649"/>
      <c r="J31" s="649"/>
      <c r="K31" s="1172">
        <f t="shared" si="7"/>
        <v>0</v>
      </c>
      <c r="L31" s="649"/>
      <c r="M31" s="649"/>
      <c r="N31" s="649"/>
      <c r="O31" s="1177">
        <f t="shared" si="9"/>
        <v>0</v>
      </c>
      <c r="P31" s="1177">
        <f t="shared" si="8"/>
        <v>0</v>
      </c>
      <c r="Q31" s="1183"/>
      <c r="R31" s="1179"/>
      <c r="S31" s="1179"/>
      <c r="T31" s="1179"/>
      <c r="U31" s="649"/>
      <c r="V31" s="1173"/>
      <c r="W31" s="1174"/>
      <c r="X31" s="654"/>
      <c r="Y31" s="1175"/>
      <c r="Z31" s="443"/>
      <c r="AA31" s="443"/>
    </row>
    <row r="32" spans="1:27" s="444" customFormat="1" ht="18" customHeight="1">
      <c r="A32" s="473" t="s">
        <v>174</v>
      </c>
      <c r="B32" s="649">
        <v>428</v>
      </c>
      <c r="C32" s="649"/>
      <c r="D32" s="649">
        <v>0</v>
      </c>
      <c r="E32" s="649"/>
      <c r="F32" s="1183"/>
      <c r="G32" s="1183"/>
      <c r="H32" s="1183">
        <v>52</v>
      </c>
      <c r="I32" s="649">
        <v>270</v>
      </c>
      <c r="J32" s="649">
        <v>15</v>
      </c>
      <c r="K32" s="1172">
        <f t="shared" si="7"/>
        <v>337</v>
      </c>
      <c r="L32" s="649">
        <v>306</v>
      </c>
      <c r="M32" s="649">
        <v>21</v>
      </c>
      <c r="N32" s="649"/>
      <c r="O32" s="1177">
        <f t="shared" si="9"/>
        <v>327</v>
      </c>
      <c r="P32" s="1177">
        <f t="shared" si="8"/>
        <v>10</v>
      </c>
      <c r="Q32" s="1183">
        <v>4</v>
      </c>
      <c r="R32" s="1179">
        <v>11000</v>
      </c>
      <c r="S32" s="1179">
        <v>10606</v>
      </c>
      <c r="T32" s="1179">
        <v>10477</v>
      </c>
      <c r="U32" s="649">
        <v>10437</v>
      </c>
      <c r="V32" s="1173">
        <f t="shared" ref="V32" si="10">S32/R32*100</f>
        <v>96.418181818181807</v>
      </c>
      <c r="W32" s="1174">
        <f t="shared" ref="W32" si="11">+T32/O32</f>
        <v>32.039755351681954</v>
      </c>
      <c r="X32" s="654">
        <f t="shared" ref="X32" si="12">+O32/(R32/30.4)</f>
        <v>0.9037090909090908</v>
      </c>
      <c r="Y32" s="1175">
        <f t="shared" ref="Y32" si="13">(+R32-S32)/O32</f>
        <v>1.2048929663608563</v>
      </c>
      <c r="Z32" s="443"/>
      <c r="AA32" s="443"/>
    </row>
    <row r="33" spans="1:27" s="444" customFormat="1" ht="18" customHeight="1">
      <c r="A33" s="473" t="s">
        <v>175</v>
      </c>
      <c r="B33" s="649">
        <v>424</v>
      </c>
      <c r="C33" s="649">
        <v>70</v>
      </c>
      <c r="D33" s="649">
        <v>44</v>
      </c>
      <c r="E33" s="649"/>
      <c r="F33" s="1183"/>
      <c r="G33" s="1183"/>
      <c r="H33" s="1183">
        <v>4</v>
      </c>
      <c r="I33" s="649">
        <v>34</v>
      </c>
      <c r="J33" s="649">
        <v>48</v>
      </c>
      <c r="K33" s="1172">
        <f t="shared" si="7"/>
        <v>86</v>
      </c>
      <c r="L33" s="649">
        <v>43</v>
      </c>
      <c r="M33" s="649">
        <v>36</v>
      </c>
      <c r="N33" s="649"/>
      <c r="O33" s="1177">
        <f t="shared" si="9"/>
        <v>79</v>
      </c>
      <c r="P33" s="1177">
        <f t="shared" si="8"/>
        <v>51</v>
      </c>
      <c r="Q33" s="1183"/>
      <c r="R33" s="1179">
        <v>25550</v>
      </c>
      <c r="S33" s="1179">
        <v>23249</v>
      </c>
      <c r="T33" s="1179">
        <v>35965</v>
      </c>
      <c r="U33" s="649">
        <v>35965</v>
      </c>
      <c r="V33" s="1173">
        <f t="shared" si="3"/>
        <v>90.99412915851272</v>
      </c>
      <c r="W33" s="1174">
        <f t="shared" si="4"/>
        <v>455.25316455696202</v>
      </c>
      <c r="X33" s="654">
        <f t="shared" si="5"/>
        <v>9.3996086105675142E-2</v>
      </c>
      <c r="Y33" s="1175">
        <f t="shared" si="6"/>
        <v>29.126582278481013</v>
      </c>
      <c r="Z33" s="443"/>
      <c r="AA33" s="443"/>
    </row>
    <row r="34" spans="1:27" s="444" customFormat="1" ht="18" customHeight="1">
      <c r="A34" s="473" t="s">
        <v>176</v>
      </c>
      <c r="B34" s="649">
        <v>423</v>
      </c>
      <c r="C34" s="649">
        <v>20</v>
      </c>
      <c r="D34" s="649">
        <v>20</v>
      </c>
      <c r="E34" s="649"/>
      <c r="F34" s="1183"/>
      <c r="G34" s="1183"/>
      <c r="H34" s="1183"/>
      <c r="I34" s="649">
        <v>35</v>
      </c>
      <c r="J34" s="649"/>
      <c r="K34" s="1172">
        <f>SUM(E34:J34)</f>
        <v>35</v>
      </c>
      <c r="L34" s="649">
        <v>22</v>
      </c>
      <c r="M34" s="649">
        <v>13</v>
      </c>
      <c r="N34" s="649"/>
      <c r="O34" s="1177">
        <f t="shared" si="9"/>
        <v>35</v>
      </c>
      <c r="P34" s="1177">
        <f>SUM(D34,K34)-O34</f>
        <v>20</v>
      </c>
      <c r="Q34" s="1183"/>
      <c r="R34" s="1179">
        <v>7300</v>
      </c>
      <c r="S34" s="1179">
        <v>7012</v>
      </c>
      <c r="T34" s="1179">
        <v>5734</v>
      </c>
      <c r="U34" s="649">
        <v>5734</v>
      </c>
      <c r="V34" s="1173">
        <f>S34/R34*100</f>
        <v>96.054794520547944</v>
      </c>
      <c r="W34" s="1174">
        <f>+T34/O34</f>
        <v>163.82857142857142</v>
      </c>
      <c r="X34" s="654">
        <f>+O34/(R34/30.4)</f>
        <v>0.14575342465753424</v>
      </c>
      <c r="Y34" s="1175">
        <f>(+R34-S34)/O34</f>
        <v>8.2285714285714278</v>
      </c>
      <c r="Z34" s="443"/>
      <c r="AA34" s="443"/>
    </row>
    <row r="35" spans="1:27" s="444" customFormat="1" ht="18" customHeight="1">
      <c r="A35" s="474" t="s">
        <v>177</v>
      </c>
      <c r="B35" s="668">
        <v>330</v>
      </c>
      <c r="C35" s="668">
        <v>3</v>
      </c>
      <c r="D35" s="668">
        <v>0</v>
      </c>
      <c r="E35" s="668"/>
      <c r="F35" s="1188"/>
      <c r="G35" s="1188"/>
      <c r="H35" s="1188"/>
      <c r="I35" s="668"/>
      <c r="J35" s="668"/>
      <c r="K35" s="1208">
        <f t="shared" si="7"/>
        <v>0</v>
      </c>
      <c r="L35" s="668"/>
      <c r="M35" s="668"/>
      <c r="N35" s="668"/>
      <c r="O35" s="1190">
        <f>L35+N35</f>
        <v>0</v>
      </c>
      <c r="P35" s="1209">
        <f t="shared" si="8"/>
        <v>0</v>
      </c>
      <c r="Q35" s="1188"/>
      <c r="R35" s="1209"/>
      <c r="S35" s="1209"/>
      <c r="T35" s="1209"/>
      <c r="U35" s="668"/>
      <c r="V35" s="1193"/>
      <c r="W35" s="1194"/>
      <c r="X35" s="1195"/>
      <c r="Y35" s="1196"/>
      <c r="Z35" s="443"/>
      <c r="AA35" s="443"/>
    </row>
    <row r="36" spans="1:27">
      <c r="O36" s="470"/>
    </row>
    <row r="37" spans="1:27">
      <c r="D37" s="471"/>
    </row>
    <row r="38" spans="1:27">
      <c r="D38" s="472"/>
    </row>
  </sheetData>
  <mergeCells count="2">
    <mergeCell ref="Q9:Q10"/>
    <mergeCell ref="E9:O9"/>
  </mergeCells>
  <phoneticPr fontId="46"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I66"/>
  <sheetViews>
    <sheetView workbookViewId="0">
      <selection activeCell="L19" sqref="L19"/>
    </sheetView>
  </sheetViews>
  <sheetFormatPr baseColWidth="10" defaultColWidth="14.7109375" defaultRowHeight="12.75"/>
  <cols>
    <col min="1" max="1" width="14.28515625" style="479" customWidth="1"/>
    <col min="2" max="3" width="9.28515625" style="479" customWidth="1"/>
    <col min="4" max="5" width="11.28515625" style="479" customWidth="1"/>
    <col min="6" max="6" width="13.7109375" style="479" customWidth="1"/>
    <col min="7" max="7" width="11.28515625" style="479" customWidth="1"/>
    <col min="8" max="8" width="12.42578125" style="479" customWidth="1"/>
    <col min="9" max="16384" width="14.7109375" style="479"/>
  </cols>
  <sheetData>
    <row r="1" spans="1:35" ht="15.75">
      <c r="A1" s="476" t="s">
        <v>178</v>
      </c>
      <c r="B1" s="477"/>
      <c r="C1" s="477"/>
      <c r="D1" s="477"/>
      <c r="E1" s="477"/>
      <c r="F1" s="478"/>
      <c r="G1" s="478"/>
      <c r="H1" s="478"/>
      <c r="I1" s="441"/>
      <c r="J1" s="441"/>
      <c r="K1" s="441"/>
      <c r="L1" s="441"/>
      <c r="M1" s="441"/>
      <c r="N1" s="441"/>
      <c r="O1" s="441"/>
      <c r="P1" s="441"/>
      <c r="Q1" s="441"/>
      <c r="R1" s="441"/>
      <c r="S1" s="441"/>
      <c r="T1" s="441"/>
      <c r="U1" s="441"/>
      <c r="V1" s="441"/>
      <c r="W1" s="441"/>
      <c r="X1" s="441"/>
      <c r="Y1" s="441"/>
      <c r="Z1" s="441"/>
      <c r="AA1" s="441"/>
      <c r="AB1" s="441"/>
      <c r="AC1" s="441"/>
      <c r="AD1" s="441"/>
      <c r="AE1" s="441"/>
      <c r="AF1" s="441"/>
      <c r="AG1" s="441"/>
      <c r="AH1" s="441"/>
      <c r="AI1" s="441"/>
    </row>
    <row r="2" spans="1:35" ht="15.75">
      <c r="A2" s="476"/>
      <c r="B2" s="477"/>
      <c r="C2" s="477"/>
      <c r="D2" s="477"/>
      <c r="E2" s="477"/>
      <c r="F2" s="478"/>
      <c r="G2" s="478"/>
      <c r="H2" s="478"/>
      <c r="I2" s="441"/>
      <c r="J2" s="441"/>
      <c r="K2" s="441"/>
      <c r="L2" s="441"/>
      <c r="M2" s="441"/>
      <c r="N2" s="441"/>
      <c r="O2" s="441"/>
      <c r="P2" s="441"/>
      <c r="Q2" s="441"/>
      <c r="R2" s="441"/>
      <c r="S2" s="441"/>
      <c r="T2" s="441"/>
      <c r="U2" s="441"/>
      <c r="V2" s="441"/>
      <c r="W2" s="441"/>
      <c r="X2" s="441"/>
      <c r="Y2" s="441"/>
      <c r="Z2" s="441"/>
      <c r="AA2" s="441"/>
      <c r="AB2" s="441"/>
      <c r="AC2" s="441"/>
      <c r="AD2" s="441"/>
      <c r="AE2" s="441"/>
      <c r="AF2" s="441"/>
      <c r="AG2" s="441"/>
      <c r="AH2" s="441"/>
      <c r="AI2" s="441"/>
    </row>
    <row r="3" spans="1:35" ht="15.75">
      <c r="A3" s="476" t="s">
        <v>179</v>
      </c>
      <c r="B3" s="477"/>
      <c r="C3" s="477"/>
      <c r="D3" s="477"/>
      <c r="E3" s="477"/>
      <c r="F3" s="478"/>
      <c r="G3" s="478"/>
      <c r="H3" s="478"/>
      <c r="I3" s="441"/>
      <c r="J3" s="441"/>
      <c r="K3" s="441"/>
      <c r="L3" s="441"/>
      <c r="M3" s="441"/>
      <c r="N3" s="441"/>
      <c r="O3" s="441"/>
      <c r="P3" s="441"/>
      <c r="Q3" s="441"/>
      <c r="R3" s="441"/>
      <c r="S3" s="441"/>
      <c r="T3" s="441"/>
      <c r="U3" s="441"/>
      <c r="V3" s="441"/>
      <c r="W3" s="441"/>
      <c r="X3" s="441"/>
      <c r="Y3" s="441"/>
      <c r="Z3" s="441"/>
      <c r="AA3" s="441"/>
      <c r="AB3" s="441"/>
      <c r="AC3" s="441"/>
      <c r="AD3" s="441"/>
      <c r="AE3" s="441"/>
      <c r="AF3" s="441"/>
      <c r="AG3" s="441"/>
      <c r="AH3" s="441"/>
      <c r="AI3" s="441"/>
    </row>
    <row r="4" spans="1:35" ht="15.75">
      <c r="A4" s="476" t="s">
        <v>1557</v>
      </c>
      <c r="B4" s="477"/>
      <c r="C4" s="477"/>
      <c r="D4" s="477"/>
      <c r="E4" s="477"/>
      <c r="F4" s="478"/>
      <c r="G4" s="478"/>
      <c r="H4" s="478"/>
      <c r="I4" s="441"/>
      <c r="J4" s="441"/>
      <c r="K4" s="441"/>
      <c r="L4" s="441"/>
      <c r="M4" s="441"/>
      <c r="N4" s="441"/>
      <c r="O4" s="441"/>
      <c r="P4" s="441"/>
      <c r="Q4" s="441"/>
      <c r="R4" s="441"/>
      <c r="S4" s="441"/>
      <c r="T4" s="441"/>
      <c r="U4" s="441"/>
      <c r="V4" s="441"/>
      <c r="W4" s="441"/>
      <c r="X4" s="441"/>
      <c r="Y4" s="441"/>
      <c r="Z4" s="441"/>
      <c r="AA4" s="441"/>
      <c r="AB4" s="441"/>
      <c r="AC4" s="441"/>
      <c r="AD4" s="441"/>
      <c r="AE4" s="441"/>
      <c r="AF4" s="441"/>
      <c r="AG4" s="441"/>
      <c r="AH4" s="441"/>
      <c r="AI4" s="441"/>
    </row>
    <row r="5" spans="1:35" ht="15.75">
      <c r="B5" s="480"/>
      <c r="C5" s="480"/>
      <c r="D5" s="480"/>
      <c r="E5" s="480"/>
      <c r="F5" s="480"/>
      <c r="G5" s="480"/>
      <c r="H5" s="480"/>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c r="AI5" s="441"/>
    </row>
    <row r="6" spans="1:35" ht="15.75">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row>
    <row r="7" spans="1:35" ht="17.25" customHeight="1">
      <c r="B7" s="1437"/>
      <c r="C7" s="1438" t="s">
        <v>180</v>
      </c>
      <c r="D7" s="1438" t="s">
        <v>181</v>
      </c>
      <c r="E7" s="1439" t="s">
        <v>614</v>
      </c>
      <c r="F7" s="1440" t="s">
        <v>182</v>
      </c>
      <c r="G7" s="1441" t="s">
        <v>183</v>
      </c>
      <c r="H7" s="481"/>
      <c r="I7" s="441"/>
      <c r="J7" s="441"/>
      <c r="K7" s="441"/>
      <c r="L7" s="441"/>
      <c r="M7" s="441"/>
      <c r="N7" s="441"/>
      <c r="O7" s="441"/>
      <c r="P7" s="441"/>
      <c r="Q7" s="441"/>
      <c r="R7" s="441"/>
      <c r="S7" s="441"/>
      <c r="T7" s="441"/>
      <c r="U7" s="441"/>
      <c r="V7" s="441"/>
      <c r="W7" s="441"/>
      <c r="X7" s="441"/>
      <c r="Y7" s="441"/>
      <c r="Z7" s="441"/>
      <c r="AA7" s="441"/>
      <c r="AB7" s="441"/>
      <c r="AC7" s="441"/>
      <c r="AD7" s="441"/>
      <c r="AE7" s="441"/>
      <c r="AF7" s="441"/>
      <c r="AG7" s="441"/>
      <c r="AH7" s="441"/>
      <c r="AI7" s="441"/>
    </row>
    <row r="8" spans="1:35" ht="17.25" customHeight="1">
      <c r="B8" s="1442" t="s">
        <v>597</v>
      </c>
      <c r="C8" s="1443" t="s">
        <v>184</v>
      </c>
      <c r="D8" s="1443" t="s">
        <v>184</v>
      </c>
      <c r="E8" s="1444" t="s">
        <v>185</v>
      </c>
      <c r="F8" s="1445" t="s">
        <v>186</v>
      </c>
      <c r="G8" s="1446" t="s">
        <v>187</v>
      </c>
      <c r="H8" s="481"/>
      <c r="I8" s="441"/>
      <c r="J8" s="441"/>
      <c r="K8" s="441"/>
      <c r="L8" s="441"/>
      <c r="M8" s="441"/>
      <c r="N8" s="441"/>
      <c r="O8" s="441"/>
      <c r="P8" s="441"/>
      <c r="Q8" s="441"/>
      <c r="R8" s="441"/>
      <c r="S8" s="441"/>
      <c r="T8" s="441"/>
      <c r="U8" s="441"/>
      <c r="V8" s="441"/>
      <c r="W8" s="441"/>
      <c r="X8" s="441"/>
      <c r="Y8" s="441"/>
      <c r="Z8" s="441"/>
      <c r="AA8" s="441"/>
      <c r="AB8" s="441"/>
      <c r="AC8" s="441"/>
      <c r="AD8" s="441"/>
      <c r="AE8" s="441"/>
      <c r="AF8" s="441"/>
      <c r="AG8" s="441"/>
      <c r="AH8" s="441"/>
      <c r="AI8" s="441"/>
    </row>
    <row r="9" spans="1:35" ht="18.75" customHeight="1">
      <c r="B9" s="486">
        <v>2014</v>
      </c>
      <c r="C9" s="483">
        <f>+'84'!C9+'85'!C9+'86'!C9+'87'!C9+'88'!C9</f>
        <v>829</v>
      </c>
      <c r="D9" s="487">
        <f>+'84'!D9+'85'!D9+'86'!D9+'87'!D9+'88'!D9</f>
        <v>786</v>
      </c>
      <c r="E9" s="483">
        <f>+'84'!E9+'85'!E9+'86'!E9+'87'!E9+'88'!E9</f>
        <v>24626</v>
      </c>
      <c r="F9" s="484">
        <v>80.434570516662248</v>
      </c>
      <c r="G9" s="485">
        <v>9.6418419556566235</v>
      </c>
      <c r="H9" s="48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row>
    <row r="10" spans="1:35" ht="18.75" customHeight="1">
      <c r="B10" s="486">
        <v>2015</v>
      </c>
      <c r="C10" s="483">
        <f>+'84'!C10+'85'!C10+'86'!C10+'87'!C10+'88'!C10</f>
        <v>829</v>
      </c>
      <c r="D10" s="487">
        <f>+'84'!D10+'85'!D10+'86'!D10+'87'!D10+'88'!D10</f>
        <v>786</v>
      </c>
      <c r="E10" s="483">
        <f>+'84'!E10+'85'!E10+'86'!E10+'87'!E10+'88'!E10</f>
        <v>23665</v>
      </c>
      <c r="F10" s="484">
        <v>79.143192610942137</v>
      </c>
      <c r="G10" s="485">
        <v>9.5555884217198397</v>
      </c>
      <c r="H10" s="48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row>
    <row r="11" spans="1:35" ht="18.75" customHeight="1">
      <c r="B11" s="486">
        <v>2016</v>
      </c>
      <c r="C11" s="483">
        <f>+'84'!C11+'85'!C11+'86'!C11+'87'!C11+'88'!C11</f>
        <v>829</v>
      </c>
      <c r="D11" s="487">
        <f>+'84'!D11+'85'!D11+'86'!D11+'87'!D11+'88'!D11</f>
        <v>773</v>
      </c>
      <c r="E11" s="483">
        <f>+'84'!E11+'85'!E11+'86'!E11+'87'!E11+'88'!E11</f>
        <v>23155</v>
      </c>
      <c r="F11" s="484">
        <v>79.169135044821019</v>
      </c>
      <c r="G11" s="485">
        <v>13.571928309220471</v>
      </c>
      <c r="H11" s="481"/>
      <c r="I11" s="441"/>
      <c r="J11" s="441"/>
      <c r="K11" s="441"/>
      <c r="L11" s="441"/>
      <c r="M11" s="441"/>
      <c r="N11" s="441"/>
      <c r="O11" s="441"/>
      <c r="P11" s="441"/>
      <c r="Q11" s="441"/>
      <c r="R11" s="441"/>
      <c r="S11" s="441"/>
      <c r="T11" s="441"/>
      <c r="U11" s="441"/>
      <c r="V11" s="441"/>
      <c r="W11" s="441"/>
      <c r="X11" s="441"/>
      <c r="Y11" s="441"/>
      <c r="Z11" s="441"/>
      <c r="AA11" s="441"/>
      <c r="AB11" s="441"/>
      <c r="AC11" s="441"/>
      <c r="AD11" s="441"/>
      <c r="AE11" s="441"/>
      <c r="AF11" s="441"/>
      <c r="AG11" s="441"/>
      <c r="AH11" s="441"/>
      <c r="AI11" s="441"/>
    </row>
    <row r="12" spans="1:35" ht="18.75" customHeight="1">
      <c r="B12" s="486">
        <v>2017</v>
      </c>
      <c r="C12" s="483">
        <f>+'84'!C12+'85'!C12+'86'!C12+'87'!C12+'88'!C12</f>
        <v>829</v>
      </c>
      <c r="D12" s="487">
        <f>+'84'!D12+'85'!D12+'86'!D12+'87'!D12+'88'!D12</f>
        <v>772.67945205479452</v>
      </c>
      <c r="E12" s="483">
        <f>+'84'!E12+'85'!E12+'86'!E12+'87'!E12+'88'!E12</f>
        <v>23436</v>
      </c>
      <c r="F12" s="484">
        <v>79.112724640149906</v>
      </c>
      <c r="G12" s="485">
        <v>11.470558115719406</v>
      </c>
      <c r="H12" s="48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row>
    <row r="13" spans="1:35" ht="18" customHeight="1">
      <c r="B13" s="486">
        <v>2018</v>
      </c>
      <c r="C13" s="483">
        <f>+'84'!C13+'85'!C13+'86'!C13+'87'!C13+'88'!C13</f>
        <v>829</v>
      </c>
      <c r="D13" s="487">
        <f>+'84'!D13+'85'!D13+'86'!D13+'87'!D13+'88'!D13</f>
        <v>746.32876712328766</v>
      </c>
      <c r="E13" s="483">
        <f>+'84'!E13+'85'!E13+'86'!E13+'87'!E13+'88'!E13</f>
        <v>23706</v>
      </c>
      <c r="F13" s="484">
        <v>82.204696655945725</v>
      </c>
      <c r="G13" s="485">
        <v>9.7483337551674687</v>
      </c>
      <c r="H13" s="481"/>
      <c r="I13" s="441"/>
      <c r="J13" s="441"/>
      <c r="K13" s="441"/>
      <c r="L13" s="441"/>
      <c r="M13" s="441"/>
      <c r="N13" s="441"/>
      <c r="O13" s="441"/>
      <c r="P13" s="441"/>
      <c r="Q13" s="441"/>
      <c r="R13" s="441"/>
      <c r="S13" s="441"/>
      <c r="T13" s="441"/>
      <c r="U13" s="441"/>
      <c r="V13" s="441"/>
      <c r="W13" s="441"/>
      <c r="X13" s="441"/>
      <c r="Y13" s="441"/>
      <c r="Z13" s="441"/>
      <c r="AA13" s="441"/>
      <c r="AB13" s="441"/>
      <c r="AC13" s="441"/>
      <c r="AD13" s="441"/>
      <c r="AE13" s="441"/>
      <c r="AF13" s="441"/>
      <c r="AG13" s="441"/>
      <c r="AH13" s="441"/>
      <c r="AI13" s="441"/>
    </row>
    <row r="14" spans="1:35" ht="18" customHeight="1">
      <c r="B14" s="486">
        <v>2019</v>
      </c>
      <c r="C14" s="483">
        <f>+'84'!C14+'85'!C14+'86'!C14+'87'!C14+'88'!C14</f>
        <v>817</v>
      </c>
      <c r="D14" s="487">
        <f>+'84'!D14+'85'!D14+'86'!D14+'87'!D14+'88'!D14</f>
        <v>736.09315068493152</v>
      </c>
      <c r="E14" s="483">
        <f>+'84'!E14+'85'!E14+'86'!E14+'87'!E14+'88'!E14</f>
        <v>22872</v>
      </c>
      <c r="F14" s="484">
        <v>83.510725458066432</v>
      </c>
      <c r="G14" s="485">
        <v>9.3189052116124511</v>
      </c>
      <c r="H14" s="48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row>
    <row r="15" spans="1:35" ht="18" customHeight="1">
      <c r="B15" s="486">
        <v>2020</v>
      </c>
      <c r="C15" s="483">
        <f>+'84'!C15+'85'!C15+'86'!C15+'87'!C15+'88'!C15</f>
        <v>817</v>
      </c>
      <c r="D15" s="487">
        <f>+'84'!D15+'85'!D15+'86'!D15+'87'!D15+'88'!D15</f>
        <v>721.28493150684926</v>
      </c>
      <c r="E15" s="483">
        <f>+'84'!E15+'85'!E15+'86'!E15+'87'!E15+'88'!E15</f>
        <v>17330</v>
      </c>
      <c r="F15" s="490">
        <v>74.851878736285244</v>
      </c>
      <c r="G15" s="491">
        <v>9.7656664743219856</v>
      </c>
      <c r="H15" s="481"/>
      <c r="I15" s="441"/>
      <c r="J15" s="441"/>
      <c r="K15" s="441"/>
      <c r="L15" s="441"/>
      <c r="M15" s="441"/>
      <c r="N15" s="441"/>
      <c r="O15" s="441"/>
      <c r="P15" s="441"/>
      <c r="Q15" s="441"/>
      <c r="R15" s="441"/>
      <c r="S15" s="441"/>
      <c r="T15" s="441"/>
      <c r="U15" s="441"/>
      <c r="V15" s="441"/>
      <c r="W15" s="441"/>
      <c r="X15" s="441"/>
      <c r="Y15" s="441"/>
      <c r="Z15" s="441"/>
      <c r="AA15" s="441"/>
      <c r="AB15" s="441"/>
      <c r="AC15" s="441"/>
      <c r="AD15" s="441"/>
      <c r="AE15" s="441"/>
      <c r="AF15" s="441"/>
      <c r="AG15" s="441"/>
      <c r="AH15" s="441"/>
      <c r="AI15" s="441"/>
    </row>
    <row r="16" spans="1:35" ht="18" customHeight="1">
      <c r="B16" s="486">
        <v>2021</v>
      </c>
      <c r="C16" s="483">
        <f>+'84'!C16+'85'!C16+'86'!C16+'87'!C16+'88'!C16</f>
        <v>817</v>
      </c>
      <c r="D16" s="487">
        <f>+'84'!D16+'85'!D16+'86'!D16+'87'!D16+'88'!D16</f>
        <v>700.2383561643835</v>
      </c>
      <c r="E16" s="483">
        <f>+'84'!E16+'85'!E16+'86'!E16+'87'!E16+'88'!E16</f>
        <v>16627</v>
      </c>
      <c r="F16" s="490">
        <v>76.989248995150888</v>
      </c>
      <c r="G16" s="491">
        <v>10.615865760510014</v>
      </c>
      <c r="H16" s="48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row>
    <row r="17" spans="2:35" ht="18" customHeight="1">
      <c r="B17" s="486">
        <v>2022</v>
      </c>
      <c r="C17" s="488">
        <f>+'84'!C17+'85'!C17+'86'!C17+'87'!C16+'88'!C16</f>
        <v>808</v>
      </c>
      <c r="D17" s="489">
        <f>+'84'!D17+'85'!D17+'86'!D17+'87'!D17+'88'!D17</f>
        <v>707.27397260273972</v>
      </c>
      <c r="E17" s="488">
        <f>+'84'!E17+'85'!E17+'86'!E17+'87'!E17+'88'!E17</f>
        <v>18238</v>
      </c>
      <c r="F17" s="490">
        <v>76.989248995150888</v>
      </c>
      <c r="G17" s="491">
        <v>10.615865760510014</v>
      </c>
      <c r="H17" s="481"/>
      <c r="I17" s="441"/>
      <c r="J17" s="441"/>
      <c r="K17" s="441"/>
      <c r="L17" s="441"/>
      <c r="M17" s="441"/>
      <c r="N17" s="441"/>
      <c r="O17" s="441"/>
      <c r="P17" s="441"/>
      <c r="Q17" s="441"/>
      <c r="R17" s="441"/>
      <c r="S17" s="441"/>
      <c r="T17" s="441"/>
      <c r="U17" s="441"/>
      <c r="V17" s="441"/>
      <c r="W17" s="441"/>
      <c r="X17" s="441"/>
      <c r="Y17" s="441"/>
      <c r="Z17" s="441"/>
      <c r="AA17" s="441"/>
      <c r="AB17" s="441"/>
      <c r="AC17" s="441"/>
      <c r="AD17" s="441"/>
      <c r="AE17" s="441"/>
      <c r="AF17" s="441"/>
      <c r="AG17" s="441"/>
      <c r="AH17" s="441"/>
      <c r="AI17" s="441"/>
    </row>
    <row r="18" spans="2:35" ht="18.75" customHeight="1">
      <c r="B18" s="492">
        <v>2023</v>
      </c>
      <c r="C18" s="493">
        <f>+'84'!C17+'85'!C17+'86'!C17+'87'!C16+'88'!C16</f>
        <v>808</v>
      </c>
      <c r="D18" s="494">
        <f>+'84'!D18+'85'!D18+'86'!D18+'87'!D18+'88'!D18</f>
        <v>697.80273972602731</v>
      </c>
      <c r="E18" s="1213">
        <f>+'84'!E18+'85'!E18+'86'!E18+'87'!E18+'88'!E18</f>
        <v>19685</v>
      </c>
      <c r="F18" s="495">
        <f>+'[94]74'!V12</f>
        <v>82.613526607982791</v>
      </c>
      <c r="G18" s="496">
        <f>+'[94]74'!W12</f>
        <v>12.084582169164339</v>
      </c>
      <c r="H18" s="481"/>
      <c r="I18" s="441"/>
      <c r="J18" s="441"/>
      <c r="K18" s="441"/>
      <c r="L18" s="441"/>
      <c r="M18" s="441"/>
      <c r="N18" s="441"/>
      <c r="O18" s="441"/>
      <c r="P18" s="441"/>
      <c r="Q18" s="441"/>
      <c r="R18" s="441"/>
      <c r="S18" s="441"/>
      <c r="T18" s="441"/>
      <c r="U18" s="441"/>
      <c r="V18" s="441"/>
      <c r="W18" s="441"/>
      <c r="X18" s="441"/>
      <c r="Y18" s="441"/>
      <c r="Z18" s="441"/>
      <c r="AA18" s="441"/>
      <c r="AB18" s="441"/>
      <c r="AC18" s="441"/>
      <c r="AD18" s="441"/>
      <c r="AE18" s="441"/>
      <c r="AF18" s="441"/>
      <c r="AG18" s="441"/>
      <c r="AH18" s="441"/>
      <c r="AI18" s="441"/>
    </row>
    <row r="19" spans="2:35" ht="12" customHeight="1">
      <c r="B19" s="499"/>
      <c r="C19" s="499"/>
      <c r="D19" s="499"/>
      <c r="E19" s="481"/>
      <c r="F19" s="481"/>
      <c r="G19" s="481"/>
      <c r="H19" s="48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row>
    <row r="20" spans="2:35" ht="12" customHeight="1">
      <c r="B20" s="499"/>
      <c r="C20" s="499"/>
      <c r="D20" s="499"/>
      <c r="E20" s="481"/>
      <c r="F20" s="481"/>
      <c r="G20" s="481"/>
      <c r="H20" s="481"/>
      <c r="I20" s="441"/>
      <c r="J20" s="441"/>
      <c r="K20" s="441"/>
      <c r="L20" s="441"/>
      <c r="M20" s="441"/>
      <c r="N20" s="441"/>
      <c r="O20" s="441"/>
      <c r="P20" s="441"/>
      <c r="Q20" s="441"/>
      <c r="R20" s="441"/>
      <c r="S20" s="441"/>
      <c r="T20" s="441"/>
      <c r="U20" s="441"/>
      <c r="V20" s="441"/>
      <c r="W20" s="441"/>
      <c r="X20" s="441"/>
      <c r="Y20" s="441"/>
      <c r="Z20" s="441"/>
      <c r="AA20" s="441"/>
      <c r="AB20" s="441"/>
      <c r="AC20" s="441"/>
      <c r="AD20" s="441"/>
      <c r="AE20" s="441"/>
      <c r="AF20" s="441"/>
      <c r="AG20" s="441"/>
      <c r="AH20" s="441"/>
      <c r="AI20" s="441"/>
    </row>
    <row r="21" spans="2:35" ht="12" customHeight="1">
      <c r="B21" s="499"/>
      <c r="C21" s="499"/>
      <c r="D21" s="499"/>
      <c r="E21" s="481"/>
      <c r="F21" s="481"/>
      <c r="G21" s="481"/>
      <c r="H21" s="481"/>
      <c r="I21" s="441"/>
      <c r="J21" s="441"/>
      <c r="K21" s="441"/>
      <c r="L21" s="441"/>
      <c r="M21" s="441"/>
      <c r="N21" s="441"/>
      <c r="O21" s="441"/>
      <c r="P21" s="441"/>
      <c r="Q21" s="441"/>
      <c r="R21" s="441"/>
      <c r="S21" s="441"/>
      <c r="T21" s="441"/>
      <c r="U21" s="441"/>
      <c r="V21" s="441"/>
      <c r="W21" s="441"/>
      <c r="X21" s="441"/>
      <c r="Y21" s="441"/>
      <c r="Z21" s="441"/>
      <c r="AA21" s="441"/>
      <c r="AB21" s="441"/>
      <c r="AC21" s="441"/>
      <c r="AD21" s="441"/>
      <c r="AE21" s="441"/>
      <c r="AF21" s="441"/>
      <c r="AG21" s="441"/>
      <c r="AH21" s="441"/>
      <c r="AI21" s="441"/>
    </row>
    <row r="22" spans="2:35" ht="12" customHeight="1">
      <c r="B22" s="499"/>
      <c r="C22" s="499"/>
      <c r="D22" s="499"/>
      <c r="E22" s="499"/>
      <c r="F22" s="499"/>
      <c r="G22" s="499"/>
      <c r="H22" s="481"/>
      <c r="I22" s="441"/>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c r="AH22" s="441"/>
      <c r="AI22" s="441"/>
    </row>
    <row r="23" spans="2:35" ht="12" customHeight="1">
      <c r="H23" s="499"/>
      <c r="I23" s="441"/>
      <c r="J23" s="441"/>
      <c r="K23" s="441"/>
      <c r="L23" s="441"/>
      <c r="M23" s="441"/>
      <c r="N23" s="441"/>
      <c r="O23" s="441"/>
      <c r="P23" s="441"/>
      <c r="Q23" s="441"/>
      <c r="R23" s="441"/>
      <c r="S23" s="441"/>
      <c r="T23" s="441"/>
      <c r="U23" s="441"/>
      <c r="V23" s="441"/>
      <c r="W23" s="441"/>
      <c r="X23" s="441"/>
      <c r="Y23" s="441"/>
      <c r="Z23" s="441"/>
      <c r="AA23" s="441"/>
      <c r="AB23" s="441"/>
      <c r="AC23" s="441"/>
      <c r="AD23" s="441"/>
      <c r="AE23" s="441"/>
      <c r="AF23" s="441"/>
      <c r="AG23" s="441"/>
      <c r="AH23" s="441"/>
      <c r="AI23" s="441"/>
    </row>
    <row r="24" spans="2:35" ht="12" customHeight="1">
      <c r="I24" s="441"/>
      <c r="J24" s="441"/>
      <c r="K24" s="441"/>
      <c r="L24" s="441"/>
      <c r="M24" s="441"/>
      <c r="N24" s="441"/>
      <c r="O24" s="441"/>
      <c r="P24" s="441"/>
      <c r="Q24" s="441"/>
      <c r="R24" s="441"/>
      <c r="S24" s="441"/>
      <c r="T24" s="441"/>
      <c r="U24" s="441"/>
      <c r="V24" s="441"/>
      <c r="W24" s="441"/>
      <c r="X24" s="441"/>
      <c r="Y24" s="441"/>
      <c r="Z24" s="441"/>
      <c r="AA24" s="441"/>
      <c r="AB24" s="441"/>
      <c r="AC24" s="441"/>
      <c r="AD24" s="441"/>
      <c r="AE24" s="441"/>
      <c r="AF24" s="441"/>
      <c r="AG24" s="441"/>
      <c r="AH24" s="441"/>
      <c r="AI24" s="441"/>
    </row>
    <row r="25" spans="2:35" ht="12" customHeight="1">
      <c r="I25" s="441"/>
      <c r="J25" s="441"/>
      <c r="K25" s="441"/>
      <c r="L25" s="441"/>
      <c r="M25" s="441"/>
      <c r="N25" s="441"/>
      <c r="O25" s="441"/>
      <c r="P25" s="441"/>
      <c r="Q25" s="441"/>
      <c r="R25" s="441"/>
      <c r="S25" s="441"/>
      <c r="T25" s="441"/>
      <c r="U25" s="441"/>
      <c r="V25" s="441"/>
      <c r="W25" s="441"/>
      <c r="X25" s="441"/>
      <c r="Y25" s="441"/>
      <c r="Z25" s="441"/>
      <c r="AA25" s="441"/>
      <c r="AB25" s="441"/>
      <c r="AC25" s="441"/>
      <c r="AD25" s="441"/>
      <c r="AE25" s="441"/>
      <c r="AF25" s="441"/>
      <c r="AG25" s="441"/>
      <c r="AH25" s="441"/>
      <c r="AI25" s="441"/>
    </row>
    <row r="26" spans="2:35" ht="12" customHeight="1">
      <c r="I26" s="441"/>
      <c r="J26" s="441"/>
      <c r="K26" s="441"/>
      <c r="L26" s="441"/>
      <c r="M26" s="441"/>
      <c r="N26" s="441"/>
      <c r="O26" s="441"/>
      <c r="P26" s="441"/>
      <c r="Q26" s="441"/>
      <c r="R26" s="441"/>
      <c r="S26" s="441"/>
      <c r="T26" s="441"/>
      <c r="U26" s="441"/>
      <c r="V26" s="441"/>
      <c r="W26" s="441"/>
      <c r="X26" s="441"/>
      <c r="Y26" s="441"/>
      <c r="Z26" s="441"/>
      <c r="AA26" s="441"/>
      <c r="AB26" s="441"/>
      <c r="AC26" s="441"/>
      <c r="AD26" s="441"/>
      <c r="AE26" s="441"/>
      <c r="AF26" s="441"/>
      <c r="AG26" s="441"/>
      <c r="AH26" s="441"/>
      <c r="AI26" s="441"/>
    </row>
    <row r="27" spans="2:35" ht="12" customHeight="1">
      <c r="I27" s="441"/>
      <c r="J27" s="441"/>
      <c r="K27" s="441"/>
      <c r="L27" s="441"/>
      <c r="M27" s="441"/>
      <c r="N27" s="441"/>
      <c r="O27" s="441"/>
      <c r="P27" s="441"/>
      <c r="Q27" s="441"/>
      <c r="R27" s="441"/>
      <c r="S27" s="441"/>
      <c r="T27" s="441"/>
      <c r="U27" s="441"/>
      <c r="V27" s="441"/>
      <c r="W27" s="441"/>
      <c r="X27" s="441"/>
      <c r="Y27" s="441"/>
      <c r="Z27" s="441"/>
      <c r="AA27" s="441"/>
      <c r="AB27" s="441"/>
      <c r="AC27" s="441"/>
      <c r="AD27" s="441"/>
      <c r="AE27" s="441"/>
      <c r="AF27" s="441"/>
      <c r="AG27" s="441"/>
      <c r="AH27" s="441"/>
      <c r="AI27" s="441"/>
    </row>
    <row r="28" spans="2:35" ht="12" customHeight="1">
      <c r="I28" s="441"/>
      <c r="J28" s="441"/>
      <c r="K28" s="441"/>
      <c r="L28" s="441"/>
      <c r="M28" s="441"/>
      <c r="N28" s="441"/>
      <c r="O28" s="441"/>
      <c r="P28" s="441"/>
      <c r="Q28" s="441"/>
      <c r="R28" s="441"/>
      <c r="S28" s="441"/>
      <c r="T28" s="441"/>
      <c r="U28" s="441"/>
      <c r="V28" s="441"/>
      <c r="W28" s="441"/>
      <c r="X28" s="441"/>
      <c r="Y28" s="441"/>
      <c r="Z28" s="441"/>
      <c r="AA28" s="441"/>
      <c r="AB28" s="441"/>
      <c r="AC28" s="441"/>
      <c r="AD28" s="441"/>
      <c r="AE28" s="441"/>
      <c r="AF28" s="441"/>
      <c r="AG28" s="441"/>
      <c r="AH28" s="441"/>
      <c r="AI28" s="441"/>
    </row>
    <row r="29" spans="2:35" ht="12" customHeight="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row>
    <row r="30" spans="2:35" ht="12" customHeight="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row>
    <row r="31" spans="2:35" ht="12" customHeight="1">
      <c r="I31" s="441"/>
      <c r="J31" s="441"/>
      <c r="K31" s="441"/>
      <c r="L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row>
    <row r="32" spans="2:35" ht="12" customHeight="1">
      <c r="I32" s="441"/>
      <c r="J32" s="441"/>
      <c r="K32" s="441"/>
      <c r="L32" s="441"/>
      <c r="M32" s="441"/>
      <c r="N32" s="441"/>
      <c r="O32" s="441"/>
      <c r="P32" s="441"/>
      <c r="Q32" s="441"/>
      <c r="R32" s="441"/>
      <c r="S32" s="441"/>
      <c r="T32" s="441"/>
      <c r="U32" s="441"/>
      <c r="V32" s="441"/>
      <c r="W32" s="441"/>
      <c r="X32" s="441"/>
      <c r="Y32" s="441"/>
      <c r="Z32" s="441"/>
      <c r="AA32" s="441"/>
      <c r="AB32" s="441"/>
      <c r="AC32" s="441"/>
      <c r="AD32" s="441"/>
      <c r="AE32" s="441"/>
      <c r="AF32" s="441"/>
      <c r="AG32" s="441"/>
      <c r="AH32" s="441"/>
      <c r="AI32" s="441"/>
    </row>
    <row r="33" spans="2:35" ht="12" customHeight="1">
      <c r="I33" s="441"/>
      <c r="J33" s="441"/>
      <c r="K33" s="441"/>
      <c r="L33" s="441"/>
      <c r="M33" s="441"/>
      <c r="N33" s="441"/>
      <c r="O33" s="441"/>
      <c r="P33" s="441"/>
      <c r="Q33" s="441"/>
      <c r="R33" s="441"/>
      <c r="S33" s="441"/>
      <c r="T33" s="441"/>
      <c r="U33" s="441"/>
      <c r="V33" s="441"/>
      <c r="W33" s="441"/>
      <c r="X33" s="441"/>
      <c r="Y33" s="441"/>
      <c r="Z33" s="441"/>
      <c r="AA33" s="441"/>
      <c r="AB33" s="441"/>
      <c r="AC33" s="441"/>
      <c r="AD33" s="441"/>
      <c r="AE33" s="441"/>
      <c r="AF33" s="441"/>
      <c r="AG33" s="441"/>
      <c r="AH33" s="441"/>
      <c r="AI33" s="441"/>
    </row>
    <row r="34" spans="2:35" ht="12" customHeight="1">
      <c r="B34" s="499"/>
      <c r="C34" s="499"/>
      <c r="D34" s="499"/>
      <c r="E34" s="481"/>
      <c r="F34" s="481"/>
      <c r="G34" s="481"/>
      <c r="I34" s="441"/>
      <c r="J34" s="441"/>
      <c r="K34" s="441"/>
      <c r="L34" s="441"/>
      <c r="M34" s="441"/>
      <c r="N34" s="441"/>
      <c r="O34" s="441"/>
      <c r="P34" s="441"/>
      <c r="Q34" s="441"/>
      <c r="R34" s="441"/>
      <c r="S34" s="441"/>
      <c r="T34" s="441"/>
      <c r="U34" s="441"/>
      <c r="V34" s="441"/>
      <c r="W34" s="441"/>
      <c r="X34" s="441"/>
      <c r="Y34" s="441"/>
      <c r="Z34" s="441"/>
      <c r="AA34" s="441"/>
      <c r="AB34" s="441"/>
      <c r="AC34" s="441"/>
      <c r="AD34" s="441"/>
      <c r="AE34" s="441"/>
      <c r="AF34" s="441"/>
      <c r="AG34" s="441"/>
      <c r="AH34" s="441"/>
      <c r="AI34" s="441"/>
    </row>
    <row r="35" spans="2:35" ht="12" customHeight="1">
      <c r="B35" s="499"/>
      <c r="C35" s="499"/>
      <c r="D35" s="499"/>
      <c r="E35" s="481"/>
      <c r="F35" s="481"/>
      <c r="G35" s="48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row>
    <row r="36" spans="2:35" ht="12" customHeight="1">
      <c r="B36" s="499"/>
      <c r="C36" s="499"/>
      <c r="D36" s="499"/>
      <c r="E36" s="481"/>
      <c r="F36" s="481"/>
      <c r="G36" s="48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row>
    <row r="37" spans="2:35" ht="12" customHeight="1">
      <c r="B37" s="499"/>
      <c r="C37" s="499"/>
      <c r="D37" s="499"/>
      <c r="E37" s="499"/>
      <c r="F37" s="499"/>
      <c r="G37" s="499"/>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row>
    <row r="38" spans="2:35" ht="12" customHeight="1">
      <c r="I38" s="441"/>
      <c r="J38" s="441"/>
      <c r="K38" s="441"/>
      <c r="L38" s="441"/>
      <c r="M38" s="441"/>
      <c r="N38" s="441"/>
      <c r="O38" s="441"/>
      <c r="P38" s="441"/>
      <c r="Q38" s="441"/>
      <c r="R38" s="441"/>
      <c r="S38" s="441"/>
      <c r="T38" s="441"/>
      <c r="U38" s="441"/>
      <c r="V38" s="441"/>
      <c r="W38" s="441"/>
      <c r="X38" s="441"/>
      <c r="Y38" s="441"/>
      <c r="Z38" s="441"/>
      <c r="AA38" s="441"/>
      <c r="AB38" s="441"/>
      <c r="AC38" s="441"/>
      <c r="AD38" s="441"/>
      <c r="AE38" s="441"/>
      <c r="AF38" s="441"/>
      <c r="AG38" s="441"/>
      <c r="AH38" s="441"/>
      <c r="AI38" s="441"/>
    </row>
    <row r="39" spans="2:35" ht="12" customHeight="1">
      <c r="I39" s="441"/>
      <c r="J39" s="441"/>
      <c r="K39" s="441"/>
      <c r="L39" s="441"/>
      <c r="M39" s="441"/>
      <c r="N39" s="441"/>
      <c r="O39" s="441"/>
      <c r="P39" s="441"/>
      <c r="Q39" s="441"/>
      <c r="R39" s="441"/>
      <c r="S39" s="441"/>
      <c r="T39" s="441"/>
      <c r="U39" s="441"/>
      <c r="V39" s="441"/>
      <c r="W39" s="441"/>
      <c r="X39" s="441"/>
      <c r="Y39" s="441"/>
      <c r="Z39" s="441"/>
      <c r="AA39" s="441"/>
      <c r="AB39" s="441"/>
      <c r="AC39" s="441"/>
      <c r="AD39" s="441"/>
      <c r="AE39" s="441"/>
      <c r="AF39" s="441"/>
      <c r="AG39" s="441"/>
      <c r="AH39" s="441"/>
      <c r="AI39" s="441"/>
    </row>
    <row r="40" spans="2:35" ht="12" customHeight="1">
      <c r="I40" s="441"/>
      <c r="J40" s="441"/>
      <c r="K40" s="441"/>
      <c r="L40" s="441"/>
      <c r="M40" s="441"/>
      <c r="N40" s="441"/>
      <c r="O40" s="441"/>
      <c r="P40" s="441"/>
      <c r="Q40" s="441"/>
      <c r="R40" s="441"/>
      <c r="S40" s="441"/>
      <c r="T40" s="441"/>
      <c r="U40" s="441"/>
      <c r="V40" s="441"/>
      <c r="W40" s="441"/>
      <c r="X40" s="441"/>
      <c r="Y40" s="441"/>
      <c r="Z40" s="441"/>
      <c r="AA40" s="441"/>
      <c r="AB40" s="441"/>
      <c r="AC40" s="441"/>
      <c r="AD40" s="441"/>
      <c r="AE40" s="441"/>
      <c r="AF40" s="441"/>
      <c r="AG40" s="441"/>
      <c r="AH40" s="441"/>
      <c r="AI40" s="441"/>
    </row>
    <row r="41" spans="2:35" ht="12" customHeight="1">
      <c r="I41" s="441"/>
      <c r="J41" s="441"/>
      <c r="K41" s="441"/>
      <c r="L41" s="441"/>
      <c r="M41" s="441"/>
      <c r="N41" s="441"/>
      <c r="O41" s="441"/>
      <c r="P41" s="441"/>
      <c r="Q41" s="441"/>
      <c r="R41" s="441"/>
      <c r="S41" s="441"/>
      <c r="T41" s="441"/>
      <c r="U41" s="441"/>
      <c r="V41" s="441"/>
      <c r="W41" s="441"/>
      <c r="X41" s="441"/>
      <c r="Y41" s="441"/>
      <c r="Z41" s="441"/>
      <c r="AA41" s="441"/>
      <c r="AB41" s="441"/>
      <c r="AC41" s="441"/>
      <c r="AD41" s="441"/>
      <c r="AE41" s="441"/>
      <c r="AF41" s="441"/>
      <c r="AG41" s="441"/>
      <c r="AH41" s="441"/>
      <c r="AI41" s="441"/>
    </row>
    <row r="42" spans="2:35" ht="12" customHeight="1">
      <c r="I42" s="441"/>
      <c r="J42" s="441"/>
      <c r="K42" s="441"/>
      <c r="L42" s="441"/>
      <c r="M42" s="441"/>
      <c r="N42" s="441"/>
      <c r="O42" s="441"/>
      <c r="P42" s="441"/>
      <c r="Q42" s="441"/>
      <c r="R42" s="441"/>
      <c r="S42" s="441"/>
      <c r="T42" s="441"/>
      <c r="U42" s="441"/>
      <c r="V42" s="441"/>
      <c r="W42" s="441"/>
      <c r="X42" s="441"/>
      <c r="Y42" s="441"/>
      <c r="Z42" s="441"/>
      <c r="AA42" s="441"/>
      <c r="AB42" s="441"/>
      <c r="AC42" s="441"/>
      <c r="AD42" s="441"/>
      <c r="AE42" s="441"/>
      <c r="AF42" s="441"/>
      <c r="AG42" s="441"/>
      <c r="AH42" s="441"/>
      <c r="AI42" s="441"/>
    </row>
    <row r="43" spans="2:35" ht="12" customHeight="1">
      <c r="I43" s="441"/>
      <c r="J43" s="441"/>
      <c r="K43" s="441"/>
      <c r="L43" s="441"/>
      <c r="M43" s="441"/>
      <c r="N43" s="441"/>
      <c r="O43" s="441"/>
      <c r="P43" s="441"/>
      <c r="Q43" s="441"/>
      <c r="R43" s="441"/>
      <c r="S43" s="441"/>
      <c r="T43" s="441"/>
      <c r="U43" s="441"/>
      <c r="V43" s="441"/>
      <c r="W43" s="441"/>
      <c r="X43" s="441"/>
      <c r="Y43" s="441"/>
      <c r="Z43" s="441"/>
      <c r="AA43" s="441"/>
      <c r="AB43" s="441"/>
      <c r="AC43" s="441"/>
      <c r="AD43" s="441"/>
      <c r="AE43" s="441"/>
      <c r="AF43" s="441"/>
      <c r="AG43" s="441"/>
      <c r="AH43" s="441"/>
      <c r="AI43" s="441"/>
    </row>
    <row r="44" spans="2:35" ht="12" customHeight="1">
      <c r="I44" s="441"/>
      <c r="J44" s="441"/>
      <c r="K44" s="441"/>
      <c r="L44" s="441"/>
      <c r="M44" s="441"/>
      <c r="N44" s="441"/>
      <c r="O44" s="441"/>
      <c r="P44" s="441"/>
      <c r="Q44" s="441"/>
      <c r="R44" s="441"/>
      <c r="S44" s="441"/>
      <c r="T44" s="441"/>
      <c r="U44" s="441"/>
      <c r="V44" s="441"/>
      <c r="W44" s="441"/>
      <c r="X44" s="441"/>
      <c r="Y44" s="441"/>
      <c r="Z44" s="441"/>
      <c r="AA44" s="441"/>
      <c r="AB44" s="441"/>
      <c r="AC44" s="441"/>
      <c r="AD44" s="441"/>
      <c r="AE44" s="441"/>
      <c r="AF44" s="441"/>
      <c r="AG44" s="441"/>
      <c r="AH44" s="441"/>
      <c r="AI44" s="441"/>
    </row>
    <row r="45" spans="2:35" ht="12" customHeight="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41"/>
      <c r="AI45" s="441"/>
    </row>
    <row r="46" spans="2:35" ht="12" customHeight="1">
      <c r="I46" s="441"/>
      <c r="J46" s="441"/>
      <c r="K46" s="441"/>
      <c r="L46" s="441"/>
      <c r="M46" s="441"/>
      <c r="N46" s="441"/>
      <c r="O46" s="441"/>
      <c r="P46" s="441"/>
      <c r="Q46" s="441"/>
      <c r="R46" s="441"/>
      <c r="S46" s="441"/>
      <c r="T46" s="441"/>
      <c r="U46" s="441"/>
      <c r="V46" s="441"/>
      <c r="W46" s="441"/>
      <c r="X46" s="441"/>
      <c r="Y46" s="441"/>
      <c r="Z46" s="441"/>
      <c r="AA46" s="441"/>
      <c r="AB46" s="441"/>
      <c r="AC46" s="441"/>
      <c r="AD46" s="441"/>
      <c r="AE46" s="441"/>
      <c r="AF46" s="441"/>
      <c r="AG46" s="441"/>
      <c r="AH46" s="441"/>
      <c r="AI46" s="441"/>
    </row>
    <row r="47" spans="2:35" ht="12" customHeight="1">
      <c r="I47" s="441"/>
      <c r="J47" s="441"/>
      <c r="K47" s="441"/>
      <c r="L47" s="441"/>
      <c r="M47" s="441"/>
      <c r="N47" s="441"/>
      <c r="O47" s="441"/>
      <c r="P47" s="441"/>
      <c r="Q47" s="441"/>
      <c r="R47" s="441"/>
      <c r="S47" s="441"/>
      <c r="T47" s="441"/>
      <c r="U47" s="441"/>
      <c r="V47" s="441"/>
      <c r="W47" s="441"/>
      <c r="X47" s="441"/>
      <c r="Y47" s="441"/>
      <c r="Z47" s="441"/>
      <c r="AA47" s="441"/>
      <c r="AB47" s="441"/>
      <c r="AC47" s="441"/>
      <c r="AD47" s="441"/>
      <c r="AE47" s="441"/>
      <c r="AF47" s="441"/>
      <c r="AG47" s="441"/>
      <c r="AH47" s="441"/>
      <c r="AI47" s="441"/>
    </row>
    <row r="48" spans="2:35" ht="12" customHeight="1">
      <c r="I48" s="441"/>
      <c r="J48" s="441"/>
      <c r="K48" s="441"/>
      <c r="L48" s="441"/>
      <c r="M48" s="441"/>
      <c r="N48" s="441"/>
      <c r="O48" s="441"/>
      <c r="P48" s="441"/>
      <c r="Q48" s="441"/>
      <c r="R48" s="441"/>
      <c r="S48" s="441"/>
      <c r="T48" s="441"/>
      <c r="U48" s="441"/>
      <c r="V48" s="441"/>
      <c r="W48" s="441"/>
      <c r="X48" s="441"/>
      <c r="Y48" s="441"/>
      <c r="Z48" s="441"/>
      <c r="AA48" s="441"/>
      <c r="AB48" s="441"/>
      <c r="AC48" s="441"/>
      <c r="AD48" s="441"/>
      <c r="AE48" s="441"/>
      <c r="AF48" s="441"/>
      <c r="AG48" s="441"/>
      <c r="AH48" s="441"/>
      <c r="AI48" s="441"/>
    </row>
    <row r="49" spans="2:35" ht="12" customHeight="1">
      <c r="B49" s="499"/>
      <c r="C49" s="499"/>
      <c r="D49" s="499"/>
      <c r="E49" s="481"/>
      <c r="F49" s="481"/>
      <c r="G49" s="481"/>
      <c r="I49" s="441"/>
      <c r="J49" s="441"/>
      <c r="K49" s="441"/>
      <c r="L49" s="441"/>
      <c r="M49" s="441"/>
      <c r="N49" s="441"/>
      <c r="O49" s="441"/>
      <c r="P49" s="441"/>
      <c r="Q49" s="441"/>
      <c r="R49" s="441"/>
      <c r="S49" s="441"/>
      <c r="T49" s="441"/>
      <c r="U49" s="441"/>
      <c r="V49" s="441"/>
      <c r="W49" s="441"/>
      <c r="X49" s="441"/>
      <c r="Y49" s="441"/>
      <c r="Z49" s="441"/>
      <c r="AA49" s="441"/>
      <c r="AB49" s="441"/>
      <c r="AC49" s="441"/>
      <c r="AD49" s="441"/>
      <c r="AE49" s="441"/>
      <c r="AF49" s="441"/>
      <c r="AG49" s="441"/>
      <c r="AH49" s="441"/>
      <c r="AI49" s="441"/>
    </row>
    <row r="50" spans="2:35" ht="12" customHeight="1">
      <c r="B50" s="499"/>
      <c r="C50" s="499"/>
      <c r="D50" s="499"/>
      <c r="E50" s="481"/>
      <c r="F50" s="481"/>
      <c r="G50" s="481"/>
      <c r="I50" s="441"/>
      <c r="J50" s="441"/>
      <c r="K50" s="441"/>
      <c r="L50" s="441"/>
      <c r="M50" s="441"/>
      <c r="N50" s="441"/>
      <c r="O50" s="441"/>
      <c r="P50" s="441"/>
      <c r="Q50" s="441"/>
      <c r="R50" s="441"/>
      <c r="S50" s="441"/>
      <c r="T50" s="441"/>
      <c r="U50" s="441"/>
      <c r="V50" s="441"/>
      <c r="W50" s="441"/>
      <c r="X50" s="441"/>
      <c r="Y50" s="441"/>
      <c r="Z50" s="441"/>
      <c r="AA50" s="441"/>
      <c r="AB50" s="441"/>
      <c r="AC50" s="441"/>
      <c r="AD50" s="441"/>
      <c r="AE50" s="441"/>
      <c r="AF50" s="441"/>
      <c r="AG50" s="441"/>
      <c r="AH50" s="441"/>
      <c r="AI50" s="441"/>
    </row>
    <row r="51" spans="2:35" ht="12" customHeight="1">
      <c r="B51" s="499"/>
      <c r="C51" s="499"/>
      <c r="D51" s="499"/>
      <c r="E51" s="481"/>
      <c r="F51" s="481"/>
      <c r="G51" s="481"/>
      <c r="I51" s="441"/>
      <c r="J51" s="441"/>
      <c r="K51" s="441"/>
      <c r="L51" s="441"/>
      <c r="M51" s="441"/>
      <c r="N51" s="441"/>
      <c r="O51" s="441"/>
      <c r="P51" s="441"/>
      <c r="Q51" s="441"/>
      <c r="R51" s="441"/>
      <c r="S51" s="441"/>
      <c r="T51" s="441"/>
      <c r="U51" s="441"/>
      <c r="V51" s="441"/>
      <c r="W51" s="441"/>
      <c r="X51" s="441"/>
      <c r="Y51" s="441"/>
      <c r="Z51" s="441"/>
      <c r="AA51" s="441"/>
      <c r="AB51" s="441"/>
      <c r="AC51" s="441"/>
      <c r="AD51" s="441"/>
      <c r="AE51" s="441"/>
      <c r="AF51" s="441"/>
      <c r="AG51" s="441"/>
      <c r="AH51" s="441"/>
      <c r="AI51" s="441"/>
    </row>
    <row r="52" spans="2:35" ht="12" customHeight="1">
      <c r="B52" s="499"/>
      <c r="C52" s="499"/>
      <c r="D52" s="499"/>
      <c r="E52" s="499"/>
      <c r="F52" s="499"/>
      <c r="G52" s="499"/>
      <c r="I52" s="441"/>
      <c r="J52" s="441"/>
      <c r="K52" s="441"/>
      <c r="L52" s="441"/>
      <c r="M52" s="441"/>
      <c r="N52" s="441"/>
      <c r="O52" s="441"/>
      <c r="P52" s="441"/>
      <c r="Q52" s="441"/>
      <c r="R52" s="441"/>
      <c r="S52" s="441"/>
      <c r="T52" s="441"/>
      <c r="U52" s="441"/>
      <c r="V52" s="441"/>
      <c r="W52" s="441"/>
      <c r="X52" s="441"/>
      <c r="Y52" s="441"/>
      <c r="Z52" s="441"/>
      <c r="AA52" s="441"/>
      <c r="AB52" s="441"/>
      <c r="AC52" s="441"/>
      <c r="AD52" s="441"/>
      <c r="AE52" s="441"/>
      <c r="AF52" s="441"/>
      <c r="AG52" s="441"/>
      <c r="AH52" s="441"/>
      <c r="AI52" s="441"/>
    </row>
    <row r="53" spans="2:35" ht="12" customHeight="1">
      <c r="I53" s="441"/>
      <c r="J53" s="441"/>
      <c r="K53" s="441"/>
      <c r="L53" s="441"/>
      <c r="M53" s="441"/>
      <c r="N53" s="441"/>
      <c r="O53" s="441"/>
      <c r="P53" s="441"/>
      <c r="Q53" s="441"/>
      <c r="R53" s="441"/>
      <c r="S53" s="441"/>
      <c r="T53" s="441"/>
      <c r="U53" s="441"/>
      <c r="V53" s="441"/>
      <c r="W53" s="441"/>
      <c r="X53" s="441"/>
      <c r="Y53" s="441"/>
      <c r="Z53" s="441"/>
      <c r="AA53" s="441"/>
      <c r="AB53" s="441"/>
      <c r="AC53" s="441"/>
      <c r="AD53" s="441"/>
      <c r="AE53" s="441"/>
      <c r="AF53" s="441"/>
      <c r="AG53" s="441"/>
      <c r="AH53" s="441"/>
      <c r="AI53" s="441"/>
    </row>
    <row r="54" spans="2:35" ht="12" customHeight="1">
      <c r="I54" s="441"/>
      <c r="J54" s="441"/>
      <c r="K54" s="441"/>
      <c r="L54" s="441"/>
      <c r="M54" s="441"/>
      <c r="N54" s="441"/>
      <c r="O54" s="441"/>
      <c r="P54" s="441"/>
      <c r="Q54" s="441"/>
      <c r="R54" s="441"/>
      <c r="S54" s="441"/>
      <c r="T54" s="441"/>
      <c r="U54" s="441"/>
      <c r="V54" s="441"/>
      <c r="W54" s="441"/>
      <c r="X54" s="441"/>
      <c r="Y54" s="441"/>
      <c r="Z54" s="441"/>
      <c r="AA54" s="441"/>
      <c r="AB54" s="441"/>
      <c r="AC54" s="441"/>
      <c r="AD54" s="441"/>
      <c r="AE54" s="441"/>
      <c r="AF54" s="441"/>
      <c r="AG54" s="441"/>
      <c r="AH54" s="441"/>
      <c r="AI54" s="441"/>
    </row>
    <row r="55" spans="2:35" ht="12" customHeight="1">
      <c r="I55" s="441"/>
      <c r="J55" s="441"/>
      <c r="K55" s="441"/>
      <c r="L55" s="441"/>
      <c r="M55" s="441"/>
      <c r="N55" s="441"/>
      <c r="O55" s="441"/>
      <c r="P55" s="441"/>
      <c r="Q55" s="441"/>
      <c r="R55" s="441"/>
      <c r="S55" s="441"/>
      <c r="T55" s="441"/>
      <c r="U55" s="441"/>
      <c r="V55" s="441"/>
      <c r="W55" s="441"/>
      <c r="X55" s="441"/>
      <c r="Y55" s="441"/>
      <c r="Z55" s="441"/>
      <c r="AA55" s="441"/>
      <c r="AB55" s="441"/>
      <c r="AC55" s="441"/>
      <c r="AD55" s="441"/>
      <c r="AE55" s="441"/>
      <c r="AF55" s="441"/>
      <c r="AG55" s="441"/>
      <c r="AH55" s="441"/>
      <c r="AI55" s="441"/>
    </row>
    <row r="56" spans="2:35" ht="12" customHeight="1">
      <c r="I56" s="441"/>
      <c r="J56" s="441"/>
      <c r="K56" s="441"/>
      <c r="L56" s="441"/>
      <c r="M56" s="441"/>
      <c r="N56" s="441"/>
      <c r="O56" s="441"/>
      <c r="P56" s="441"/>
      <c r="Q56" s="441"/>
      <c r="R56" s="441"/>
      <c r="S56" s="441"/>
      <c r="T56" s="441"/>
      <c r="U56" s="441"/>
      <c r="V56" s="441"/>
      <c r="W56" s="441"/>
      <c r="X56" s="441"/>
      <c r="Y56" s="441"/>
      <c r="Z56" s="441"/>
      <c r="AA56" s="441"/>
      <c r="AB56" s="441"/>
      <c r="AC56" s="441"/>
      <c r="AD56" s="441"/>
      <c r="AE56" s="441"/>
      <c r="AF56" s="441"/>
      <c r="AG56" s="441"/>
      <c r="AH56" s="441"/>
      <c r="AI56" s="441"/>
    </row>
    <row r="57" spans="2:35" ht="12" customHeight="1">
      <c r="I57" s="441"/>
      <c r="J57" s="441"/>
      <c r="K57" s="441"/>
      <c r="L57" s="441"/>
      <c r="M57" s="441"/>
      <c r="N57" s="441"/>
      <c r="O57" s="441"/>
      <c r="P57" s="441"/>
      <c r="Q57" s="441"/>
      <c r="R57" s="441"/>
      <c r="S57" s="441"/>
      <c r="T57" s="441"/>
      <c r="U57" s="441"/>
      <c r="V57" s="441"/>
      <c r="W57" s="441"/>
      <c r="X57" s="441"/>
      <c r="Y57" s="441"/>
      <c r="Z57" s="441"/>
      <c r="AA57" s="441"/>
      <c r="AB57" s="441"/>
      <c r="AC57" s="441"/>
      <c r="AD57" s="441"/>
      <c r="AE57" s="441"/>
      <c r="AF57" s="441"/>
      <c r="AG57" s="441"/>
      <c r="AH57" s="441"/>
      <c r="AI57" s="441"/>
    </row>
    <row r="58" spans="2:35" ht="12" customHeight="1">
      <c r="I58" s="441"/>
      <c r="J58" s="441"/>
      <c r="K58" s="441"/>
      <c r="L58" s="441"/>
      <c r="M58" s="441"/>
      <c r="N58" s="441"/>
      <c r="O58" s="441"/>
      <c r="P58" s="441"/>
      <c r="Q58" s="441"/>
      <c r="R58" s="441"/>
      <c r="S58" s="441"/>
      <c r="T58" s="441"/>
      <c r="U58" s="441"/>
      <c r="V58" s="441"/>
      <c r="W58" s="441"/>
      <c r="X58" s="441"/>
      <c r="Y58" s="441"/>
      <c r="Z58" s="441"/>
      <c r="AA58" s="441"/>
      <c r="AB58" s="441"/>
      <c r="AC58" s="441"/>
      <c r="AD58" s="441"/>
      <c r="AE58" s="441"/>
      <c r="AF58" s="441"/>
      <c r="AG58" s="441"/>
      <c r="AH58" s="441"/>
      <c r="AI58" s="441"/>
    </row>
    <row r="59" spans="2:35" ht="12" customHeight="1">
      <c r="I59" s="441"/>
      <c r="J59" s="441"/>
      <c r="K59" s="441"/>
      <c r="L59" s="441"/>
      <c r="M59" s="441"/>
      <c r="N59" s="441"/>
      <c r="O59" s="441"/>
      <c r="P59" s="441"/>
      <c r="Q59" s="441"/>
      <c r="R59" s="441"/>
      <c r="S59" s="441"/>
      <c r="T59" s="441"/>
      <c r="U59" s="441"/>
      <c r="V59" s="441"/>
      <c r="W59" s="441"/>
      <c r="X59" s="441"/>
      <c r="Y59" s="441"/>
      <c r="Z59" s="441"/>
      <c r="AA59" s="441"/>
      <c r="AB59" s="441"/>
      <c r="AC59" s="441"/>
      <c r="AD59" s="441"/>
      <c r="AE59" s="441"/>
      <c r="AF59" s="441"/>
      <c r="AG59" s="441"/>
      <c r="AH59" s="441"/>
      <c r="AI59" s="441"/>
    </row>
    <row r="60" spans="2:35" ht="12" customHeight="1">
      <c r="I60" s="441"/>
      <c r="J60" s="441"/>
      <c r="K60" s="441"/>
      <c r="L60" s="441"/>
      <c r="M60" s="441"/>
      <c r="N60" s="441"/>
      <c r="O60" s="441"/>
      <c r="P60" s="441"/>
      <c r="Q60" s="441"/>
      <c r="R60" s="441"/>
      <c r="S60" s="441"/>
      <c r="T60" s="441"/>
      <c r="U60" s="441"/>
      <c r="V60" s="441"/>
      <c r="W60" s="441"/>
      <c r="X60" s="441"/>
      <c r="Y60" s="441"/>
      <c r="Z60" s="441"/>
      <c r="AA60" s="441"/>
      <c r="AB60" s="441"/>
      <c r="AC60" s="441"/>
      <c r="AD60" s="441"/>
      <c r="AE60" s="441"/>
      <c r="AF60" s="441"/>
      <c r="AG60" s="441"/>
      <c r="AH60" s="441"/>
      <c r="AI60" s="441"/>
    </row>
    <row r="61" spans="2:35" ht="12" customHeight="1">
      <c r="I61" s="441"/>
      <c r="J61" s="441"/>
      <c r="K61" s="441"/>
      <c r="L61" s="441"/>
      <c r="M61" s="441"/>
      <c r="N61" s="441"/>
      <c r="O61" s="441"/>
      <c r="P61" s="441"/>
      <c r="Q61" s="441"/>
      <c r="R61" s="441"/>
      <c r="S61" s="441"/>
      <c r="T61" s="441"/>
      <c r="U61" s="441"/>
      <c r="V61" s="441"/>
      <c r="W61" s="441"/>
      <c r="X61" s="441"/>
      <c r="Y61" s="441"/>
      <c r="Z61" s="441"/>
      <c r="AA61" s="441"/>
      <c r="AB61" s="441"/>
      <c r="AC61" s="441"/>
      <c r="AD61" s="441"/>
      <c r="AE61" s="441"/>
      <c r="AF61" s="441"/>
      <c r="AG61" s="441"/>
      <c r="AH61" s="441"/>
      <c r="AI61" s="441"/>
    </row>
    <row r="62" spans="2:35" ht="12" customHeight="1">
      <c r="I62" s="441"/>
      <c r="J62" s="441"/>
      <c r="K62" s="441"/>
      <c r="L62" s="441"/>
      <c r="M62" s="441"/>
      <c r="N62" s="441"/>
      <c r="O62" s="441"/>
      <c r="P62" s="441"/>
      <c r="Q62" s="441"/>
      <c r="R62" s="441"/>
      <c r="S62" s="441"/>
      <c r="T62" s="441"/>
      <c r="U62" s="441"/>
      <c r="V62" s="441"/>
      <c r="W62" s="441"/>
      <c r="X62" s="441"/>
      <c r="Y62" s="441"/>
      <c r="Z62" s="441"/>
      <c r="AA62" s="441"/>
      <c r="AB62" s="441"/>
      <c r="AC62" s="441"/>
      <c r="AD62" s="441"/>
      <c r="AE62" s="441"/>
      <c r="AF62" s="441"/>
      <c r="AG62" s="441"/>
      <c r="AH62" s="441"/>
      <c r="AI62" s="441"/>
    </row>
    <row r="63" spans="2:35" ht="12" customHeight="1"/>
    <row r="64" spans="2:35" ht="12" customHeight="1"/>
    <row r="65" ht="12" customHeight="1"/>
    <row r="66" ht="12" customHeight="1"/>
  </sheetData>
  <phoneticPr fontId="46" type="noConversion"/>
  <pageMargins left="0.98425196850393704"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52"/>
  <sheetViews>
    <sheetView workbookViewId="0">
      <selection activeCell="E18" sqref="E18"/>
    </sheetView>
  </sheetViews>
  <sheetFormatPr baseColWidth="10" defaultColWidth="14.7109375" defaultRowHeight="12.75"/>
  <cols>
    <col min="1" max="1" width="14.28515625" style="479" customWidth="1"/>
    <col min="2" max="4" width="9.28515625" style="479" customWidth="1"/>
    <col min="5" max="5" width="14.7109375" style="479" customWidth="1"/>
    <col min="6" max="6" width="13.7109375" style="479" customWidth="1"/>
    <col min="7" max="7" width="12.42578125" style="479" customWidth="1"/>
    <col min="8" max="8" width="12.28515625" style="479" customWidth="1"/>
    <col min="9" max="16384" width="14.7109375" style="479"/>
  </cols>
  <sheetData>
    <row r="1" spans="1:9">
      <c r="A1" s="476" t="s">
        <v>178</v>
      </c>
      <c r="B1" s="477"/>
      <c r="C1" s="477"/>
      <c r="D1" s="477"/>
      <c r="E1" s="477"/>
      <c r="F1" s="478"/>
      <c r="G1" s="478"/>
      <c r="H1" s="478"/>
      <c r="I1" s="500"/>
    </row>
    <row r="2" spans="1:9">
      <c r="A2" s="476"/>
      <c r="B2" s="477"/>
      <c r="C2" s="477"/>
      <c r="D2" s="477"/>
      <c r="E2" s="477"/>
      <c r="F2" s="478"/>
      <c r="G2" s="478"/>
      <c r="H2" s="478"/>
      <c r="I2" s="500"/>
    </row>
    <row r="3" spans="1:9">
      <c r="A3" s="476" t="s">
        <v>188</v>
      </c>
      <c r="B3" s="477"/>
      <c r="C3" s="477"/>
      <c r="D3" s="477"/>
      <c r="E3" s="477"/>
      <c r="F3" s="478"/>
      <c r="G3" s="478"/>
      <c r="H3" s="478"/>
      <c r="I3" s="500"/>
    </row>
    <row r="4" spans="1:9">
      <c r="A4" s="476" t="str">
        <f>+'83'!A4</f>
        <v>2014 -  2023</v>
      </c>
      <c r="B4" s="477"/>
      <c r="C4" s="477"/>
      <c r="D4" s="477"/>
      <c r="E4" s="477"/>
      <c r="F4" s="478"/>
      <c r="G4" s="478"/>
      <c r="H4" s="478"/>
      <c r="I4" s="500"/>
    </row>
    <row r="5" spans="1:9">
      <c r="B5" s="480"/>
      <c r="C5" s="480"/>
      <c r="D5" s="480"/>
      <c r="E5" s="480"/>
      <c r="F5" s="480"/>
      <c r="G5" s="480"/>
      <c r="H5" s="480"/>
    </row>
    <row r="7" spans="1:9" ht="17.25" customHeight="1">
      <c r="B7" s="1437"/>
      <c r="C7" s="1438" t="s">
        <v>180</v>
      </c>
      <c r="D7" s="1438" t="s">
        <v>181</v>
      </c>
      <c r="E7" s="1439" t="s">
        <v>614</v>
      </c>
      <c r="F7" s="1440" t="s">
        <v>182</v>
      </c>
      <c r="G7" s="1441" t="s">
        <v>183</v>
      </c>
      <c r="H7" s="481"/>
      <c r="I7" s="501"/>
    </row>
    <row r="8" spans="1:9" ht="17.25" customHeight="1">
      <c r="B8" s="1447" t="s">
        <v>597</v>
      </c>
      <c r="C8" s="1443" t="s">
        <v>184</v>
      </c>
      <c r="D8" s="1443" t="s">
        <v>184</v>
      </c>
      <c r="E8" s="1444" t="s">
        <v>185</v>
      </c>
      <c r="F8" s="1445" t="s">
        <v>186</v>
      </c>
      <c r="G8" s="1446" t="s">
        <v>187</v>
      </c>
      <c r="H8" s="481"/>
      <c r="I8" s="501"/>
    </row>
    <row r="9" spans="1:9" ht="17.25" customHeight="1">
      <c r="B9" s="486">
        <v>2014</v>
      </c>
      <c r="C9" s="482">
        <v>234</v>
      </c>
      <c r="D9" s="486">
        <v>233</v>
      </c>
      <c r="E9" s="502">
        <v>11948</v>
      </c>
      <c r="F9" s="484">
        <v>69.898782801324415</v>
      </c>
      <c r="G9" s="503">
        <v>5.0907264814194848</v>
      </c>
      <c r="H9" s="481"/>
      <c r="I9" s="501"/>
    </row>
    <row r="10" spans="1:9" ht="17.25" customHeight="1">
      <c r="B10" s="486">
        <v>2015</v>
      </c>
      <c r="C10" s="482">
        <v>234</v>
      </c>
      <c r="D10" s="486">
        <v>233</v>
      </c>
      <c r="E10" s="502">
        <v>11421</v>
      </c>
      <c r="F10" s="484">
        <v>64.493501618730349</v>
      </c>
      <c r="G10" s="503">
        <v>4.7750634795552056</v>
      </c>
      <c r="H10" s="481"/>
      <c r="I10" s="501"/>
    </row>
    <row r="11" spans="1:9" ht="17.25" customHeight="1">
      <c r="B11" s="486">
        <v>2016</v>
      </c>
      <c r="C11" s="482">
        <v>234</v>
      </c>
      <c r="D11" s="486">
        <v>233</v>
      </c>
      <c r="E11" s="504">
        <v>10752</v>
      </c>
      <c r="F11" s="490">
        <v>62.549711730791856</v>
      </c>
      <c r="G11" s="491">
        <v>5.0465959821428568</v>
      </c>
      <c r="H11" s="481"/>
      <c r="I11" s="501"/>
    </row>
    <row r="12" spans="1:9" ht="17.25" customHeight="1">
      <c r="B12" s="486">
        <v>2017</v>
      </c>
      <c r="C12" s="482">
        <v>234</v>
      </c>
      <c r="D12" s="486">
        <v>232</v>
      </c>
      <c r="E12" s="504">
        <v>11194</v>
      </c>
      <c r="F12" s="490">
        <v>65.759969724206442</v>
      </c>
      <c r="G12" s="491">
        <v>5.1546364123637662</v>
      </c>
      <c r="H12" s="481"/>
      <c r="I12" s="501"/>
    </row>
    <row r="13" spans="1:9" ht="17.25" customHeight="1">
      <c r="B13" s="486">
        <v>2018</v>
      </c>
      <c r="C13" s="482">
        <v>234</v>
      </c>
      <c r="D13" s="486">
        <v>222</v>
      </c>
      <c r="E13" s="504">
        <v>11761</v>
      </c>
      <c r="F13" s="490">
        <v>70.390661632240068</v>
      </c>
      <c r="G13" s="491">
        <v>4.85069296828501</v>
      </c>
      <c r="H13" s="481"/>
      <c r="I13" s="501"/>
    </row>
    <row r="14" spans="1:9" ht="17.25" customHeight="1">
      <c r="B14" s="486">
        <v>2019</v>
      </c>
      <c r="C14" s="482">
        <v>225</v>
      </c>
      <c r="D14" s="595">
        <v>225</v>
      </c>
      <c r="E14" s="504">
        <v>11046</v>
      </c>
      <c r="F14" s="490">
        <v>72.046730907451845</v>
      </c>
      <c r="G14" s="491">
        <v>5.4436900235379326</v>
      </c>
      <c r="H14" s="481"/>
      <c r="I14" s="501"/>
    </row>
    <row r="15" spans="1:9" ht="17.25" customHeight="1">
      <c r="B15" s="486">
        <v>2020</v>
      </c>
      <c r="C15" s="482">
        <v>225</v>
      </c>
      <c r="D15" s="595">
        <v>224</v>
      </c>
      <c r="E15" s="504">
        <v>8460</v>
      </c>
      <c r="F15" s="490">
        <v>61.376666013328105</v>
      </c>
      <c r="G15" s="491">
        <v>5.949290780141844</v>
      </c>
      <c r="H15" s="481"/>
      <c r="I15" s="501"/>
    </row>
    <row r="16" spans="1:9" ht="17.25" customHeight="1">
      <c r="B16" s="486">
        <v>2021</v>
      </c>
      <c r="C16" s="482">
        <v>225</v>
      </c>
      <c r="D16" s="595">
        <v>225</v>
      </c>
      <c r="E16" s="504">
        <v>7961</v>
      </c>
      <c r="F16" s="490">
        <v>60.72190459936855</v>
      </c>
      <c r="G16" s="491">
        <v>6.3628941087803037</v>
      </c>
      <c r="H16" s="481"/>
      <c r="I16" s="501"/>
    </row>
    <row r="17" spans="2:9" ht="15" customHeight="1">
      <c r="B17" s="486">
        <f>+'83'!B17</f>
        <v>2022</v>
      </c>
      <c r="C17" s="482">
        <v>221</v>
      </c>
      <c r="D17" s="595">
        <v>222.74794520547945</v>
      </c>
      <c r="E17" s="504">
        <v>9257</v>
      </c>
      <c r="F17" s="490">
        <v>68.506697169846134</v>
      </c>
      <c r="G17" s="491">
        <v>5.824781246624176</v>
      </c>
      <c r="H17" s="481"/>
      <c r="I17" s="501"/>
    </row>
    <row r="18" spans="2:9" ht="15" customHeight="1">
      <c r="B18" s="492">
        <f>+'83'!B18</f>
        <v>2023</v>
      </c>
      <c r="C18" s="505">
        <v>221</v>
      </c>
      <c r="D18" s="506">
        <f>+'76'!R12/365</f>
        <v>218.84931506849315</v>
      </c>
      <c r="E18" s="1210">
        <f>+'76'!O12</f>
        <v>9775</v>
      </c>
      <c r="F18" s="1211">
        <f>+'76'!V12</f>
        <v>72.339759639459189</v>
      </c>
      <c r="G18" s="1212">
        <f>+'76'!W12</f>
        <v>6.1207161125319693</v>
      </c>
      <c r="H18" s="481"/>
      <c r="I18" s="501"/>
    </row>
    <row r="19" spans="2:9">
      <c r="B19" s="499"/>
      <c r="C19" s="499"/>
      <c r="D19" s="499"/>
      <c r="E19" s="481"/>
      <c r="F19" s="481"/>
      <c r="G19" s="481"/>
      <c r="H19" s="481"/>
      <c r="I19" s="501"/>
    </row>
    <row r="20" spans="2:9">
      <c r="B20" s="499"/>
      <c r="C20" s="499"/>
      <c r="D20" s="499"/>
      <c r="E20" s="481"/>
      <c r="F20" s="481"/>
      <c r="G20" s="481"/>
      <c r="H20" s="481"/>
      <c r="I20" s="501"/>
    </row>
    <row r="21" spans="2:9">
      <c r="B21" s="499"/>
      <c r="C21" s="499"/>
      <c r="D21" s="499"/>
      <c r="E21" s="481"/>
      <c r="F21" s="481"/>
      <c r="G21" s="481"/>
      <c r="H21" s="481"/>
      <c r="I21" s="501"/>
    </row>
    <row r="22" spans="2:9">
      <c r="B22" s="499"/>
      <c r="C22" s="499"/>
      <c r="D22" s="499"/>
      <c r="E22" s="499"/>
      <c r="F22" s="499"/>
      <c r="G22" s="499"/>
      <c r="H22" s="499"/>
    </row>
    <row r="34" spans="2:7">
      <c r="B34" s="499"/>
      <c r="C34" s="499"/>
      <c r="D34" s="499"/>
      <c r="E34" s="481"/>
      <c r="F34" s="481"/>
      <c r="G34" s="481"/>
    </row>
    <row r="35" spans="2:7">
      <c r="B35" s="499"/>
      <c r="C35" s="499"/>
      <c r="D35" s="499"/>
      <c r="E35" s="481"/>
      <c r="F35" s="481"/>
      <c r="G35" s="481"/>
    </row>
    <row r="36" spans="2:7">
      <c r="B36" s="499"/>
      <c r="C36" s="499"/>
      <c r="D36" s="499"/>
      <c r="E36" s="481"/>
      <c r="F36" s="481"/>
      <c r="G36" s="481"/>
    </row>
    <row r="37" spans="2:7">
      <c r="B37" s="499"/>
      <c r="C37" s="499"/>
      <c r="D37" s="499"/>
      <c r="E37" s="499"/>
      <c r="F37" s="499"/>
      <c r="G37" s="499"/>
    </row>
    <row r="49" spans="2:7">
      <c r="B49" s="499"/>
      <c r="C49" s="499"/>
      <c r="D49" s="499"/>
      <c r="E49" s="481"/>
      <c r="F49" s="481"/>
      <c r="G49" s="481"/>
    </row>
    <row r="50" spans="2:7">
      <c r="B50" s="499"/>
      <c r="C50" s="499"/>
      <c r="D50" s="499"/>
      <c r="E50" s="481"/>
      <c r="F50" s="481"/>
      <c r="G50" s="481"/>
    </row>
    <row r="51" spans="2:7">
      <c r="B51" s="499"/>
      <c r="C51" s="499"/>
      <c r="D51" s="499"/>
      <c r="E51" s="481"/>
      <c r="F51" s="481"/>
      <c r="G51" s="481"/>
    </row>
    <row r="52" spans="2:7">
      <c r="B52" s="499"/>
      <c r="C52" s="499"/>
      <c r="D52" s="499"/>
      <c r="E52" s="499"/>
      <c r="F52" s="499"/>
      <c r="G52" s="499"/>
    </row>
  </sheetData>
  <phoneticPr fontId="46"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66"/>
  <sheetViews>
    <sheetView workbookViewId="0">
      <selection activeCell="F18" sqref="F18"/>
    </sheetView>
  </sheetViews>
  <sheetFormatPr baseColWidth="10" defaultColWidth="14.7109375" defaultRowHeight="12.75"/>
  <cols>
    <col min="1" max="1" width="11.28515625" style="510" customWidth="1"/>
    <col min="2" max="4" width="9.28515625" style="510" customWidth="1"/>
    <col min="5" max="5" width="14.7109375" style="510" customWidth="1"/>
    <col min="6" max="6" width="13.7109375" style="510" customWidth="1"/>
    <col min="7" max="7" width="12.42578125" style="510" customWidth="1"/>
    <col min="8" max="8" width="14.28515625" style="510" customWidth="1"/>
    <col min="9" max="16384" width="14.7109375" style="510"/>
  </cols>
  <sheetData>
    <row r="1" spans="1:9" s="509" customFormat="1">
      <c r="A1" s="476" t="s">
        <v>178</v>
      </c>
      <c r="B1" s="477"/>
      <c r="C1" s="477"/>
      <c r="D1" s="477"/>
      <c r="E1" s="477"/>
      <c r="F1" s="477"/>
      <c r="G1" s="477"/>
      <c r="H1" s="477"/>
      <c r="I1" s="508"/>
    </row>
    <row r="2" spans="1:9" s="509" customFormat="1">
      <c r="A2" s="476"/>
      <c r="B2" s="477"/>
      <c r="C2" s="477"/>
      <c r="D2" s="477"/>
      <c r="E2" s="477"/>
      <c r="F2" s="477"/>
      <c r="G2" s="477"/>
      <c r="H2" s="477"/>
      <c r="I2" s="508"/>
    </row>
    <row r="3" spans="1:9" s="509" customFormat="1">
      <c r="A3" s="476" t="s">
        <v>189</v>
      </c>
      <c r="B3" s="477"/>
      <c r="C3" s="477"/>
      <c r="D3" s="477"/>
      <c r="E3" s="477"/>
      <c r="F3" s="477"/>
      <c r="G3" s="477"/>
      <c r="H3" s="477"/>
      <c r="I3" s="508"/>
    </row>
    <row r="4" spans="1:9" s="509" customFormat="1">
      <c r="A4" s="476" t="str">
        <f>+'84'!A4</f>
        <v>2014 -  2023</v>
      </c>
      <c r="B4" s="477"/>
      <c r="C4" s="477"/>
      <c r="D4" s="477"/>
      <c r="E4" s="477"/>
      <c r="F4" s="477"/>
      <c r="G4" s="477"/>
      <c r="H4" s="477"/>
      <c r="I4" s="508"/>
    </row>
    <row r="5" spans="1:9">
      <c r="B5" s="511"/>
      <c r="C5" s="511"/>
      <c r="D5" s="511"/>
      <c r="E5" s="511"/>
      <c r="F5" s="511"/>
      <c r="G5" s="511"/>
      <c r="H5" s="511"/>
    </row>
    <row r="7" spans="1:9" ht="17.25" customHeight="1">
      <c r="B7" s="1437"/>
      <c r="C7" s="1438" t="s">
        <v>180</v>
      </c>
      <c r="D7" s="1438" t="s">
        <v>181</v>
      </c>
      <c r="E7" s="1448" t="s">
        <v>614</v>
      </c>
      <c r="F7" s="1449" t="s">
        <v>182</v>
      </c>
      <c r="G7" s="1450" t="s">
        <v>183</v>
      </c>
      <c r="H7" s="512"/>
    </row>
    <row r="8" spans="1:9" ht="17.25" customHeight="1">
      <c r="B8" s="1447" t="s">
        <v>597</v>
      </c>
      <c r="C8" s="1443" t="s">
        <v>184</v>
      </c>
      <c r="D8" s="1443" t="s">
        <v>184</v>
      </c>
      <c r="E8" s="1451" t="s">
        <v>185</v>
      </c>
      <c r="F8" s="1452" t="s">
        <v>186</v>
      </c>
      <c r="G8" s="1453" t="s">
        <v>187</v>
      </c>
      <c r="H8" s="512"/>
    </row>
    <row r="9" spans="1:9" ht="17.25" customHeight="1">
      <c r="B9" s="486">
        <v>2014</v>
      </c>
      <c r="C9" s="482">
        <v>168</v>
      </c>
      <c r="D9" s="486">
        <v>160</v>
      </c>
      <c r="E9" s="513">
        <v>9671</v>
      </c>
      <c r="F9" s="514">
        <v>78.718246380770282</v>
      </c>
      <c r="G9" s="515">
        <v>4.7527660014476272</v>
      </c>
      <c r="H9" s="512"/>
    </row>
    <row r="10" spans="1:9" ht="17.25" customHeight="1">
      <c r="B10" s="486">
        <v>2015</v>
      </c>
      <c r="C10" s="482">
        <v>168</v>
      </c>
      <c r="D10" s="486">
        <v>160</v>
      </c>
      <c r="E10" s="513">
        <v>9361</v>
      </c>
      <c r="F10" s="514">
        <v>80.627072862173904</v>
      </c>
      <c r="G10" s="515">
        <v>5.0138874051917526</v>
      </c>
      <c r="H10" s="512"/>
    </row>
    <row r="11" spans="1:9" ht="17.25" customHeight="1">
      <c r="B11" s="486">
        <v>2016</v>
      </c>
      <c r="C11" s="482">
        <v>168</v>
      </c>
      <c r="D11" s="486">
        <v>153</v>
      </c>
      <c r="E11" s="516">
        <v>9344</v>
      </c>
      <c r="F11" s="517">
        <v>87.477343287331976</v>
      </c>
      <c r="G11" s="518">
        <v>5.2456121575342465</v>
      </c>
      <c r="H11" s="512"/>
    </row>
    <row r="12" spans="1:9" ht="15" customHeight="1">
      <c r="B12" s="486">
        <v>2017</v>
      </c>
      <c r="C12" s="482">
        <v>168</v>
      </c>
      <c r="D12" s="595">
        <v>163.67945205479452</v>
      </c>
      <c r="E12" s="516">
        <v>9208</v>
      </c>
      <c r="F12" s="517">
        <v>82.351070418291684</v>
      </c>
      <c r="G12" s="518">
        <v>5.3322111207645522</v>
      </c>
      <c r="H12" s="512"/>
    </row>
    <row r="13" spans="1:9" ht="15" customHeight="1">
      <c r="B13" s="486">
        <v>2018</v>
      </c>
      <c r="C13" s="482">
        <v>168</v>
      </c>
      <c r="D13" s="595">
        <v>164.0958904109589</v>
      </c>
      <c r="E13" s="516">
        <v>9081</v>
      </c>
      <c r="F13" s="517">
        <v>86.102345771767261</v>
      </c>
      <c r="G13" s="518">
        <v>5.6168924127298752</v>
      </c>
      <c r="H13" s="512"/>
    </row>
    <row r="14" spans="1:9" ht="15" customHeight="1">
      <c r="B14" s="486">
        <v>2019</v>
      </c>
      <c r="C14" s="482">
        <v>168</v>
      </c>
      <c r="D14" s="595">
        <v>164.07671232876712</v>
      </c>
      <c r="E14" s="516">
        <v>9086</v>
      </c>
      <c r="F14" s="517">
        <v>84.714800961795362</v>
      </c>
      <c r="G14" s="518">
        <v>5.5651551837992512</v>
      </c>
      <c r="H14" s="512"/>
    </row>
    <row r="15" spans="1:9" ht="15" customHeight="1">
      <c r="B15" s="486">
        <v>2020</v>
      </c>
      <c r="C15" s="482">
        <v>168</v>
      </c>
      <c r="D15" s="595">
        <v>156.75342465753425</v>
      </c>
      <c r="E15" s="516">
        <v>6807</v>
      </c>
      <c r="F15" s="517">
        <v>71.36764834396574</v>
      </c>
      <c r="G15" s="518">
        <v>6.079477008961363</v>
      </c>
      <c r="H15" s="512"/>
    </row>
    <row r="16" spans="1:9" ht="15" customHeight="1">
      <c r="B16" s="486">
        <f>+'83'!B16</f>
        <v>2021</v>
      </c>
      <c r="C16" s="482">
        <v>168</v>
      </c>
      <c r="D16" s="595">
        <v>153.68493150684932</v>
      </c>
      <c r="E16" s="516">
        <v>6862</v>
      </c>
      <c r="F16" s="517">
        <v>78.135306177021121</v>
      </c>
      <c r="G16" s="518">
        <v>6.2251530166132323</v>
      </c>
      <c r="H16" s="512"/>
    </row>
    <row r="17" spans="1:8" ht="15" customHeight="1">
      <c r="B17" s="486">
        <f>+'83'!B17</f>
        <v>2022</v>
      </c>
      <c r="C17" s="482">
        <v>168</v>
      </c>
      <c r="D17" s="595">
        <v>157.13424657534247</v>
      </c>
      <c r="E17" s="516">
        <v>7211</v>
      </c>
      <c r="F17" s="517">
        <v>79.351047878090455</v>
      </c>
      <c r="G17" s="518">
        <v>6.3249202607127994</v>
      </c>
      <c r="H17" s="512"/>
    </row>
    <row r="18" spans="1:8" ht="15" customHeight="1">
      <c r="B18" s="492">
        <f>+'83'!B18</f>
        <v>2023</v>
      </c>
      <c r="C18" s="505">
        <v>168</v>
      </c>
      <c r="D18" s="506">
        <f>+'78'!R12/365</f>
        <v>157.15068493150685</v>
      </c>
      <c r="E18" s="519">
        <f>+'78'!O12</f>
        <v>7867</v>
      </c>
      <c r="F18" s="520">
        <f>+'78'!V12</f>
        <v>79.88493723849372</v>
      </c>
      <c r="G18" s="521">
        <f>+'78'!W12</f>
        <v>5.914707003940511</v>
      </c>
      <c r="H18" s="512"/>
    </row>
    <row r="19" spans="1:8">
      <c r="B19" s="499"/>
      <c r="C19" s="499"/>
      <c r="D19" s="499"/>
      <c r="E19" s="481"/>
      <c r="F19" s="481"/>
      <c r="G19" s="481"/>
      <c r="H19" s="512"/>
    </row>
    <row r="20" spans="1:8">
      <c r="B20" s="499"/>
      <c r="C20" s="499"/>
      <c r="D20" s="499"/>
      <c r="E20" s="481"/>
      <c r="F20" s="481"/>
      <c r="G20" s="481"/>
      <c r="H20" s="512"/>
    </row>
    <row r="21" spans="1:8">
      <c r="A21" s="479"/>
      <c r="B21" s="499"/>
      <c r="C21" s="499"/>
      <c r="D21" s="499"/>
      <c r="E21" s="481"/>
      <c r="F21" s="481"/>
      <c r="G21" s="481"/>
      <c r="H21" s="481"/>
    </row>
    <row r="22" spans="1:8">
      <c r="A22" s="479"/>
      <c r="B22" s="499"/>
      <c r="C22" s="499"/>
      <c r="D22" s="499"/>
      <c r="E22" s="499"/>
      <c r="F22" s="499"/>
      <c r="G22" s="499"/>
      <c r="H22" s="499"/>
    </row>
    <row r="23" spans="1:8">
      <c r="A23" s="479"/>
      <c r="B23" s="479"/>
      <c r="C23" s="479"/>
      <c r="D23" s="479"/>
      <c r="E23" s="479"/>
      <c r="F23" s="479"/>
      <c r="G23" s="479"/>
      <c r="H23" s="479"/>
    </row>
    <row r="24" spans="1:8">
      <c r="A24" s="479"/>
      <c r="B24" s="479"/>
      <c r="C24" s="479"/>
      <c r="D24" s="479"/>
      <c r="E24" s="479"/>
      <c r="F24" s="479"/>
      <c r="G24" s="479"/>
      <c r="H24" s="479"/>
    </row>
    <row r="25" spans="1:8">
      <c r="A25" s="479"/>
      <c r="B25" s="479"/>
      <c r="C25" s="479"/>
      <c r="D25" s="479"/>
      <c r="E25" s="479"/>
      <c r="F25" s="479"/>
      <c r="G25" s="479"/>
      <c r="H25" s="479"/>
    </row>
    <row r="26" spans="1:8">
      <c r="A26" s="479"/>
      <c r="B26" s="479"/>
      <c r="C26" s="479"/>
      <c r="D26" s="479"/>
      <c r="E26" s="479"/>
      <c r="F26" s="479"/>
      <c r="G26" s="479"/>
      <c r="H26" s="479"/>
    </row>
    <row r="27" spans="1:8">
      <c r="A27" s="479"/>
      <c r="B27" s="479"/>
      <c r="C27" s="479"/>
      <c r="D27" s="479"/>
      <c r="E27" s="479"/>
      <c r="F27" s="479"/>
      <c r="G27" s="479"/>
      <c r="H27" s="479"/>
    </row>
    <row r="28" spans="1:8">
      <c r="A28" s="479"/>
      <c r="B28" s="479"/>
      <c r="C28" s="479"/>
      <c r="D28" s="479"/>
      <c r="E28" s="479"/>
      <c r="F28" s="479"/>
      <c r="G28" s="479"/>
      <c r="H28" s="479"/>
    </row>
    <row r="29" spans="1:8">
      <c r="A29" s="479"/>
      <c r="B29" s="479"/>
      <c r="C29" s="479"/>
      <c r="D29" s="479"/>
      <c r="E29" s="479"/>
      <c r="F29" s="479"/>
      <c r="G29" s="479"/>
      <c r="H29" s="479"/>
    </row>
    <row r="30" spans="1:8">
      <c r="A30" s="479"/>
      <c r="B30" s="479"/>
      <c r="C30" s="479"/>
      <c r="D30" s="479"/>
      <c r="E30" s="479"/>
      <c r="F30" s="479"/>
      <c r="G30" s="479"/>
      <c r="H30" s="479"/>
    </row>
    <row r="31" spans="1:8">
      <c r="A31" s="479"/>
      <c r="B31" s="479"/>
      <c r="C31" s="479"/>
      <c r="D31" s="479"/>
      <c r="E31" s="479"/>
      <c r="F31" s="479"/>
      <c r="G31" s="479"/>
      <c r="H31" s="479"/>
    </row>
    <row r="32" spans="1:8">
      <c r="A32" s="479"/>
      <c r="B32" s="479"/>
      <c r="C32" s="479"/>
      <c r="D32" s="479"/>
      <c r="E32" s="479"/>
      <c r="F32" s="479"/>
      <c r="G32" s="479"/>
      <c r="H32" s="479"/>
    </row>
    <row r="33" spans="1:8">
      <c r="A33" s="479"/>
      <c r="B33" s="479"/>
      <c r="C33" s="479"/>
      <c r="D33" s="479"/>
      <c r="E33" s="479"/>
      <c r="F33" s="479"/>
      <c r="G33" s="479"/>
      <c r="H33" s="479"/>
    </row>
    <row r="34" spans="1:8">
      <c r="A34" s="479"/>
      <c r="B34" s="499"/>
      <c r="C34" s="499"/>
      <c r="D34" s="499"/>
      <c r="E34" s="481"/>
      <c r="F34" s="481"/>
      <c r="G34" s="481"/>
      <c r="H34" s="479"/>
    </row>
    <row r="35" spans="1:8">
      <c r="A35" s="479"/>
      <c r="B35" s="499"/>
      <c r="C35" s="499"/>
      <c r="D35" s="499"/>
      <c r="E35" s="481"/>
      <c r="F35" s="481"/>
      <c r="G35" s="481"/>
      <c r="H35" s="479"/>
    </row>
    <row r="36" spans="1:8">
      <c r="A36" s="479"/>
      <c r="B36" s="499"/>
      <c r="C36" s="499"/>
      <c r="D36" s="499"/>
      <c r="E36" s="481"/>
      <c r="F36" s="481"/>
      <c r="G36" s="481"/>
      <c r="H36" s="479"/>
    </row>
    <row r="37" spans="1:8">
      <c r="A37" s="479"/>
      <c r="B37" s="499"/>
      <c r="C37" s="499"/>
      <c r="D37" s="499"/>
      <c r="E37" s="499"/>
      <c r="F37" s="499"/>
      <c r="G37" s="499"/>
      <c r="H37" s="479"/>
    </row>
    <row r="38" spans="1:8">
      <c r="A38" s="479"/>
      <c r="B38" s="479"/>
      <c r="C38" s="479"/>
      <c r="D38" s="479"/>
      <c r="E38" s="479"/>
      <c r="F38" s="479"/>
      <c r="G38" s="479"/>
      <c r="H38" s="479"/>
    </row>
    <row r="39" spans="1:8">
      <c r="A39" s="479"/>
      <c r="B39" s="479"/>
      <c r="C39" s="479"/>
      <c r="D39" s="479"/>
      <c r="E39" s="479"/>
      <c r="F39" s="479"/>
      <c r="G39" s="479"/>
      <c r="H39" s="479"/>
    </row>
    <row r="40" spans="1:8">
      <c r="A40" s="479"/>
      <c r="B40" s="479"/>
      <c r="C40" s="479"/>
      <c r="D40" s="479"/>
      <c r="E40" s="479"/>
      <c r="F40" s="479"/>
      <c r="G40" s="479"/>
      <c r="H40" s="479"/>
    </row>
    <row r="41" spans="1:8">
      <c r="A41" s="479"/>
      <c r="B41" s="479"/>
      <c r="C41" s="479"/>
      <c r="D41" s="479"/>
      <c r="E41" s="479"/>
      <c r="F41" s="479"/>
      <c r="G41" s="479"/>
      <c r="H41" s="479"/>
    </row>
    <row r="42" spans="1:8">
      <c r="A42" s="479"/>
      <c r="B42" s="479"/>
      <c r="C42" s="479"/>
      <c r="D42" s="479"/>
      <c r="E42" s="479"/>
      <c r="F42" s="479"/>
      <c r="G42" s="479"/>
      <c r="H42" s="479"/>
    </row>
    <row r="43" spans="1:8">
      <c r="A43" s="479"/>
      <c r="B43" s="479"/>
      <c r="C43" s="479"/>
      <c r="D43" s="479"/>
      <c r="E43" s="479"/>
      <c r="F43" s="479"/>
      <c r="G43" s="479"/>
      <c r="H43" s="479"/>
    </row>
    <row r="44" spans="1:8">
      <c r="A44" s="479"/>
      <c r="B44" s="479"/>
      <c r="C44" s="479"/>
      <c r="D44" s="479"/>
      <c r="E44" s="479"/>
      <c r="F44" s="479"/>
      <c r="G44" s="479"/>
      <c r="H44" s="479"/>
    </row>
    <row r="45" spans="1:8">
      <c r="A45" s="479"/>
      <c r="B45" s="479"/>
      <c r="C45" s="479"/>
      <c r="D45" s="479"/>
      <c r="E45" s="479"/>
      <c r="F45" s="479"/>
      <c r="G45" s="479"/>
      <c r="H45" s="479"/>
    </row>
    <row r="46" spans="1:8">
      <c r="A46" s="479"/>
      <c r="B46" s="479"/>
      <c r="C46" s="479"/>
      <c r="D46" s="479"/>
      <c r="E46" s="479"/>
      <c r="F46" s="479"/>
      <c r="G46" s="479"/>
      <c r="H46" s="479"/>
    </row>
    <row r="47" spans="1:8">
      <c r="A47" s="479"/>
      <c r="B47" s="479"/>
      <c r="C47" s="479"/>
      <c r="D47" s="479"/>
      <c r="E47" s="479"/>
      <c r="F47" s="479"/>
      <c r="G47" s="479"/>
      <c r="H47" s="479"/>
    </row>
    <row r="48" spans="1:8">
      <c r="A48" s="479"/>
      <c r="B48" s="479"/>
      <c r="C48" s="479"/>
      <c r="D48" s="479"/>
      <c r="E48" s="479"/>
      <c r="F48" s="479"/>
      <c r="G48" s="479"/>
      <c r="H48" s="479"/>
    </row>
    <row r="49" spans="1:8" ht="15" customHeight="1">
      <c r="A49" s="479"/>
      <c r="B49" s="499"/>
      <c r="C49" s="499"/>
      <c r="D49" s="499"/>
      <c r="E49" s="481"/>
      <c r="F49" s="481"/>
      <c r="G49" s="481"/>
      <c r="H49" s="479"/>
    </row>
    <row r="50" spans="1:8">
      <c r="A50" s="479"/>
      <c r="B50" s="499"/>
      <c r="C50" s="499"/>
      <c r="D50" s="499"/>
      <c r="E50" s="481"/>
      <c r="F50" s="481"/>
      <c r="G50" s="481"/>
      <c r="H50" s="479"/>
    </row>
    <row r="51" spans="1:8">
      <c r="A51" s="479"/>
      <c r="B51" s="499"/>
      <c r="C51" s="499"/>
      <c r="D51" s="499"/>
      <c r="E51" s="481"/>
      <c r="F51" s="481"/>
      <c r="G51" s="481"/>
      <c r="H51" s="479"/>
    </row>
    <row r="52" spans="1:8">
      <c r="A52" s="479"/>
      <c r="B52" s="499"/>
      <c r="C52" s="499"/>
      <c r="D52" s="499"/>
      <c r="E52" s="499"/>
      <c r="F52" s="499"/>
      <c r="G52" s="499"/>
      <c r="H52" s="479"/>
    </row>
    <row r="53" spans="1:8">
      <c r="A53" s="479"/>
      <c r="B53" s="479"/>
      <c r="C53" s="479"/>
      <c r="D53" s="479"/>
      <c r="E53" s="479"/>
      <c r="F53" s="479"/>
      <c r="G53" s="479"/>
      <c r="H53" s="479"/>
    </row>
    <row r="54" spans="1:8">
      <c r="A54" s="479"/>
      <c r="B54" s="479"/>
      <c r="C54" s="479"/>
      <c r="D54" s="479"/>
      <c r="E54" s="479"/>
      <c r="F54" s="479"/>
      <c r="G54" s="479"/>
      <c r="H54" s="479"/>
    </row>
    <row r="55" spans="1:8">
      <c r="A55" s="479"/>
      <c r="B55" s="479"/>
      <c r="C55" s="479"/>
      <c r="D55" s="479"/>
      <c r="E55" s="479"/>
      <c r="F55" s="479"/>
      <c r="G55" s="479"/>
      <c r="H55" s="479"/>
    </row>
    <row r="56" spans="1:8">
      <c r="A56" s="479"/>
      <c r="B56" s="479"/>
      <c r="C56" s="479"/>
      <c r="D56" s="479"/>
      <c r="E56" s="479"/>
      <c r="F56" s="479"/>
      <c r="G56" s="479"/>
      <c r="H56" s="479"/>
    </row>
    <row r="57" spans="1:8">
      <c r="A57" s="479"/>
      <c r="B57" s="479"/>
      <c r="C57" s="479"/>
      <c r="D57" s="479"/>
      <c r="E57" s="479"/>
      <c r="F57" s="479"/>
      <c r="G57" s="479"/>
      <c r="H57" s="479"/>
    </row>
    <row r="58" spans="1:8">
      <c r="A58" s="479"/>
      <c r="B58" s="479"/>
      <c r="C58" s="479"/>
      <c r="D58" s="479"/>
      <c r="E58" s="479"/>
      <c r="F58" s="479"/>
      <c r="G58" s="479"/>
      <c r="H58" s="479"/>
    </row>
    <row r="59" spans="1:8">
      <c r="A59" s="479"/>
      <c r="B59" s="479"/>
      <c r="C59" s="479"/>
      <c r="D59" s="479"/>
      <c r="E59" s="479"/>
      <c r="F59" s="479"/>
      <c r="G59" s="479"/>
      <c r="H59" s="479"/>
    </row>
    <row r="60" spans="1:8">
      <c r="A60" s="479"/>
      <c r="B60" s="479"/>
      <c r="C60" s="479"/>
      <c r="D60" s="479"/>
      <c r="E60" s="479"/>
      <c r="F60" s="479"/>
      <c r="G60" s="479"/>
      <c r="H60" s="479"/>
    </row>
    <row r="61" spans="1:8">
      <c r="A61" s="479"/>
      <c r="B61" s="479"/>
      <c r="C61" s="479"/>
      <c r="D61" s="479"/>
      <c r="E61" s="479"/>
      <c r="F61" s="479"/>
      <c r="G61" s="479"/>
      <c r="H61" s="479"/>
    </row>
    <row r="62" spans="1:8">
      <c r="A62" s="479"/>
      <c r="B62" s="479"/>
      <c r="C62" s="479"/>
      <c r="D62" s="479"/>
      <c r="E62" s="479"/>
      <c r="F62" s="479"/>
      <c r="G62" s="479"/>
      <c r="H62" s="479"/>
    </row>
    <row r="63" spans="1:8">
      <c r="A63" s="479"/>
      <c r="B63" s="479"/>
      <c r="C63" s="479"/>
      <c r="D63" s="479"/>
      <c r="E63" s="479"/>
      <c r="F63" s="479"/>
      <c r="G63" s="479"/>
      <c r="H63" s="479"/>
    </row>
    <row r="64" spans="1:8">
      <c r="A64" s="479"/>
      <c r="B64" s="479"/>
      <c r="C64" s="479"/>
      <c r="D64" s="479"/>
      <c r="E64" s="479"/>
      <c r="F64" s="479"/>
      <c r="G64" s="479"/>
      <c r="H64" s="479"/>
    </row>
    <row r="65" spans="1:8">
      <c r="A65" s="479"/>
      <c r="B65" s="479"/>
      <c r="C65" s="479"/>
      <c r="D65" s="479"/>
      <c r="E65" s="479"/>
      <c r="F65" s="479"/>
      <c r="G65" s="479"/>
      <c r="H65" s="479"/>
    </row>
    <row r="66" spans="1:8">
      <c r="A66" s="479"/>
      <c r="B66" s="479"/>
      <c r="C66" s="479"/>
      <c r="D66" s="479"/>
      <c r="E66" s="479"/>
      <c r="F66" s="479"/>
      <c r="G66" s="479"/>
      <c r="H66" s="479"/>
    </row>
  </sheetData>
  <phoneticPr fontId="46"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I52"/>
  <sheetViews>
    <sheetView workbookViewId="0">
      <selection activeCell="J45" sqref="J45"/>
    </sheetView>
  </sheetViews>
  <sheetFormatPr baseColWidth="10" defaultColWidth="14.7109375" defaultRowHeight="12.75"/>
  <cols>
    <col min="1" max="1" width="13.7109375" style="479" customWidth="1"/>
    <col min="2" max="4" width="9.28515625" style="479" customWidth="1"/>
    <col min="5" max="5" width="14.7109375" style="479" customWidth="1"/>
    <col min="6" max="6" width="13.7109375" style="479" customWidth="1"/>
    <col min="7" max="7" width="12.42578125" style="479" customWidth="1"/>
    <col min="8" max="8" width="12.7109375" style="479" customWidth="1"/>
    <col min="9" max="16384" width="14.7109375" style="479"/>
  </cols>
  <sheetData>
    <row r="1" spans="1:9" s="509" customFormat="1">
      <c r="A1" s="476" t="s">
        <v>178</v>
      </c>
      <c r="B1" s="477"/>
      <c r="C1" s="477"/>
      <c r="D1" s="477"/>
      <c r="E1" s="477"/>
      <c r="F1" s="477"/>
      <c r="G1" s="477"/>
      <c r="H1" s="477"/>
      <c r="I1" s="508"/>
    </row>
    <row r="2" spans="1:9" s="509" customFormat="1">
      <c r="A2" s="476"/>
      <c r="B2" s="477"/>
      <c r="C2" s="477"/>
      <c r="D2" s="477"/>
      <c r="E2" s="477"/>
      <c r="F2" s="477"/>
      <c r="G2" s="477"/>
      <c r="H2" s="477"/>
      <c r="I2" s="508"/>
    </row>
    <row r="3" spans="1:9" s="509" customFormat="1">
      <c r="A3" s="476" t="s">
        <v>190</v>
      </c>
      <c r="B3" s="477"/>
      <c r="C3" s="477"/>
      <c r="D3" s="477"/>
      <c r="E3" s="477"/>
      <c r="F3" s="477"/>
      <c r="G3" s="477"/>
      <c r="H3" s="477"/>
      <c r="I3" s="508"/>
    </row>
    <row r="4" spans="1:9" s="509" customFormat="1">
      <c r="A4" s="476" t="str">
        <f>+'85'!A4</f>
        <v>2014 -  2023</v>
      </c>
      <c r="B4" s="477"/>
      <c r="C4" s="477"/>
      <c r="D4" s="477"/>
      <c r="E4" s="477"/>
      <c r="F4" s="477"/>
      <c r="G4" s="477"/>
      <c r="H4" s="477"/>
      <c r="I4" s="508"/>
    </row>
    <row r="5" spans="1:9">
      <c r="B5" s="480"/>
      <c r="C5" s="480"/>
      <c r="D5" s="480"/>
      <c r="E5" s="480"/>
      <c r="F5" s="480"/>
      <c r="G5" s="480"/>
      <c r="H5" s="480"/>
    </row>
    <row r="7" spans="1:9" ht="17.25" customHeight="1">
      <c r="B7" s="1437"/>
      <c r="C7" s="1438" t="s">
        <v>180</v>
      </c>
      <c r="D7" s="1438" t="s">
        <v>181</v>
      </c>
      <c r="E7" s="1439" t="s">
        <v>614</v>
      </c>
      <c r="F7" s="1440" t="s">
        <v>182</v>
      </c>
      <c r="G7" s="1441" t="s">
        <v>183</v>
      </c>
      <c r="H7" s="481"/>
      <c r="I7" s="501"/>
    </row>
    <row r="8" spans="1:9" ht="17.25" customHeight="1">
      <c r="B8" s="1447" t="s">
        <v>597</v>
      </c>
      <c r="C8" s="1443" t="s">
        <v>184</v>
      </c>
      <c r="D8" s="1443" t="s">
        <v>184</v>
      </c>
      <c r="E8" s="1444" t="s">
        <v>185</v>
      </c>
      <c r="F8" s="1445" t="s">
        <v>186</v>
      </c>
      <c r="G8" s="1446" t="s">
        <v>187</v>
      </c>
      <c r="H8" s="481"/>
      <c r="I8" s="501"/>
    </row>
    <row r="9" spans="1:9" ht="17.25" customHeight="1">
      <c r="B9" s="486">
        <v>2014</v>
      </c>
      <c r="C9" s="482">
        <v>45</v>
      </c>
      <c r="D9" s="486">
        <v>44</v>
      </c>
      <c r="E9" s="522">
        <v>1480</v>
      </c>
      <c r="F9" s="484">
        <v>49.95308101345011</v>
      </c>
      <c r="G9" s="485">
        <v>5.5182432432432433</v>
      </c>
      <c r="H9" s="481"/>
      <c r="I9" s="501"/>
    </row>
    <row r="10" spans="1:9" ht="17.25" customHeight="1">
      <c r="B10" s="486">
        <v>2015</v>
      </c>
      <c r="C10" s="482">
        <v>45</v>
      </c>
      <c r="D10" s="486">
        <v>44</v>
      </c>
      <c r="E10" s="522">
        <v>1442</v>
      </c>
      <c r="F10" s="484">
        <v>52.73520249221184</v>
      </c>
      <c r="G10" s="485">
        <v>6.0208044382801669</v>
      </c>
      <c r="H10" s="481"/>
      <c r="I10" s="501"/>
    </row>
    <row r="11" spans="1:9" ht="17.25" customHeight="1">
      <c r="B11" s="486">
        <v>2016</v>
      </c>
      <c r="C11" s="482">
        <v>45</v>
      </c>
      <c r="D11" s="486">
        <v>44</v>
      </c>
      <c r="E11" s="488">
        <v>1558</v>
      </c>
      <c r="F11" s="490">
        <v>61.449004975124375</v>
      </c>
      <c r="G11" s="491">
        <v>6.4268292682926829</v>
      </c>
      <c r="H11" s="481"/>
      <c r="I11" s="501"/>
    </row>
    <row r="12" spans="1:9" ht="15" customHeight="1">
      <c r="B12" s="486">
        <v>2017</v>
      </c>
      <c r="C12" s="482">
        <v>45</v>
      </c>
      <c r="D12" s="486">
        <v>44</v>
      </c>
      <c r="E12" s="488">
        <v>1514</v>
      </c>
      <c r="F12" s="490">
        <v>58.069738480697389</v>
      </c>
      <c r="G12" s="491">
        <v>6.1717305151915456</v>
      </c>
      <c r="H12" s="481"/>
      <c r="I12" s="501"/>
    </row>
    <row r="13" spans="1:9" ht="15" customHeight="1">
      <c r="B13" s="486">
        <v>2018</v>
      </c>
      <c r="C13" s="482">
        <v>45</v>
      </c>
      <c r="D13" s="595">
        <v>40.232876712328768</v>
      </c>
      <c r="E13" s="488">
        <v>1416</v>
      </c>
      <c r="F13" s="490">
        <v>50.956758597208044</v>
      </c>
      <c r="G13" s="491">
        <v>5.3248587570621471</v>
      </c>
      <c r="H13" s="481"/>
      <c r="I13" s="501"/>
    </row>
    <row r="14" spans="1:9" ht="15" customHeight="1">
      <c r="B14" s="486">
        <v>2019</v>
      </c>
      <c r="C14" s="482">
        <v>42</v>
      </c>
      <c r="D14" s="595">
        <v>37.016438356164386</v>
      </c>
      <c r="E14" s="488">
        <v>1408</v>
      </c>
      <c r="F14" s="490">
        <v>64.969284286877354</v>
      </c>
      <c r="G14" s="491">
        <v>6.1789772727272725</v>
      </c>
      <c r="H14" s="481"/>
      <c r="I14" s="501"/>
    </row>
    <row r="15" spans="1:9" ht="15" customHeight="1">
      <c r="B15" s="486">
        <v>2020</v>
      </c>
      <c r="C15" s="482">
        <v>42</v>
      </c>
      <c r="D15" s="595">
        <v>39.531506849315072</v>
      </c>
      <c r="E15" s="488">
        <v>1025</v>
      </c>
      <c r="F15" s="490">
        <v>46.212488737958282</v>
      </c>
      <c r="G15" s="491">
        <v>6.5434146341463411</v>
      </c>
      <c r="H15" s="481"/>
      <c r="I15" s="501"/>
    </row>
    <row r="16" spans="1:9" ht="15" customHeight="1">
      <c r="B16" s="486">
        <v>2021</v>
      </c>
      <c r="C16" s="482">
        <v>42</v>
      </c>
      <c r="D16" s="595">
        <v>35.520547945205479</v>
      </c>
      <c r="E16" s="488">
        <v>1029</v>
      </c>
      <c r="F16" s="490">
        <v>59.537215580408798</v>
      </c>
      <c r="G16" s="491">
        <v>7.5655976676384844</v>
      </c>
      <c r="H16" s="481"/>
      <c r="I16" s="501"/>
    </row>
    <row r="17" spans="2:9" ht="15" customHeight="1">
      <c r="B17" s="486">
        <f>+'83'!B17</f>
        <v>2022</v>
      </c>
      <c r="C17" s="482">
        <v>37</v>
      </c>
      <c r="D17" s="595">
        <v>37.202739726027396</v>
      </c>
      <c r="E17" s="488">
        <v>905</v>
      </c>
      <c r="F17" s="490">
        <v>56.668385006259669</v>
      </c>
      <c r="G17" s="491">
        <v>8.1856353591160218</v>
      </c>
      <c r="H17" s="481"/>
      <c r="I17" s="501"/>
    </row>
    <row r="18" spans="2:9" ht="15" customHeight="1">
      <c r="B18" s="492">
        <f>+'83'!B18</f>
        <v>2023</v>
      </c>
      <c r="C18" s="505">
        <v>37</v>
      </c>
      <c r="D18" s="506">
        <f>+'80'!R13/365</f>
        <v>34.109589041095887</v>
      </c>
      <c r="E18" s="493">
        <f>+'80'!O13</f>
        <v>943</v>
      </c>
      <c r="F18" s="495">
        <f>+'80'!V13</f>
        <v>68.120481927710841</v>
      </c>
      <c r="G18" s="496">
        <f>+'80'!W13</f>
        <v>9.2460233297985148</v>
      </c>
      <c r="H18" s="481"/>
      <c r="I18" s="501"/>
    </row>
    <row r="19" spans="2:9">
      <c r="B19" s="499"/>
      <c r="C19" s="499"/>
      <c r="D19" s="499"/>
      <c r="E19" s="481"/>
      <c r="F19" s="481"/>
      <c r="G19" s="481"/>
      <c r="H19" s="481"/>
      <c r="I19" s="501"/>
    </row>
    <row r="20" spans="2:9">
      <c r="B20" s="499"/>
      <c r="C20" s="499"/>
      <c r="D20" s="499"/>
      <c r="E20" s="481"/>
      <c r="F20" s="481"/>
      <c r="G20" s="481"/>
      <c r="H20" s="481"/>
      <c r="I20" s="501"/>
    </row>
    <row r="21" spans="2:9">
      <c r="B21" s="499"/>
      <c r="C21" s="499"/>
      <c r="D21" s="499"/>
      <c r="E21" s="481"/>
      <c r="F21" s="481"/>
      <c r="G21" s="481"/>
      <c r="H21" s="481"/>
      <c r="I21" s="501"/>
    </row>
    <row r="22" spans="2:9">
      <c r="B22" s="499"/>
      <c r="C22" s="499"/>
      <c r="D22" s="499"/>
      <c r="E22" s="499"/>
      <c r="F22" s="499"/>
      <c r="G22" s="499"/>
      <c r="H22" s="499"/>
    </row>
    <row r="34" spans="2:7">
      <c r="B34" s="499"/>
      <c r="C34" s="499"/>
      <c r="D34" s="499"/>
      <c r="E34" s="481"/>
      <c r="F34" s="481"/>
      <c r="G34" s="481"/>
    </row>
    <row r="35" spans="2:7">
      <c r="B35" s="499"/>
      <c r="C35" s="499"/>
      <c r="D35" s="499"/>
      <c r="E35" s="481"/>
      <c r="F35" s="481"/>
      <c r="G35" s="481"/>
    </row>
    <row r="36" spans="2:7">
      <c r="B36" s="499"/>
      <c r="C36" s="499"/>
      <c r="D36" s="499"/>
      <c r="E36" s="481"/>
      <c r="F36" s="481"/>
      <c r="G36" s="481"/>
    </row>
    <row r="37" spans="2:7">
      <c r="B37" s="499"/>
      <c r="C37" s="499"/>
      <c r="D37" s="499"/>
      <c r="E37" s="499"/>
      <c r="F37" s="499"/>
      <c r="G37" s="499"/>
    </row>
    <row r="49" spans="2:7">
      <c r="B49" s="499"/>
      <c r="C49" s="499"/>
      <c r="D49" s="499"/>
      <c r="E49" s="481"/>
      <c r="F49" s="481"/>
      <c r="G49" s="481"/>
    </row>
    <row r="50" spans="2:7">
      <c r="B50" s="499"/>
      <c r="C50" s="499"/>
      <c r="D50" s="499"/>
      <c r="E50" s="481"/>
      <c r="F50" s="481"/>
      <c r="G50" s="481"/>
    </row>
    <row r="51" spans="2:7">
      <c r="B51" s="499"/>
      <c r="C51" s="499"/>
      <c r="D51" s="499"/>
      <c r="E51" s="481"/>
      <c r="F51" s="481"/>
      <c r="G51" s="481"/>
    </row>
    <row r="52" spans="2:7">
      <c r="B52" s="499"/>
      <c r="C52" s="499"/>
      <c r="D52" s="499"/>
      <c r="E52" s="499"/>
      <c r="F52" s="499"/>
      <c r="G52" s="499"/>
    </row>
  </sheetData>
  <phoneticPr fontId="46"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I53"/>
  <sheetViews>
    <sheetView workbookViewId="0">
      <selection activeCell="E18" sqref="E18"/>
    </sheetView>
  </sheetViews>
  <sheetFormatPr baseColWidth="10" defaultColWidth="14.7109375" defaultRowHeight="12.75"/>
  <cols>
    <col min="1" max="1" width="13.7109375" style="479" customWidth="1"/>
    <col min="2" max="4" width="9.28515625" style="479" customWidth="1"/>
    <col min="5" max="5" width="14.7109375" style="479" customWidth="1"/>
    <col min="6" max="6" width="13.7109375" style="479" customWidth="1"/>
    <col min="7" max="7" width="12.42578125" style="479" customWidth="1"/>
    <col min="8" max="8" width="13.7109375" style="479" customWidth="1"/>
    <col min="9" max="9" width="14.7109375" style="479" customWidth="1"/>
    <col min="10" max="16384" width="14.7109375" style="479"/>
  </cols>
  <sheetData>
    <row r="1" spans="1:9" s="509" customFormat="1">
      <c r="A1" s="476" t="s">
        <v>178</v>
      </c>
      <c r="B1" s="477"/>
      <c r="C1" s="477"/>
      <c r="D1" s="477"/>
      <c r="E1" s="477"/>
      <c r="F1" s="477"/>
      <c r="G1" s="477"/>
      <c r="H1" s="477"/>
      <c r="I1" s="508"/>
    </row>
    <row r="2" spans="1:9" s="509" customFormat="1">
      <c r="A2" s="476"/>
      <c r="B2" s="477"/>
      <c r="C2" s="477"/>
      <c r="D2" s="477"/>
      <c r="E2" s="477"/>
      <c r="F2" s="477"/>
      <c r="G2" s="477"/>
      <c r="H2" s="477"/>
      <c r="I2" s="508"/>
    </row>
    <row r="3" spans="1:9" s="509" customFormat="1">
      <c r="A3" s="476" t="s">
        <v>191</v>
      </c>
      <c r="B3" s="477"/>
      <c r="C3" s="477"/>
      <c r="D3" s="477"/>
      <c r="E3" s="477"/>
      <c r="F3" s="477"/>
      <c r="G3" s="477"/>
      <c r="H3" s="477"/>
      <c r="I3" s="508"/>
    </row>
    <row r="4" spans="1:9" s="509" customFormat="1">
      <c r="A4" s="476" t="str">
        <f>+'86'!A4</f>
        <v>2014 -  2023</v>
      </c>
      <c r="B4" s="477"/>
      <c r="C4" s="477"/>
      <c r="D4" s="477"/>
      <c r="E4" s="477"/>
      <c r="F4" s="477"/>
      <c r="G4" s="477"/>
      <c r="H4" s="477"/>
      <c r="I4" s="508"/>
    </row>
    <row r="5" spans="1:9">
      <c r="B5" s="480"/>
      <c r="C5" s="480"/>
      <c r="D5" s="480"/>
      <c r="E5" s="480"/>
      <c r="F5" s="480"/>
      <c r="G5" s="480"/>
      <c r="H5" s="480"/>
    </row>
    <row r="7" spans="1:9" ht="17.25" customHeight="1">
      <c r="B7" s="1437"/>
      <c r="C7" s="1438" t="s">
        <v>180</v>
      </c>
      <c r="D7" s="1438" t="s">
        <v>181</v>
      </c>
      <c r="E7" s="1439" t="s">
        <v>614</v>
      </c>
      <c r="F7" s="1440" t="s">
        <v>182</v>
      </c>
      <c r="G7" s="1441" t="s">
        <v>183</v>
      </c>
      <c r="H7" s="481"/>
      <c r="I7" s="501"/>
    </row>
    <row r="8" spans="1:9" ht="17.25" customHeight="1">
      <c r="B8" s="1447" t="s">
        <v>597</v>
      </c>
      <c r="C8" s="1443" t="s">
        <v>184</v>
      </c>
      <c r="D8" s="1443" t="s">
        <v>184</v>
      </c>
      <c r="E8" s="1444" t="s">
        <v>185</v>
      </c>
      <c r="F8" s="1445" t="s">
        <v>186</v>
      </c>
      <c r="G8" s="1446" t="s">
        <v>187</v>
      </c>
      <c r="H8" s="481"/>
      <c r="I8" s="501"/>
    </row>
    <row r="9" spans="1:9" ht="17.25" customHeight="1">
      <c r="B9" s="486">
        <v>2014</v>
      </c>
      <c r="C9" s="482">
        <v>28</v>
      </c>
      <c r="D9" s="486">
        <v>28</v>
      </c>
      <c r="E9" s="487">
        <v>608</v>
      </c>
      <c r="F9" s="484">
        <v>56.391491022638562</v>
      </c>
      <c r="G9" s="485">
        <v>8.1891447368421044</v>
      </c>
      <c r="H9" s="481"/>
      <c r="I9" s="501"/>
    </row>
    <row r="10" spans="1:9" ht="17.25" customHeight="1">
      <c r="B10" s="486">
        <v>2015</v>
      </c>
      <c r="C10" s="482">
        <v>28</v>
      </c>
      <c r="D10" s="486">
        <v>28</v>
      </c>
      <c r="E10" s="487">
        <v>568</v>
      </c>
      <c r="F10" s="484">
        <v>56.193737769080229</v>
      </c>
      <c r="G10" s="485">
        <v>12.40669014084507</v>
      </c>
      <c r="H10" s="481"/>
      <c r="I10" s="501"/>
    </row>
    <row r="11" spans="1:9" ht="17.25" customHeight="1">
      <c r="B11" s="486">
        <v>2016</v>
      </c>
      <c r="C11" s="482">
        <v>28</v>
      </c>
      <c r="D11" s="486">
        <v>28</v>
      </c>
      <c r="E11" s="504">
        <v>685</v>
      </c>
      <c r="F11" s="490">
        <v>59.338407494145194</v>
      </c>
      <c r="G11" s="491">
        <v>8.25985401459854</v>
      </c>
      <c r="H11" s="481"/>
      <c r="I11" s="501"/>
    </row>
    <row r="12" spans="1:9" ht="15" customHeight="1">
      <c r="B12" s="486">
        <v>2017</v>
      </c>
      <c r="C12" s="482">
        <v>28</v>
      </c>
      <c r="D12" s="486">
        <v>28</v>
      </c>
      <c r="E12" s="504">
        <v>722</v>
      </c>
      <c r="F12" s="490">
        <v>62.09772370486656</v>
      </c>
      <c r="G12" s="491">
        <v>8.54016620498615</v>
      </c>
      <c r="H12" s="481"/>
      <c r="I12" s="501"/>
    </row>
    <row r="13" spans="1:9" ht="15" customHeight="1">
      <c r="B13" s="486">
        <v>2018</v>
      </c>
      <c r="C13" s="482">
        <v>28</v>
      </c>
      <c r="D13" s="486">
        <v>28</v>
      </c>
      <c r="E13" s="504">
        <v>645</v>
      </c>
      <c r="F13" s="490">
        <v>59.050880626223091</v>
      </c>
      <c r="G13" s="491">
        <v>8.590697674418605</v>
      </c>
      <c r="H13" s="481"/>
      <c r="I13" s="501"/>
    </row>
    <row r="14" spans="1:9" ht="15" customHeight="1">
      <c r="B14" s="486">
        <v>2019</v>
      </c>
      <c r="C14" s="482">
        <v>28</v>
      </c>
      <c r="D14" s="595">
        <v>28</v>
      </c>
      <c r="E14" s="504">
        <v>660</v>
      </c>
      <c r="F14" s="490">
        <v>59.134615384615387</v>
      </c>
      <c r="G14" s="491">
        <v>8.4333333333333336</v>
      </c>
      <c r="H14" s="481"/>
      <c r="I14" s="501"/>
    </row>
    <row r="15" spans="1:9" ht="15" customHeight="1">
      <c r="B15" s="486">
        <v>2020</v>
      </c>
      <c r="C15" s="482">
        <v>28</v>
      </c>
      <c r="D15" s="595">
        <v>28</v>
      </c>
      <c r="E15" s="504">
        <v>578</v>
      </c>
      <c r="F15" s="490">
        <v>64.080234833659489</v>
      </c>
      <c r="G15" s="491">
        <v>8.2145328719723185</v>
      </c>
      <c r="H15" s="481"/>
      <c r="I15" s="501"/>
    </row>
    <row r="16" spans="1:9" ht="15" customHeight="1">
      <c r="B16" s="486">
        <v>2021</v>
      </c>
      <c r="C16" s="482">
        <v>28</v>
      </c>
      <c r="D16" s="595">
        <v>28.032876712328768</v>
      </c>
      <c r="E16" s="504">
        <v>391</v>
      </c>
      <c r="F16" s="490">
        <v>75.136825645035188</v>
      </c>
      <c r="G16" s="491">
        <v>16.946291560102303</v>
      </c>
      <c r="H16" s="481"/>
      <c r="I16" s="501"/>
    </row>
    <row r="17" spans="2:9" ht="15" customHeight="1">
      <c r="B17" s="486">
        <v>2022</v>
      </c>
      <c r="C17" s="482">
        <v>28</v>
      </c>
      <c r="D17" s="595">
        <v>28.230136986301371</v>
      </c>
      <c r="E17" s="504">
        <v>464</v>
      </c>
      <c r="F17" s="490">
        <v>70.001940993788821</v>
      </c>
      <c r="G17" s="491">
        <v>13.299568965517242</v>
      </c>
      <c r="H17" s="481"/>
      <c r="I17" s="501"/>
    </row>
    <row r="18" spans="2:9" ht="15" customHeight="1">
      <c r="B18" s="492">
        <v>2023</v>
      </c>
      <c r="C18" s="505">
        <v>28</v>
      </c>
      <c r="D18" s="506">
        <f>+'81'!R12/365</f>
        <v>28</v>
      </c>
      <c r="E18" s="507">
        <f>+'81'!O12</f>
        <v>525</v>
      </c>
      <c r="F18" s="495">
        <f>+'81'!V12</f>
        <v>80.185909980430523</v>
      </c>
      <c r="G18" s="496">
        <f>+'81'!W12</f>
        <v>13.097142857142858</v>
      </c>
      <c r="H18" s="481"/>
      <c r="I18" s="501"/>
    </row>
    <row r="19" spans="2:9">
      <c r="B19" s="499"/>
      <c r="C19" s="497"/>
      <c r="D19" s="497"/>
      <c r="E19" s="483"/>
      <c r="F19" s="483"/>
      <c r="G19" s="498"/>
      <c r="H19" s="481"/>
      <c r="I19" s="501"/>
    </row>
    <row r="20" spans="2:9">
      <c r="B20" s="499" t="s">
        <v>827</v>
      </c>
      <c r="C20" s="499"/>
      <c r="D20" s="499"/>
      <c r="E20" s="481"/>
      <c r="F20" s="481"/>
      <c r="G20" s="481"/>
      <c r="H20" s="481"/>
      <c r="I20" s="501"/>
    </row>
    <row r="21" spans="2:9">
      <c r="B21" s="499"/>
      <c r="C21" s="499"/>
      <c r="D21" s="499"/>
      <c r="E21" s="481"/>
      <c r="F21" s="481"/>
      <c r="G21" s="481"/>
      <c r="H21" s="481"/>
      <c r="I21" s="501"/>
    </row>
    <row r="22" spans="2:9">
      <c r="B22" s="499"/>
      <c r="C22" s="499"/>
      <c r="D22" s="499"/>
      <c r="E22" s="481"/>
      <c r="F22" s="481"/>
      <c r="G22" s="481"/>
      <c r="H22" s="499"/>
    </row>
    <row r="23" spans="2:9">
      <c r="B23" s="499"/>
      <c r="C23" s="499"/>
      <c r="D23" s="499"/>
      <c r="E23" s="499"/>
      <c r="F23" s="499"/>
      <c r="G23" s="499"/>
    </row>
    <row r="35" spans="2:7">
      <c r="B35" s="499"/>
      <c r="C35" s="499"/>
      <c r="D35" s="499"/>
      <c r="E35" s="481"/>
      <c r="F35" s="481"/>
      <c r="G35" s="481"/>
    </row>
    <row r="36" spans="2:7">
      <c r="B36" s="499"/>
      <c r="C36" s="499"/>
      <c r="D36" s="499"/>
      <c r="E36" s="481"/>
      <c r="F36" s="481"/>
      <c r="G36" s="481"/>
    </row>
    <row r="37" spans="2:7">
      <c r="B37" s="499"/>
      <c r="C37" s="499"/>
      <c r="D37" s="499"/>
      <c r="E37" s="481"/>
      <c r="F37" s="481"/>
      <c r="G37" s="481"/>
    </row>
    <row r="38" spans="2:7">
      <c r="B38" s="499"/>
      <c r="C38" s="499"/>
      <c r="D38" s="499"/>
      <c r="E38" s="499"/>
      <c r="F38" s="499"/>
      <c r="G38" s="499"/>
    </row>
    <row r="50" spans="2:7">
      <c r="B50" s="499"/>
      <c r="C50" s="499"/>
      <c r="D50" s="499"/>
      <c r="E50" s="481"/>
      <c r="F50" s="481"/>
      <c r="G50" s="481"/>
    </row>
    <row r="51" spans="2:7">
      <c r="B51" s="499"/>
      <c r="C51" s="499"/>
      <c r="D51" s="499"/>
      <c r="E51" s="481"/>
      <c r="F51" s="481"/>
      <c r="G51" s="481"/>
    </row>
    <row r="52" spans="2:7">
      <c r="B52" s="499"/>
      <c r="C52" s="499"/>
      <c r="D52" s="499"/>
      <c r="E52" s="481"/>
      <c r="F52" s="481"/>
      <c r="G52" s="481"/>
    </row>
    <row r="53" spans="2:7">
      <c r="B53" s="499"/>
      <c r="C53" s="499"/>
      <c r="D53" s="499"/>
      <c r="E53" s="499"/>
      <c r="F53" s="499"/>
      <c r="G53" s="499"/>
    </row>
  </sheetData>
  <phoneticPr fontId="46"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53"/>
  <sheetViews>
    <sheetView workbookViewId="0">
      <selection activeCell="L52" sqref="L52"/>
    </sheetView>
  </sheetViews>
  <sheetFormatPr baseColWidth="10" defaultColWidth="14.7109375" defaultRowHeight="12.75"/>
  <cols>
    <col min="1" max="1" width="11.28515625" style="479" customWidth="1"/>
    <col min="2" max="4" width="9.28515625" style="479" customWidth="1"/>
    <col min="5" max="5" width="15" style="479" customWidth="1"/>
    <col min="6" max="7" width="13.7109375" style="479" customWidth="1"/>
    <col min="8" max="16384" width="14.7109375" style="479"/>
  </cols>
  <sheetData>
    <row r="1" spans="1:9" s="509" customFormat="1">
      <c r="A1" s="476" t="s">
        <v>178</v>
      </c>
      <c r="B1" s="477"/>
      <c r="C1" s="477"/>
      <c r="D1" s="477"/>
      <c r="E1" s="477"/>
      <c r="F1" s="477"/>
      <c r="G1" s="477"/>
      <c r="H1" s="477"/>
      <c r="I1" s="508"/>
    </row>
    <row r="2" spans="1:9" s="509" customFormat="1">
      <c r="A2" s="476"/>
      <c r="B2" s="477"/>
      <c r="C2" s="477"/>
      <c r="D2" s="477"/>
      <c r="E2" s="477"/>
      <c r="F2" s="477"/>
      <c r="G2" s="477"/>
      <c r="H2" s="477"/>
      <c r="I2" s="508"/>
    </row>
    <row r="3" spans="1:9" s="509" customFormat="1">
      <c r="A3" s="476" t="s">
        <v>192</v>
      </c>
      <c r="B3" s="477"/>
      <c r="C3" s="477"/>
      <c r="D3" s="477"/>
      <c r="E3" s="477"/>
      <c r="F3" s="477"/>
      <c r="G3" s="477"/>
      <c r="H3" s="477"/>
      <c r="I3" s="508"/>
    </row>
    <row r="4" spans="1:9" s="509" customFormat="1">
      <c r="A4" s="476" t="str">
        <f>+'87'!A4</f>
        <v>2014 -  2023</v>
      </c>
      <c r="B4" s="477"/>
      <c r="C4" s="477"/>
      <c r="D4" s="477"/>
      <c r="E4" s="477"/>
      <c r="F4" s="477"/>
      <c r="G4" s="477"/>
      <c r="H4" s="477"/>
      <c r="I4" s="508"/>
    </row>
    <row r="5" spans="1:9">
      <c r="B5" s="480"/>
      <c r="C5" s="480"/>
      <c r="D5" s="480"/>
      <c r="E5" s="480"/>
      <c r="F5" s="480"/>
      <c r="G5" s="480"/>
      <c r="H5" s="480"/>
    </row>
    <row r="7" spans="1:9" ht="17.25" customHeight="1">
      <c r="B7" s="1437"/>
      <c r="C7" s="1438" t="s">
        <v>180</v>
      </c>
      <c r="D7" s="1438" t="s">
        <v>181</v>
      </c>
      <c r="E7" s="1439" t="s">
        <v>614</v>
      </c>
      <c r="F7" s="1440" t="s">
        <v>182</v>
      </c>
      <c r="G7" s="1441" t="s">
        <v>183</v>
      </c>
      <c r="H7" s="481"/>
      <c r="I7" s="501"/>
    </row>
    <row r="8" spans="1:9" ht="17.25" customHeight="1">
      <c r="B8" s="1447" t="s">
        <v>597</v>
      </c>
      <c r="C8" s="1443" t="s">
        <v>184</v>
      </c>
      <c r="D8" s="1443" t="s">
        <v>184</v>
      </c>
      <c r="E8" s="1444" t="s">
        <v>185</v>
      </c>
      <c r="F8" s="1445" t="s">
        <v>186</v>
      </c>
      <c r="G8" s="1446" t="s">
        <v>187</v>
      </c>
      <c r="H8" s="481"/>
      <c r="I8" s="501"/>
    </row>
    <row r="9" spans="1:9" ht="17.25" customHeight="1">
      <c r="B9" s="486">
        <v>2014</v>
      </c>
      <c r="C9" s="482">
        <v>354</v>
      </c>
      <c r="D9" s="486">
        <v>321</v>
      </c>
      <c r="E9" s="487">
        <v>919</v>
      </c>
      <c r="F9" s="484">
        <v>97.723320831912716</v>
      </c>
      <c r="G9" s="485">
        <v>127.86289445048966</v>
      </c>
      <c r="H9" s="481"/>
      <c r="I9" s="501"/>
    </row>
    <row r="10" spans="1:9" ht="17.25" customHeight="1">
      <c r="B10" s="486">
        <v>2015</v>
      </c>
      <c r="C10" s="482">
        <v>354</v>
      </c>
      <c r="D10" s="486">
        <v>321</v>
      </c>
      <c r="E10" s="487">
        <v>873</v>
      </c>
      <c r="F10" s="484">
        <v>94.702699930771004</v>
      </c>
      <c r="G10" s="485">
        <v>124.78006872852234</v>
      </c>
      <c r="H10" s="481"/>
      <c r="I10" s="501"/>
    </row>
    <row r="11" spans="1:9" ht="17.25" customHeight="1">
      <c r="B11" s="486">
        <v>2016</v>
      </c>
      <c r="C11" s="482">
        <v>354</v>
      </c>
      <c r="D11" s="486">
        <v>315</v>
      </c>
      <c r="E11" s="502">
        <v>816</v>
      </c>
      <c r="F11" s="484">
        <v>91.686256072715878</v>
      </c>
      <c r="G11" s="485">
        <v>239.3517156862745</v>
      </c>
      <c r="H11" s="481"/>
      <c r="I11" s="501"/>
    </row>
    <row r="12" spans="1:9" ht="17.25" customHeight="1">
      <c r="B12" s="486">
        <v>2017</v>
      </c>
      <c r="C12" s="482">
        <v>354</v>
      </c>
      <c r="D12" s="486">
        <v>305</v>
      </c>
      <c r="E12" s="502">
        <v>798</v>
      </c>
      <c r="F12" s="484">
        <v>92.121043215592493</v>
      </c>
      <c r="G12" s="485">
        <v>183.6015037593985</v>
      </c>
      <c r="H12" s="481"/>
      <c r="I12" s="501"/>
    </row>
    <row r="13" spans="1:9" ht="15" customHeight="1">
      <c r="B13" s="486">
        <v>2018</v>
      </c>
      <c r="C13" s="482">
        <v>354</v>
      </c>
      <c r="D13" s="595">
        <v>292</v>
      </c>
      <c r="E13" s="502">
        <v>803</v>
      </c>
      <c r="F13" s="484">
        <v>95.530500741630846</v>
      </c>
      <c r="G13" s="485">
        <v>136.93275217932751</v>
      </c>
      <c r="H13" s="481"/>
      <c r="I13" s="501"/>
    </row>
    <row r="14" spans="1:9" ht="15" customHeight="1">
      <c r="B14" s="486">
        <v>2019</v>
      </c>
      <c r="C14" s="482">
        <v>354</v>
      </c>
      <c r="D14" s="595">
        <v>282</v>
      </c>
      <c r="E14" s="502">
        <v>672</v>
      </c>
      <c r="F14" s="484">
        <v>96.811613932051117</v>
      </c>
      <c r="G14" s="485">
        <v>131.2202380952381</v>
      </c>
      <c r="H14" s="481"/>
      <c r="I14" s="501"/>
    </row>
    <row r="15" spans="1:9" ht="15" customHeight="1">
      <c r="B15" s="486">
        <v>2020</v>
      </c>
      <c r="C15" s="482">
        <v>354</v>
      </c>
      <c r="D15" s="595">
        <v>273</v>
      </c>
      <c r="E15" s="502">
        <v>460</v>
      </c>
      <c r="F15" s="484">
        <v>93.145845252075119</v>
      </c>
      <c r="G15" s="485">
        <v>143.63043478260869</v>
      </c>
      <c r="H15" s="481"/>
      <c r="I15" s="501"/>
    </row>
    <row r="16" spans="1:9" ht="15" customHeight="1">
      <c r="B16" s="486">
        <v>2021</v>
      </c>
      <c r="C16" s="482">
        <v>354</v>
      </c>
      <c r="D16" s="595">
        <v>258</v>
      </c>
      <c r="E16" s="502">
        <v>384</v>
      </c>
      <c r="F16" s="484">
        <v>93.078589174611935</v>
      </c>
      <c r="G16" s="485">
        <v>178.9765625</v>
      </c>
      <c r="H16" s="481"/>
      <c r="I16" s="501"/>
    </row>
    <row r="17" spans="2:9" ht="15" customHeight="1">
      <c r="B17" s="486">
        <v>2022</v>
      </c>
      <c r="C17" s="482">
        <v>354</v>
      </c>
      <c r="D17" s="595">
        <v>261.95890410958901</v>
      </c>
      <c r="E17" s="502">
        <v>401</v>
      </c>
      <c r="F17" s="484">
        <v>93.689274695392982</v>
      </c>
      <c r="G17" s="485">
        <v>203.99002493765585</v>
      </c>
      <c r="H17" s="481"/>
      <c r="I17" s="501"/>
    </row>
    <row r="18" spans="2:9" ht="15" customHeight="1">
      <c r="B18" s="492">
        <v>2023</v>
      </c>
      <c r="C18" s="505">
        <v>354</v>
      </c>
      <c r="D18" s="506">
        <f>+'82'!R12/365</f>
        <v>259.69315068493148</v>
      </c>
      <c r="E18" s="507">
        <f>+'82'!O12</f>
        <v>575</v>
      </c>
      <c r="F18" s="495">
        <f>+'82'!V12</f>
        <v>95.087985820989999</v>
      </c>
      <c r="G18" s="496">
        <f>+'82'!W12</f>
        <v>201.61565217391305</v>
      </c>
      <c r="H18" s="481"/>
      <c r="I18" s="501"/>
    </row>
    <row r="19" spans="2:9" ht="15" customHeight="1">
      <c r="B19" s="497"/>
      <c r="C19" s="497"/>
      <c r="D19" s="497"/>
      <c r="E19" s="483"/>
      <c r="F19" s="523"/>
      <c r="G19" s="498"/>
      <c r="H19" s="481"/>
      <c r="I19" s="501"/>
    </row>
    <row r="20" spans="2:9" ht="15" customHeight="1">
      <c r="B20" s="497"/>
      <c r="C20" s="497"/>
      <c r="D20" s="497"/>
      <c r="E20" s="483"/>
      <c r="F20" s="483"/>
      <c r="G20" s="498"/>
      <c r="H20" s="481"/>
      <c r="I20" s="501"/>
    </row>
    <row r="21" spans="2:9">
      <c r="B21" s="499"/>
      <c r="C21" s="499"/>
      <c r="D21" s="499"/>
      <c r="E21" s="481"/>
      <c r="F21" s="481"/>
      <c r="G21" s="481"/>
      <c r="H21" s="481"/>
      <c r="I21" s="501"/>
    </row>
    <row r="22" spans="2:9">
      <c r="B22" s="499"/>
      <c r="C22" s="499"/>
      <c r="D22" s="499"/>
      <c r="E22" s="481"/>
      <c r="F22" s="481"/>
      <c r="G22" s="481"/>
      <c r="H22" s="481"/>
      <c r="I22" s="501"/>
    </row>
    <row r="23" spans="2:9">
      <c r="B23" s="499"/>
      <c r="C23" s="499"/>
      <c r="D23" s="499"/>
      <c r="E23" s="499"/>
      <c r="F23" s="499"/>
      <c r="G23" s="499"/>
      <c r="H23" s="499"/>
      <c r="I23" s="501"/>
    </row>
    <row r="35" spans="2:7">
      <c r="B35" s="499"/>
      <c r="C35" s="499"/>
      <c r="D35" s="499"/>
      <c r="E35" s="481"/>
      <c r="F35" s="481"/>
      <c r="G35" s="481"/>
    </row>
    <row r="36" spans="2:7">
      <c r="B36" s="499"/>
      <c r="C36" s="499"/>
      <c r="D36" s="499"/>
      <c r="E36" s="481"/>
      <c r="F36" s="481"/>
      <c r="G36" s="481"/>
    </row>
    <row r="37" spans="2:7">
      <c r="B37" s="499"/>
      <c r="C37" s="499"/>
      <c r="D37" s="499"/>
      <c r="E37" s="481"/>
      <c r="F37" s="481"/>
      <c r="G37" s="481"/>
    </row>
    <row r="38" spans="2:7">
      <c r="B38" s="499"/>
      <c r="C38" s="499"/>
      <c r="D38" s="499"/>
      <c r="E38" s="499"/>
      <c r="F38" s="499"/>
      <c r="G38" s="499"/>
    </row>
    <row r="50" spans="2:7">
      <c r="B50" s="499"/>
      <c r="C50" s="499"/>
      <c r="D50" s="499"/>
      <c r="E50" s="481"/>
      <c r="F50" s="481"/>
      <c r="G50" s="481"/>
    </row>
    <row r="51" spans="2:7">
      <c r="B51" s="499"/>
      <c r="C51" s="499"/>
      <c r="D51" s="499"/>
      <c r="E51" s="481"/>
      <c r="F51" s="481"/>
      <c r="G51" s="481"/>
    </row>
    <row r="52" spans="2:7">
      <c r="B52" s="499"/>
      <c r="C52" s="499"/>
      <c r="D52" s="499"/>
      <c r="E52" s="481"/>
      <c r="F52" s="481"/>
      <c r="G52" s="481"/>
    </row>
    <row r="53" spans="2:7">
      <c r="B53" s="499"/>
      <c r="C53" s="499"/>
      <c r="D53" s="499"/>
      <c r="E53" s="499"/>
      <c r="F53" s="499"/>
      <c r="G53" s="499"/>
    </row>
  </sheetData>
  <phoneticPr fontId="46"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AE64"/>
  <sheetViews>
    <sheetView zoomScale="75" workbookViewId="0">
      <selection activeCell="J13" sqref="J13"/>
    </sheetView>
  </sheetViews>
  <sheetFormatPr baseColWidth="10" defaultColWidth="11.42578125" defaultRowHeight="12.75"/>
  <cols>
    <col min="1" max="1" width="9.42578125" style="527" customWidth="1"/>
    <col min="2" max="2" width="29.28515625" style="527" customWidth="1"/>
    <col min="3" max="4" width="10.28515625" style="527" customWidth="1"/>
    <col min="5" max="8" width="9.7109375" style="527" customWidth="1"/>
    <col min="9" max="10" width="9.28515625" style="527" customWidth="1"/>
    <col min="11" max="12" width="10.28515625" style="527" customWidth="1"/>
    <col min="13" max="14" width="9.5703125" style="527" customWidth="1"/>
    <col min="15" max="18" width="9.28515625" style="527" customWidth="1"/>
    <col min="19" max="22" width="9.7109375" style="527" customWidth="1"/>
    <col min="23" max="24" width="10" style="527" customWidth="1"/>
    <col min="25" max="26" width="9" style="527" customWidth="1"/>
    <col min="27" max="30" width="8.5703125" style="527" customWidth="1"/>
    <col min="31" max="31" width="9.28515625" style="529" customWidth="1"/>
    <col min="32" max="16384" width="11.42578125" style="527"/>
  </cols>
  <sheetData>
    <row r="1" spans="1:31">
      <c r="A1" s="524" t="s">
        <v>193</v>
      </c>
      <c r="B1" s="524"/>
      <c r="C1" s="525"/>
      <c r="D1" s="525"/>
      <c r="E1" s="525"/>
      <c r="F1" s="525"/>
      <c r="G1" s="525"/>
      <c r="H1" s="525"/>
      <c r="I1" s="525"/>
      <c r="J1" s="525"/>
      <c r="K1" s="525"/>
      <c r="L1" s="525"/>
      <c r="M1" s="525"/>
      <c r="N1" s="525"/>
      <c r="O1" s="525"/>
      <c r="P1" s="525"/>
      <c r="Q1" s="525"/>
      <c r="R1" s="525"/>
      <c r="S1" s="525"/>
      <c r="T1" s="525"/>
      <c r="U1" s="525"/>
      <c r="V1" s="525"/>
      <c r="W1" s="525"/>
      <c r="X1" s="525"/>
      <c r="Y1" s="525"/>
      <c r="Z1" s="525"/>
      <c r="AA1" s="525"/>
      <c r="AB1" s="525"/>
      <c r="AC1" s="525"/>
      <c r="AD1" s="525"/>
      <c r="AE1" s="526"/>
    </row>
    <row r="2" spans="1:31">
      <c r="A2" s="524"/>
      <c r="B2" s="524"/>
      <c r="C2" s="525"/>
      <c r="D2" s="525"/>
      <c r="E2" s="525"/>
      <c r="F2" s="525"/>
      <c r="G2" s="525"/>
      <c r="H2" s="525"/>
      <c r="I2" s="525"/>
      <c r="J2" s="525"/>
      <c r="K2" s="525"/>
      <c r="L2" s="525"/>
      <c r="M2" s="525"/>
      <c r="N2" s="525"/>
      <c r="O2" s="525"/>
      <c r="P2" s="525"/>
      <c r="Q2" s="525"/>
      <c r="R2" s="525"/>
      <c r="S2" s="525"/>
      <c r="T2" s="525"/>
      <c r="U2" s="525"/>
      <c r="V2" s="525"/>
      <c r="W2" s="525"/>
      <c r="X2" s="525"/>
      <c r="Y2" s="525"/>
      <c r="Z2" s="525"/>
      <c r="AA2" s="525"/>
      <c r="AB2" s="525"/>
      <c r="AC2" s="525"/>
      <c r="AD2" s="525"/>
      <c r="AE2" s="526"/>
    </row>
    <row r="3" spans="1:31">
      <c r="A3" s="524" t="s">
        <v>1541</v>
      </c>
      <c r="B3" s="524"/>
      <c r="C3" s="525"/>
      <c r="D3" s="525"/>
      <c r="E3" s="525"/>
      <c r="F3" s="525"/>
      <c r="G3" s="525"/>
      <c r="H3" s="525"/>
      <c r="I3" s="525"/>
      <c r="J3" s="525"/>
      <c r="K3" s="525"/>
      <c r="L3" s="525"/>
      <c r="M3" s="525"/>
      <c r="N3" s="525"/>
      <c r="O3" s="525"/>
      <c r="P3" s="525"/>
      <c r="Q3" s="525"/>
      <c r="R3" s="525"/>
      <c r="S3" s="525"/>
      <c r="T3" s="525"/>
      <c r="U3" s="525"/>
      <c r="V3" s="525"/>
      <c r="W3" s="525"/>
      <c r="X3" s="525"/>
      <c r="Y3" s="525"/>
      <c r="Z3" s="525"/>
      <c r="AA3" s="525"/>
      <c r="AB3" s="525"/>
      <c r="AC3" s="525"/>
      <c r="AD3" s="525"/>
      <c r="AE3" s="526"/>
    </row>
    <row r="4" spans="1:31">
      <c r="A4" s="524" t="s">
        <v>626</v>
      </c>
      <c r="B4" s="524"/>
      <c r="C4" s="525"/>
      <c r="D4" s="525"/>
      <c r="E4" s="525"/>
      <c r="F4" s="525"/>
      <c r="G4" s="525"/>
      <c r="H4" s="525"/>
      <c r="I4" s="525"/>
      <c r="J4" s="525"/>
      <c r="K4" s="525"/>
      <c r="L4" s="525"/>
      <c r="M4" s="525"/>
      <c r="N4" s="525"/>
      <c r="O4" s="525"/>
      <c r="P4" s="525"/>
      <c r="Q4" s="525"/>
      <c r="R4" s="525"/>
      <c r="S4" s="525"/>
      <c r="T4" s="525"/>
      <c r="U4" s="525"/>
      <c r="V4" s="525"/>
      <c r="W4" s="525"/>
      <c r="X4" s="525"/>
      <c r="Y4" s="525"/>
      <c r="Z4" s="525"/>
      <c r="AA4" s="525"/>
      <c r="AB4" s="525"/>
      <c r="AC4" s="525"/>
      <c r="AD4" s="525"/>
      <c r="AE4" s="526"/>
    </row>
    <row r="5" spans="1:31">
      <c r="A5" s="528"/>
    </row>
    <row r="6" spans="1:31">
      <c r="A6" s="528"/>
    </row>
    <row r="7" spans="1:31" ht="18.75" customHeight="1">
      <c r="A7" s="1454" t="s">
        <v>627</v>
      </c>
      <c r="B7" s="1455"/>
      <c r="C7" s="1473"/>
      <c r="D7" s="1473"/>
      <c r="E7" s="1473"/>
      <c r="F7" s="1465" t="s">
        <v>628</v>
      </c>
      <c r="G7" s="1465"/>
      <c r="H7" s="1465"/>
      <c r="I7" s="1465"/>
      <c r="J7" s="1465"/>
      <c r="K7" s="1465"/>
      <c r="L7" s="1465"/>
      <c r="M7" s="1465"/>
      <c r="N7" s="1465"/>
      <c r="O7" s="1465"/>
      <c r="P7" s="1465"/>
      <c r="Q7" s="1465"/>
      <c r="R7" s="1465"/>
      <c r="S7" s="1465"/>
      <c r="T7" s="1465"/>
      <c r="U7" s="1465"/>
      <c r="V7" s="1465"/>
      <c r="W7" s="1465"/>
      <c r="X7" s="1465"/>
      <c r="Y7" s="1465"/>
      <c r="Z7" s="1465"/>
      <c r="AA7" s="1465"/>
      <c r="AB7" s="1465"/>
      <c r="AC7" s="1465"/>
      <c r="AD7" s="1465"/>
      <c r="AE7" s="1474"/>
    </row>
    <row r="8" spans="1:31" ht="23.25" customHeight="1">
      <c r="A8" s="1459" t="s">
        <v>629</v>
      </c>
      <c r="B8" s="1460" t="s">
        <v>630</v>
      </c>
      <c r="C8" s="1636" t="s">
        <v>631</v>
      </c>
      <c r="D8" s="1637"/>
      <c r="E8" s="1638" t="s">
        <v>587</v>
      </c>
      <c r="F8" s="1632"/>
      <c r="G8" s="1475" t="s">
        <v>632</v>
      </c>
      <c r="H8" s="1475"/>
      <c r="I8" s="1475" t="s">
        <v>633</v>
      </c>
      <c r="J8" s="1475"/>
      <c r="K8" s="1475" t="s">
        <v>387</v>
      </c>
      <c r="L8" s="1475"/>
      <c r="M8" s="1639" t="s">
        <v>634</v>
      </c>
      <c r="N8" s="1640"/>
      <c r="O8" s="1475" t="s">
        <v>635</v>
      </c>
      <c r="P8" s="1475"/>
      <c r="Q8" s="1475" t="s">
        <v>351</v>
      </c>
      <c r="R8" s="1475"/>
      <c r="S8" s="1475" t="s">
        <v>369</v>
      </c>
      <c r="T8" s="1475"/>
      <c r="U8" s="1475" t="s">
        <v>374</v>
      </c>
      <c r="V8" s="1475"/>
      <c r="W8" s="1475" t="s">
        <v>636</v>
      </c>
      <c r="X8" s="1475"/>
      <c r="Y8" s="1475" t="s">
        <v>376</v>
      </c>
      <c r="Z8" s="1475"/>
      <c r="AA8" s="1475" t="s">
        <v>637</v>
      </c>
      <c r="AB8" s="1470"/>
      <c r="AC8" s="1641" t="s">
        <v>474</v>
      </c>
      <c r="AD8" s="1642"/>
      <c r="AE8" s="1638"/>
    </row>
    <row r="9" spans="1:31" ht="13.5" thickBot="1">
      <c r="A9" s="1461"/>
      <c r="B9" s="1462"/>
      <c r="C9" s="1456" t="s">
        <v>1301</v>
      </c>
      <c r="D9" s="1474" t="s">
        <v>1302</v>
      </c>
      <c r="E9" s="1082" t="s">
        <v>1301</v>
      </c>
      <c r="F9" s="1084" t="s">
        <v>1302</v>
      </c>
      <c r="G9" s="1083" t="s">
        <v>1301</v>
      </c>
      <c r="H9" s="1084" t="s">
        <v>1302</v>
      </c>
      <c r="I9" s="1082" t="s">
        <v>1301</v>
      </c>
      <c r="J9" s="1084" t="s">
        <v>1302</v>
      </c>
      <c r="K9" s="1082" t="s">
        <v>1301</v>
      </c>
      <c r="L9" s="1084" t="s">
        <v>1302</v>
      </c>
      <c r="M9" s="1456" t="s">
        <v>1301</v>
      </c>
      <c r="N9" s="1474" t="s">
        <v>1302</v>
      </c>
      <c r="O9" s="1083" t="s">
        <v>1301</v>
      </c>
      <c r="P9" s="1084" t="s">
        <v>1302</v>
      </c>
      <c r="Q9" s="1082" t="s">
        <v>1301</v>
      </c>
      <c r="R9" s="1082" t="s">
        <v>1302</v>
      </c>
      <c r="S9" s="1083" t="s">
        <v>1301</v>
      </c>
      <c r="T9" s="1084" t="s">
        <v>1302</v>
      </c>
      <c r="U9" s="1082" t="s">
        <v>1301</v>
      </c>
      <c r="V9" s="1084" t="s">
        <v>1302</v>
      </c>
      <c r="W9" s="1082" t="s">
        <v>1301</v>
      </c>
      <c r="X9" s="1082" t="s">
        <v>1302</v>
      </c>
      <c r="Y9" s="1083" t="s">
        <v>1301</v>
      </c>
      <c r="Z9" s="1084" t="s">
        <v>1302</v>
      </c>
      <c r="AA9" s="1082" t="s">
        <v>1301</v>
      </c>
      <c r="AB9" s="1084" t="s">
        <v>1302</v>
      </c>
      <c r="AC9" s="1456" t="s">
        <v>1301</v>
      </c>
      <c r="AD9" s="1474" t="s">
        <v>1302</v>
      </c>
      <c r="AE9" s="1476" t="s">
        <v>448</v>
      </c>
    </row>
    <row r="10" spans="1:31" ht="18" customHeight="1">
      <c r="A10" s="535" t="s">
        <v>651</v>
      </c>
      <c r="B10" s="536" t="s">
        <v>652</v>
      </c>
      <c r="C10" s="804">
        <f t="shared" ref="C10:D13" si="0">+E10+G10+I10+K10</f>
        <v>93</v>
      </c>
      <c r="D10" s="805">
        <f t="shared" si="0"/>
        <v>84</v>
      </c>
      <c r="E10" s="537">
        <f>+'91'!E10+'92'!E10+'93'!E10+'94'!E10+'95'!E10</f>
        <v>66</v>
      </c>
      <c r="F10" s="537">
        <f>+'91'!F10+'92'!F10+'93'!F10+'94'!F10+'95'!F10</f>
        <v>52</v>
      </c>
      <c r="G10" s="814">
        <f>+'91'!G10+'92'!G10+'93'!G10+'94'!G10+'95'!G10</f>
        <v>14</v>
      </c>
      <c r="H10" s="815">
        <f>+'91'!H10+'92'!H10+'93'!H10+'94'!H10+'95'!H10</f>
        <v>9</v>
      </c>
      <c r="I10" s="814">
        <f>+'91'!I10+'92'!I10+'93'!I10+'94'!I10+'95'!I10</f>
        <v>11</v>
      </c>
      <c r="J10" s="815">
        <f>+'91'!J10+'92'!J10+'93'!J10+'94'!J10+'95'!J10</f>
        <v>17</v>
      </c>
      <c r="K10" s="537">
        <f>+'91'!K10+'92'!K10+'93'!K10+'94'!K10+'95'!K10</f>
        <v>2</v>
      </c>
      <c r="L10" s="537">
        <f>+'91'!L10+'92'!L10+'93'!L10+'94'!L10+'95'!L10</f>
        <v>6</v>
      </c>
      <c r="M10" s="796">
        <f>+O10+Q10+S10+U10+W10+Y10</f>
        <v>95</v>
      </c>
      <c r="N10" s="797">
        <f>+P10+R10+T10+V10+X10+Z10</f>
        <v>118</v>
      </c>
      <c r="O10" s="537">
        <f>+'91'!O10+'92'!O10+'93'!O10+'94'!O10+'95'!O10</f>
        <v>63</v>
      </c>
      <c r="P10" s="537">
        <f>+'91'!P10+'92'!P10+'93'!P10+'94'!P10+'95'!P10</f>
        <v>57</v>
      </c>
      <c r="Q10" s="814">
        <f>+'91'!Q10+'92'!Q10+'93'!Q10+'94'!Q10+'95'!Q10</f>
        <v>5</v>
      </c>
      <c r="R10" s="815">
        <f>+'91'!R10+'92'!R10+'93'!R10+'94'!R10+'95'!R10</f>
        <v>11</v>
      </c>
      <c r="S10" s="537">
        <f>+'91'!S10+'92'!S10+'93'!S10+'94'!S10+'95'!S10</f>
        <v>9</v>
      </c>
      <c r="T10" s="537">
        <f>+'91'!T10+'92'!T10+'93'!T10+'94'!T10+'95'!T10</f>
        <v>12</v>
      </c>
      <c r="U10" s="814">
        <f>+'91'!U10+'92'!U10+'93'!U10+'94'!U10+'95'!U10</f>
        <v>3</v>
      </c>
      <c r="V10" s="815">
        <f>+'91'!V10+'92'!V10+'93'!V10+'94'!V10+'95'!V10</f>
        <v>3</v>
      </c>
      <c r="W10" s="537">
        <f>+'91'!W10+'92'!W10+'93'!W10+'94'!W10+'95'!W10</f>
        <v>11</v>
      </c>
      <c r="X10" s="537">
        <f>+'91'!X10+'92'!X10+'93'!X10+'94'!X10+'95'!X10</f>
        <v>23</v>
      </c>
      <c r="Y10" s="814">
        <f>+'91'!Y10+'92'!Y10+'93'!Y10+'94'!Y10+'95'!Y10</f>
        <v>4</v>
      </c>
      <c r="Z10" s="815">
        <f>+'91'!Z10+'92'!Z10+'93'!Z10+'94'!Z10+'95'!Z10</f>
        <v>12</v>
      </c>
      <c r="AA10" s="537">
        <f>+'91'!AA10+'92'!AA10+'93'!AA10+'94'!AA10+'95'!AA10</f>
        <v>11</v>
      </c>
      <c r="AB10" s="537">
        <f>+'91'!AB10+'92'!AB10+'93'!AB10+'94'!AB10+'95'!AB10</f>
        <v>8</v>
      </c>
      <c r="AC10" s="825">
        <f t="shared" ref="AC10:AD13" si="1">+M10+C10+AA10</f>
        <v>199</v>
      </c>
      <c r="AD10" s="826">
        <f t="shared" si="1"/>
        <v>210</v>
      </c>
      <c r="AE10" s="827">
        <f>SUM(AC10:AD10)</f>
        <v>409</v>
      </c>
    </row>
    <row r="11" spans="1:31" ht="20.25" customHeight="1">
      <c r="A11" s="535" t="s">
        <v>640</v>
      </c>
      <c r="B11" s="536" t="s">
        <v>641</v>
      </c>
      <c r="C11" s="806">
        <f t="shared" si="0"/>
        <v>159</v>
      </c>
      <c r="D11" s="807">
        <f t="shared" si="0"/>
        <v>288</v>
      </c>
      <c r="E11" s="537">
        <f>+'91'!E11+'92'!E11+'93'!E11+'94'!E11+'95'!E11</f>
        <v>95</v>
      </c>
      <c r="F11" s="537">
        <f>+'91'!F11+'92'!F11+'93'!F11+'94'!F11+'95'!F11</f>
        <v>169</v>
      </c>
      <c r="G11" s="816">
        <f>+'91'!G11+'92'!G11+'93'!G11+'94'!G11+'95'!G11</f>
        <v>25</v>
      </c>
      <c r="H11" s="538">
        <f>+'91'!H11+'92'!H11+'93'!H11+'94'!H11+'95'!H11</f>
        <v>49</v>
      </c>
      <c r="I11" s="816">
        <f>+'91'!I11+'92'!I11+'93'!I11+'94'!I11+'95'!I11</f>
        <v>19</v>
      </c>
      <c r="J11" s="538">
        <f>+'91'!J11+'92'!J11+'93'!J11+'94'!J11+'95'!J11</f>
        <v>37</v>
      </c>
      <c r="K11" s="537">
        <f>+'91'!K11+'92'!K11+'93'!K11+'94'!K11+'95'!K11</f>
        <v>20</v>
      </c>
      <c r="L11" s="537">
        <f>+'91'!L11+'92'!L11+'93'!L11+'94'!L11+'95'!L11</f>
        <v>33</v>
      </c>
      <c r="M11" s="798">
        <f t="shared" ref="M11:N26" si="2">+O11+Q11+S11+U11+W11+Y11</f>
        <v>287</v>
      </c>
      <c r="N11" s="799">
        <f t="shared" si="2"/>
        <v>508</v>
      </c>
      <c r="O11" s="537">
        <f>+'91'!O11+'92'!O11+'93'!O11+'94'!O11+'95'!O11</f>
        <v>140</v>
      </c>
      <c r="P11" s="537">
        <f>+'91'!P11+'92'!P11+'93'!P11+'94'!P11+'95'!P11</f>
        <v>272</v>
      </c>
      <c r="Q11" s="816">
        <f>+'91'!Q11+'92'!Q11+'93'!Q11+'94'!Q11+'95'!Q11</f>
        <v>28</v>
      </c>
      <c r="R11" s="538">
        <f>+'91'!R11+'92'!R11+'93'!R11+'94'!R11+'95'!R11</f>
        <v>46</v>
      </c>
      <c r="S11" s="537">
        <f>+'91'!S11+'92'!S11+'93'!S11+'94'!S11+'95'!S11</f>
        <v>26</v>
      </c>
      <c r="T11" s="537">
        <f>+'91'!T11+'92'!T11+'93'!T11+'94'!T11+'95'!T11</f>
        <v>54</v>
      </c>
      <c r="U11" s="816">
        <f>+'91'!U11+'92'!U11+'93'!U11+'94'!U11+'95'!U11</f>
        <v>14</v>
      </c>
      <c r="V11" s="538">
        <f>+'91'!V11+'92'!V11+'93'!V11+'94'!V11+'95'!V11</f>
        <v>12</v>
      </c>
      <c r="W11" s="537">
        <f>+'91'!W11+'92'!W11+'93'!W11+'94'!W11+'95'!W11</f>
        <v>53</v>
      </c>
      <c r="X11" s="537">
        <f>+'91'!X11+'92'!X11+'93'!X11+'94'!X11+'95'!X11</f>
        <v>80</v>
      </c>
      <c r="Y11" s="816">
        <f>+'91'!Y11+'92'!Y11+'93'!Y11+'94'!Y11+'95'!Y11</f>
        <v>26</v>
      </c>
      <c r="Z11" s="538">
        <f>+'91'!Z11+'92'!Z11+'93'!Z11+'94'!Z11+'95'!Z11</f>
        <v>44</v>
      </c>
      <c r="AA11" s="537">
        <f>+'91'!AA11+'92'!AA11+'93'!AA11+'94'!AA11+'95'!AA11</f>
        <v>10</v>
      </c>
      <c r="AB11" s="537">
        <f>+'91'!AB11+'92'!AB11+'93'!AB11+'94'!AB11+'95'!AB11</f>
        <v>19</v>
      </c>
      <c r="AC11" s="828">
        <f t="shared" si="1"/>
        <v>456</v>
      </c>
      <c r="AD11" s="829">
        <f t="shared" si="1"/>
        <v>815</v>
      </c>
      <c r="AE11" s="830">
        <f>SUM(AC11:AD11)</f>
        <v>1271</v>
      </c>
    </row>
    <row r="12" spans="1:31" ht="19.5" customHeight="1">
      <c r="A12" s="535" t="s">
        <v>194</v>
      </c>
      <c r="B12" s="536" t="s">
        <v>195</v>
      </c>
      <c r="C12" s="806">
        <f t="shared" si="0"/>
        <v>14</v>
      </c>
      <c r="D12" s="807">
        <f t="shared" si="0"/>
        <v>12</v>
      </c>
      <c r="E12" s="537">
        <f>+'91'!E12+'92'!E12+'93'!E12+'94'!E12+'95'!E12</f>
        <v>7</v>
      </c>
      <c r="F12" s="537">
        <f>+'91'!F12+'92'!F12+'93'!F12+'94'!F12+'95'!F12</f>
        <v>6</v>
      </c>
      <c r="G12" s="816">
        <f>+'91'!G12+'92'!G12+'93'!G12+'94'!G12+'95'!G12</f>
        <v>0</v>
      </c>
      <c r="H12" s="538">
        <f>+'91'!H12+'92'!H12+'93'!H12+'94'!H12+'95'!H12</f>
        <v>1</v>
      </c>
      <c r="I12" s="816">
        <f>+'91'!I12+'92'!I12+'93'!I12+'94'!I12+'95'!I12</f>
        <v>4</v>
      </c>
      <c r="J12" s="538">
        <f>+'91'!J12+'92'!J12+'93'!J12+'94'!J12+'95'!J12</f>
        <v>3</v>
      </c>
      <c r="K12" s="537">
        <f>+'91'!K12+'92'!K12+'93'!K12+'94'!K12+'95'!K12</f>
        <v>3</v>
      </c>
      <c r="L12" s="537">
        <f>+'91'!L12+'92'!L12+'93'!L12+'94'!L12+'95'!L12</f>
        <v>2</v>
      </c>
      <c r="M12" s="798">
        <f t="shared" si="2"/>
        <v>35</v>
      </c>
      <c r="N12" s="799">
        <f t="shared" si="2"/>
        <v>56</v>
      </c>
      <c r="O12" s="537">
        <f>+'91'!O12+'92'!O12+'93'!O12+'94'!O12+'95'!O12</f>
        <v>12</v>
      </c>
      <c r="P12" s="537">
        <f>+'91'!P12+'92'!P12+'93'!P12+'94'!P12+'95'!P12</f>
        <v>25</v>
      </c>
      <c r="Q12" s="816">
        <f>+'91'!Q12+'92'!Q12+'93'!Q12+'94'!Q12+'95'!Q12</f>
        <v>4</v>
      </c>
      <c r="R12" s="538">
        <f>+'91'!R12+'92'!R12+'93'!R12+'94'!R12+'95'!R12</f>
        <v>2</v>
      </c>
      <c r="S12" s="537">
        <f>+'91'!S12+'92'!S12+'93'!S12+'94'!S12+'95'!S12</f>
        <v>2</v>
      </c>
      <c r="T12" s="537">
        <f>+'91'!T12+'92'!T12+'93'!T12+'94'!T12+'95'!T12</f>
        <v>7</v>
      </c>
      <c r="U12" s="816">
        <f>+'91'!U12+'92'!U12+'93'!U12+'94'!U12+'95'!U12</f>
        <v>5</v>
      </c>
      <c r="V12" s="538">
        <f>+'91'!V12+'92'!V12+'93'!V12+'94'!V12+'95'!V12</f>
        <v>4</v>
      </c>
      <c r="W12" s="537">
        <f>+'91'!W12+'92'!W12+'93'!W12+'94'!W12+'95'!W12</f>
        <v>10</v>
      </c>
      <c r="X12" s="537">
        <f>+'91'!X12+'92'!X12+'93'!X12+'94'!X12+'95'!X12</f>
        <v>14</v>
      </c>
      <c r="Y12" s="816">
        <f>+'91'!Y12+'92'!Y12+'93'!Y12+'94'!Y12+'95'!Y12</f>
        <v>2</v>
      </c>
      <c r="Z12" s="538">
        <f>+'91'!Z12+'92'!Z12+'93'!Z12+'94'!Z12+'95'!Z12</f>
        <v>4</v>
      </c>
      <c r="AA12" s="537">
        <f>+'91'!AA12+'92'!AA12+'93'!AA12+'94'!AA12+'95'!AA12</f>
        <v>1</v>
      </c>
      <c r="AB12" s="537">
        <f>+'91'!AB12+'92'!AB12+'93'!AB12+'94'!AB12+'95'!AB12</f>
        <v>1</v>
      </c>
      <c r="AC12" s="828">
        <f t="shared" si="1"/>
        <v>50</v>
      </c>
      <c r="AD12" s="829">
        <f t="shared" si="1"/>
        <v>69</v>
      </c>
      <c r="AE12" s="830">
        <f>SUM(AC12:AD12)</f>
        <v>119</v>
      </c>
    </row>
    <row r="13" spans="1:31" ht="20.25" customHeight="1">
      <c r="A13" s="535" t="s">
        <v>655</v>
      </c>
      <c r="B13" s="536" t="s">
        <v>656</v>
      </c>
      <c r="C13" s="806">
        <f t="shared" si="0"/>
        <v>92</v>
      </c>
      <c r="D13" s="807">
        <f t="shared" si="0"/>
        <v>87</v>
      </c>
      <c r="E13" s="537">
        <f>+'91'!E13+'92'!E13+'93'!E13+'94'!E13+'95'!E13</f>
        <v>55</v>
      </c>
      <c r="F13" s="537">
        <f>+'91'!F13+'92'!F13+'93'!F13+'94'!F13+'95'!F13</f>
        <v>50</v>
      </c>
      <c r="G13" s="816">
        <f>+'91'!G13+'92'!G13+'93'!G13+'94'!G13+'95'!G13</f>
        <v>12</v>
      </c>
      <c r="H13" s="538">
        <f>+'91'!H13+'92'!H13+'93'!H13+'94'!H13+'95'!H13</f>
        <v>10</v>
      </c>
      <c r="I13" s="816">
        <f>+'91'!I13+'92'!I13+'93'!I13+'94'!I13+'95'!I13</f>
        <v>15</v>
      </c>
      <c r="J13" s="538">
        <f>+'91'!J13+'92'!J13+'93'!J13+'94'!J13+'95'!J13</f>
        <v>21</v>
      </c>
      <c r="K13" s="537">
        <f>+'91'!K13+'92'!K13+'93'!K13+'94'!K13+'95'!K13</f>
        <v>10</v>
      </c>
      <c r="L13" s="537">
        <f>+'91'!L13+'92'!L13+'93'!L13+'94'!L13+'95'!L13</f>
        <v>6</v>
      </c>
      <c r="M13" s="798">
        <f t="shared" si="2"/>
        <v>151</v>
      </c>
      <c r="N13" s="799">
        <f t="shared" si="2"/>
        <v>148</v>
      </c>
      <c r="O13" s="537">
        <f>+'91'!O13+'92'!O13+'93'!O13+'94'!O13+'95'!O13</f>
        <v>64</v>
      </c>
      <c r="P13" s="537">
        <f>+'91'!P13+'92'!P13+'93'!P13+'94'!P13+'95'!P13</f>
        <v>66</v>
      </c>
      <c r="Q13" s="816">
        <f>+'91'!Q13+'92'!Q13+'93'!Q13+'94'!Q13+'95'!Q13</f>
        <v>20</v>
      </c>
      <c r="R13" s="538">
        <f>+'91'!R13+'92'!R13+'93'!R13+'94'!R13+'95'!R13</f>
        <v>17</v>
      </c>
      <c r="S13" s="537">
        <f>+'91'!S13+'92'!S13+'93'!S13+'94'!S13+'95'!S13</f>
        <v>12</v>
      </c>
      <c r="T13" s="537">
        <f>+'91'!T13+'92'!T13+'93'!T13+'94'!T13+'95'!T13</f>
        <v>14</v>
      </c>
      <c r="U13" s="816">
        <f>+'91'!U13+'92'!U13+'93'!U13+'94'!U13+'95'!U13</f>
        <v>8</v>
      </c>
      <c r="V13" s="538">
        <f>+'91'!V13+'92'!V13+'93'!V13+'94'!V13+'95'!V13</f>
        <v>8</v>
      </c>
      <c r="W13" s="537">
        <f>+'91'!W13+'92'!W13+'93'!W13+'94'!W13+'95'!W13</f>
        <v>32</v>
      </c>
      <c r="X13" s="537">
        <f>+'91'!X13+'92'!X13+'93'!X13+'94'!X13+'95'!X13</f>
        <v>29</v>
      </c>
      <c r="Y13" s="816">
        <f>+'91'!Y13+'92'!Y13+'93'!Y13+'94'!Y13+'95'!Y13</f>
        <v>15</v>
      </c>
      <c r="Z13" s="538">
        <f>+'91'!Z13+'92'!Z13+'93'!Z13+'94'!Z13+'95'!Z13</f>
        <v>14</v>
      </c>
      <c r="AA13" s="537">
        <f>+'91'!AA13+'92'!AA13+'93'!AA13+'94'!AA13+'95'!AA13</f>
        <v>5</v>
      </c>
      <c r="AB13" s="537">
        <f>+'91'!AB13+'92'!AB13+'93'!AB13+'94'!AB13+'95'!AB13</f>
        <v>7</v>
      </c>
      <c r="AC13" s="828">
        <f t="shared" si="1"/>
        <v>248</v>
      </c>
      <c r="AD13" s="829">
        <f t="shared" si="1"/>
        <v>242</v>
      </c>
      <c r="AE13" s="830">
        <f>SUM(AC13:AD13)</f>
        <v>490</v>
      </c>
    </row>
    <row r="14" spans="1:31" ht="19.5" customHeight="1">
      <c r="A14" s="535" t="s">
        <v>196</v>
      </c>
      <c r="B14" s="536" t="s">
        <v>197</v>
      </c>
      <c r="C14" s="806">
        <f>+E14+G14+I14+K14</f>
        <v>62</v>
      </c>
      <c r="D14" s="807">
        <f>+F14+H14+J14+L14</f>
        <v>77</v>
      </c>
      <c r="E14" s="537">
        <f>+'91'!E14+'92'!E14+'93'!E14+'94'!E14+'95'!E14</f>
        <v>41</v>
      </c>
      <c r="F14" s="537">
        <f>+'91'!F14+'92'!F14+'93'!F14+'94'!F14+'95'!F14</f>
        <v>55</v>
      </c>
      <c r="G14" s="816">
        <f>+'91'!G14+'92'!G14+'93'!G14+'94'!G14+'95'!G14</f>
        <v>11</v>
      </c>
      <c r="H14" s="538">
        <f>+'91'!H14+'92'!H14+'93'!H14+'94'!H14+'95'!H14</f>
        <v>20</v>
      </c>
      <c r="I14" s="816">
        <f>+'91'!I14+'92'!I14+'93'!I14+'94'!I14+'95'!I14</f>
        <v>7</v>
      </c>
      <c r="J14" s="538">
        <f>+'91'!J14+'92'!J14+'93'!J14+'94'!J14+'95'!J14</f>
        <v>2</v>
      </c>
      <c r="K14" s="537">
        <f>+'91'!K14+'92'!K14+'93'!K14+'94'!K14+'95'!K14</f>
        <v>3</v>
      </c>
      <c r="L14" s="537">
        <f>+'91'!L14+'92'!L14+'93'!L14+'94'!L14+'95'!L14</f>
        <v>0</v>
      </c>
      <c r="M14" s="798">
        <f t="shared" si="2"/>
        <v>212</v>
      </c>
      <c r="N14" s="799">
        <f t="shared" si="2"/>
        <v>192</v>
      </c>
      <c r="O14" s="537">
        <f>+'91'!O14+'92'!O14+'93'!O14+'94'!O14+'95'!O14</f>
        <v>91</v>
      </c>
      <c r="P14" s="537">
        <f>+'91'!P14+'92'!P14+'93'!P14+'94'!P14+'95'!P14</f>
        <v>96</v>
      </c>
      <c r="Q14" s="816">
        <f>+'91'!Q14+'92'!Q14+'93'!Q14+'94'!Q14+'95'!Q14</f>
        <v>71</v>
      </c>
      <c r="R14" s="538">
        <f>+'91'!R14+'92'!R14+'93'!R14+'94'!R14+'95'!R14</f>
        <v>33</v>
      </c>
      <c r="S14" s="537">
        <f>+'91'!S14+'92'!S14+'93'!S14+'94'!S14+'95'!S14</f>
        <v>15</v>
      </c>
      <c r="T14" s="537">
        <f>+'91'!T14+'92'!T14+'93'!T14+'94'!T14+'95'!T14</f>
        <v>12</v>
      </c>
      <c r="U14" s="816">
        <f>+'91'!U14+'92'!U14+'93'!U14+'94'!U14+'95'!U14</f>
        <v>6</v>
      </c>
      <c r="V14" s="538">
        <f>+'91'!V14+'92'!V14+'93'!V14+'94'!V14+'95'!V14</f>
        <v>5</v>
      </c>
      <c r="W14" s="537">
        <f>+'91'!W14+'92'!W14+'93'!W14+'94'!W14+'95'!W14</f>
        <v>22</v>
      </c>
      <c r="X14" s="537">
        <f>+'91'!X14+'92'!X14+'93'!X14+'94'!X14+'95'!X14</f>
        <v>36</v>
      </c>
      <c r="Y14" s="816">
        <f>+'91'!Y14+'92'!Y14+'93'!Y14+'94'!Y14+'95'!Y14</f>
        <v>7</v>
      </c>
      <c r="Z14" s="538">
        <f>+'91'!Z14+'92'!Z14+'93'!Z14+'94'!Z14+'95'!Z14</f>
        <v>10</v>
      </c>
      <c r="AA14" s="537">
        <f>+'91'!AA14+'92'!AA14+'93'!AA14+'94'!AA14+'95'!AA14</f>
        <v>100</v>
      </c>
      <c r="AB14" s="537">
        <f>+'91'!AB14+'92'!AB14+'93'!AB14+'94'!AB14+'95'!AB14</f>
        <v>52</v>
      </c>
      <c r="AC14" s="828">
        <f>+M14+C14+AA14</f>
        <v>374</v>
      </c>
      <c r="AD14" s="829">
        <f>+N14+D14+AB14</f>
        <v>321</v>
      </c>
      <c r="AE14" s="830">
        <f>SUM(AC14:AD14)</f>
        <v>695</v>
      </c>
    </row>
    <row r="15" spans="1:31" ht="19.5" customHeight="1">
      <c r="A15" s="535" t="s">
        <v>198</v>
      </c>
      <c r="B15" s="536" t="s">
        <v>199</v>
      </c>
      <c r="C15" s="806">
        <f t="shared" ref="C15:D29" si="3">+E15+G15+I15+K15</f>
        <v>38</v>
      </c>
      <c r="D15" s="807">
        <f t="shared" si="3"/>
        <v>52</v>
      </c>
      <c r="E15" s="537">
        <f>+'91'!E15+'92'!E15+'93'!E15+'94'!E15+'95'!E15</f>
        <v>17</v>
      </c>
      <c r="F15" s="537">
        <f>+'91'!F15+'92'!F15+'93'!F15+'94'!F15+'95'!F15</f>
        <v>32</v>
      </c>
      <c r="G15" s="816">
        <f>+'91'!G15+'92'!G15+'93'!G15+'94'!G15+'95'!G15</f>
        <v>13</v>
      </c>
      <c r="H15" s="538">
        <f>+'91'!H15+'92'!H15+'93'!H15+'94'!H15+'95'!H15</f>
        <v>12</v>
      </c>
      <c r="I15" s="816">
        <f>+'91'!I15+'92'!I15+'93'!I15+'94'!I15+'95'!I15</f>
        <v>7</v>
      </c>
      <c r="J15" s="538">
        <f>+'91'!J15+'92'!J15+'93'!J15+'94'!J15+'95'!J15</f>
        <v>6</v>
      </c>
      <c r="K15" s="537">
        <f>+'91'!K15+'92'!K15+'93'!K15+'94'!K15+'95'!K15</f>
        <v>1</v>
      </c>
      <c r="L15" s="537">
        <f>+'91'!L15+'92'!L15+'93'!L15+'94'!L15+'95'!L15</f>
        <v>2</v>
      </c>
      <c r="M15" s="798">
        <f t="shared" si="2"/>
        <v>98</v>
      </c>
      <c r="N15" s="799">
        <f t="shared" si="2"/>
        <v>105</v>
      </c>
      <c r="O15" s="537">
        <f>+'91'!O15+'92'!O15+'93'!O15+'94'!O15+'95'!O15</f>
        <v>54</v>
      </c>
      <c r="P15" s="537">
        <f>+'91'!P15+'92'!P15+'93'!P15+'94'!P15+'95'!P15</f>
        <v>49</v>
      </c>
      <c r="Q15" s="816">
        <f>+'91'!Q15+'92'!Q15+'93'!Q15+'94'!Q15+'95'!Q15</f>
        <v>15</v>
      </c>
      <c r="R15" s="538">
        <f>+'91'!R15+'92'!R15+'93'!R15+'94'!R15+'95'!R15</f>
        <v>12</v>
      </c>
      <c r="S15" s="537">
        <f>+'91'!S15+'92'!S15+'93'!S15+'94'!S15+'95'!S15</f>
        <v>6</v>
      </c>
      <c r="T15" s="537">
        <f>+'91'!T15+'92'!T15+'93'!T15+'94'!T15+'95'!T15</f>
        <v>18</v>
      </c>
      <c r="U15" s="816">
        <f>+'91'!U15+'92'!U15+'93'!U15+'94'!U15+'95'!U15</f>
        <v>3</v>
      </c>
      <c r="V15" s="538">
        <f>+'91'!V15+'92'!V15+'93'!V15+'94'!V15+'95'!V15</f>
        <v>7</v>
      </c>
      <c r="W15" s="537">
        <f>+'91'!W15+'92'!W15+'93'!W15+'94'!W15+'95'!W15</f>
        <v>16</v>
      </c>
      <c r="X15" s="537">
        <f>+'91'!X15+'92'!X15+'93'!X15+'94'!X15+'95'!X15</f>
        <v>17</v>
      </c>
      <c r="Y15" s="816">
        <f>+'91'!Y15+'92'!Y15+'93'!Y15+'94'!Y15+'95'!Y15</f>
        <v>4</v>
      </c>
      <c r="Z15" s="538">
        <f>+'91'!Z15+'92'!Z15+'93'!Z15+'94'!Z15+'95'!Z15</f>
        <v>2</v>
      </c>
      <c r="AA15" s="537">
        <f>+'91'!AA15+'92'!AA15+'93'!AA15+'94'!AA15+'95'!AA15</f>
        <v>5</v>
      </c>
      <c r="AB15" s="537">
        <f>+'91'!AB15+'92'!AB15+'93'!AB15+'94'!AB15+'95'!AB15</f>
        <v>9</v>
      </c>
      <c r="AC15" s="828">
        <f t="shared" ref="AC15:AD29" si="4">+M15+C15+AA15</f>
        <v>141</v>
      </c>
      <c r="AD15" s="829">
        <f t="shared" si="4"/>
        <v>166</v>
      </c>
      <c r="AE15" s="830">
        <f t="shared" ref="AE15:AE25" si="5">SUM(AC15:AD15)</f>
        <v>307</v>
      </c>
    </row>
    <row r="16" spans="1:31" ht="19.5" customHeight="1">
      <c r="A16" s="535" t="s">
        <v>200</v>
      </c>
      <c r="B16" s="536" t="s">
        <v>201</v>
      </c>
      <c r="C16" s="806">
        <f t="shared" si="3"/>
        <v>4</v>
      </c>
      <c r="D16" s="807">
        <f t="shared" si="3"/>
        <v>11</v>
      </c>
      <c r="E16" s="537">
        <f>+'91'!E16+'92'!E16+'93'!E16+'94'!E16+'95'!E16</f>
        <v>3</v>
      </c>
      <c r="F16" s="537">
        <f>+'91'!F16+'92'!F16+'93'!F16+'94'!F16+'95'!F16</f>
        <v>7</v>
      </c>
      <c r="G16" s="816">
        <f>+'91'!G16+'92'!G16+'93'!G16+'94'!G16+'95'!G16</f>
        <v>0</v>
      </c>
      <c r="H16" s="538">
        <f>+'91'!H16+'92'!H16+'93'!H16+'94'!H16+'95'!H16</f>
        <v>1</v>
      </c>
      <c r="I16" s="816">
        <f>+'91'!I16+'92'!I16+'93'!I16+'94'!I16+'95'!I16</f>
        <v>1</v>
      </c>
      <c r="J16" s="538">
        <f>+'91'!J16+'92'!J16+'93'!J16+'94'!J16+'95'!J16</f>
        <v>2</v>
      </c>
      <c r="K16" s="537">
        <f>+'91'!K16+'92'!K16+'93'!K16+'94'!K16+'95'!K16</f>
        <v>0</v>
      </c>
      <c r="L16" s="537">
        <f>+'91'!L16+'92'!L16+'93'!L16+'94'!L16+'95'!L16</f>
        <v>1</v>
      </c>
      <c r="M16" s="798">
        <f t="shared" si="2"/>
        <v>30</v>
      </c>
      <c r="N16" s="799">
        <f t="shared" si="2"/>
        <v>35</v>
      </c>
      <c r="O16" s="537">
        <f>+'91'!O16+'92'!O16+'93'!O16+'94'!O16+'95'!O16</f>
        <v>15</v>
      </c>
      <c r="P16" s="537">
        <f>+'91'!P16+'92'!P16+'93'!P16+'94'!P16+'95'!P16</f>
        <v>19</v>
      </c>
      <c r="Q16" s="816">
        <f>+'91'!Q16+'92'!Q16+'93'!Q16+'94'!Q16+'95'!Q16</f>
        <v>5</v>
      </c>
      <c r="R16" s="538">
        <f>+'91'!R16+'92'!R16+'93'!R16+'94'!R16+'95'!R16</f>
        <v>3</v>
      </c>
      <c r="S16" s="537">
        <f>+'91'!S16+'92'!S16+'93'!S16+'94'!S16+'95'!S16</f>
        <v>1</v>
      </c>
      <c r="T16" s="537">
        <f>+'91'!T16+'92'!T16+'93'!T16+'94'!T16+'95'!T16</f>
        <v>0</v>
      </c>
      <c r="U16" s="816">
        <f>+'91'!U16+'92'!U16+'93'!U16+'94'!U16+'95'!U16</f>
        <v>0</v>
      </c>
      <c r="V16" s="538">
        <f>+'91'!V16+'92'!V16+'93'!V16+'94'!V16+'95'!V16</f>
        <v>5</v>
      </c>
      <c r="W16" s="537">
        <f>+'91'!W16+'92'!W16+'93'!W16+'94'!W16+'95'!W16</f>
        <v>5</v>
      </c>
      <c r="X16" s="537">
        <f>+'91'!X16+'92'!X16+'93'!X16+'94'!X16+'95'!X16</f>
        <v>5</v>
      </c>
      <c r="Y16" s="816">
        <f>+'91'!Y16+'92'!Y16+'93'!Y16+'94'!Y16+'95'!Y16</f>
        <v>4</v>
      </c>
      <c r="Z16" s="538">
        <f>+'91'!Z16+'92'!Z16+'93'!Z16+'94'!Z16+'95'!Z16</f>
        <v>3</v>
      </c>
      <c r="AA16" s="537">
        <f>+'91'!AA16+'92'!AA16+'93'!AA16+'94'!AA16+'95'!AA16</f>
        <v>0</v>
      </c>
      <c r="AB16" s="537">
        <f>+'91'!AB16+'92'!AB16+'93'!AB16+'94'!AB16+'95'!AB16</f>
        <v>1</v>
      </c>
      <c r="AC16" s="828">
        <f t="shared" si="4"/>
        <v>34</v>
      </c>
      <c r="AD16" s="829">
        <f t="shared" si="4"/>
        <v>47</v>
      </c>
      <c r="AE16" s="830">
        <f t="shared" si="5"/>
        <v>81</v>
      </c>
    </row>
    <row r="17" spans="1:31" ht="20.25" customHeight="1">
      <c r="A17" s="535" t="s">
        <v>638</v>
      </c>
      <c r="B17" s="536" t="s">
        <v>639</v>
      </c>
      <c r="C17" s="806">
        <f t="shared" si="3"/>
        <v>374</v>
      </c>
      <c r="D17" s="807">
        <f t="shared" si="3"/>
        <v>306</v>
      </c>
      <c r="E17" s="537">
        <f>+'91'!E17+'92'!E17+'93'!E17+'94'!E17+'95'!E17</f>
        <v>236</v>
      </c>
      <c r="F17" s="537">
        <f>+'91'!F17+'92'!F17+'93'!F17+'94'!F17+'95'!F17</f>
        <v>188</v>
      </c>
      <c r="G17" s="816">
        <f>+'91'!G17+'92'!G17+'93'!G17+'94'!G17+'95'!G17</f>
        <v>65</v>
      </c>
      <c r="H17" s="538">
        <f>+'91'!H17+'92'!H17+'93'!H17+'94'!H17+'95'!H17</f>
        <v>63</v>
      </c>
      <c r="I17" s="816">
        <f>+'91'!I17+'92'!I17+'93'!I17+'94'!I17+'95'!I17</f>
        <v>39</v>
      </c>
      <c r="J17" s="538">
        <f>+'91'!J17+'92'!J17+'93'!J17+'94'!J17+'95'!J17</f>
        <v>26</v>
      </c>
      <c r="K17" s="537">
        <f>+'91'!K17+'92'!K17+'93'!K17+'94'!K17+'95'!K17</f>
        <v>34</v>
      </c>
      <c r="L17" s="537">
        <f>+'91'!L17+'92'!L17+'93'!L17+'94'!L17+'95'!L17</f>
        <v>29</v>
      </c>
      <c r="M17" s="798">
        <f t="shared" si="2"/>
        <v>619</v>
      </c>
      <c r="N17" s="799">
        <f t="shared" si="2"/>
        <v>523</v>
      </c>
      <c r="O17" s="537">
        <f>+'91'!O17+'92'!O17+'93'!O17+'94'!O17+'95'!O17</f>
        <v>295</v>
      </c>
      <c r="P17" s="537">
        <f>+'91'!P17+'92'!P17+'93'!P17+'94'!P17+'95'!P17</f>
        <v>246</v>
      </c>
      <c r="Q17" s="816">
        <f>+'91'!Q17+'92'!Q17+'93'!Q17+'94'!Q17+'95'!Q17</f>
        <v>97</v>
      </c>
      <c r="R17" s="538">
        <f>+'91'!R17+'92'!R17+'93'!R17+'94'!R17+'95'!R17</f>
        <v>75</v>
      </c>
      <c r="S17" s="537">
        <f>+'91'!S17+'92'!S17+'93'!S17+'94'!S17+'95'!S17</f>
        <v>59</v>
      </c>
      <c r="T17" s="537">
        <f>+'91'!T17+'92'!T17+'93'!T17+'94'!T17+'95'!T17</f>
        <v>45</v>
      </c>
      <c r="U17" s="816">
        <f>+'91'!U17+'92'!U17+'93'!U17+'94'!U17+'95'!U17</f>
        <v>21</v>
      </c>
      <c r="V17" s="538">
        <f>+'91'!V17+'92'!V17+'93'!V17+'94'!V17+'95'!V17</f>
        <v>19</v>
      </c>
      <c r="W17" s="537">
        <f>+'91'!W17+'92'!W17+'93'!W17+'94'!W17+'95'!W17</f>
        <v>100</v>
      </c>
      <c r="X17" s="537">
        <f>+'91'!X17+'92'!X17+'93'!X17+'94'!X17+'95'!X17</f>
        <v>88</v>
      </c>
      <c r="Y17" s="816">
        <f>+'91'!Y17+'92'!Y17+'93'!Y17+'94'!Y17+'95'!Y17</f>
        <v>47</v>
      </c>
      <c r="Z17" s="538">
        <f>+'91'!Z17+'92'!Z17+'93'!Z17+'94'!Z17+'95'!Z17</f>
        <v>50</v>
      </c>
      <c r="AA17" s="537">
        <f>+'91'!AA17+'92'!AA17+'93'!AA17+'94'!AA17+'95'!AA17</f>
        <v>34</v>
      </c>
      <c r="AB17" s="537">
        <f>+'91'!AB17+'92'!AB17+'93'!AB17+'94'!AB17+'95'!AB17</f>
        <v>19</v>
      </c>
      <c r="AC17" s="828">
        <f t="shared" si="4"/>
        <v>1027</v>
      </c>
      <c r="AD17" s="829">
        <f t="shared" si="4"/>
        <v>848</v>
      </c>
      <c r="AE17" s="830">
        <f t="shared" si="5"/>
        <v>1875</v>
      </c>
    </row>
    <row r="18" spans="1:31" ht="19.5" customHeight="1">
      <c r="A18" s="535" t="s">
        <v>642</v>
      </c>
      <c r="B18" s="536" t="s">
        <v>643</v>
      </c>
      <c r="C18" s="806">
        <f t="shared" si="3"/>
        <v>413</v>
      </c>
      <c r="D18" s="807">
        <f t="shared" si="3"/>
        <v>362</v>
      </c>
      <c r="E18" s="537">
        <f>+'91'!E18+'92'!E18+'93'!E18+'94'!E18+'95'!E18</f>
        <v>284</v>
      </c>
      <c r="F18" s="537">
        <f>+'91'!F18+'92'!F18+'93'!F18+'94'!F18+'95'!F18</f>
        <v>241</v>
      </c>
      <c r="G18" s="816">
        <f>+'91'!G18+'92'!G18+'93'!G18+'94'!G18+'95'!G18</f>
        <v>61</v>
      </c>
      <c r="H18" s="538">
        <f>+'91'!H18+'92'!H18+'93'!H18+'94'!H18+'95'!H18</f>
        <v>44</v>
      </c>
      <c r="I18" s="816">
        <f>+'91'!I18+'92'!I18+'93'!I18+'94'!I18+'95'!I18</f>
        <v>42</v>
      </c>
      <c r="J18" s="538">
        <f>+'91'!J18+'92'!J18+'93'!J18+'94'!J18+'95'!J18</f>
        <v>45</v>
      </c>
      <c r="K18" s="537">
        <f>+'91'!K18+'92'!K18+'93'!K18+'94'!K18+'95'!K18</f>
        <v>26</v>
      </c>
      <c r="L18" s="537">
        <f>+'91'!L18+'92'!L18+'93'!L18+'94'!L18+'95'!L18</f>
        <v>32</v>
      </c>
      <c r="M18" s="798">
        <f t="shared" si="2"/>
        <v>764</v>
      </c>
      <c r="N18" s="799">
        <f t="shared" si="2"/>
        <v>733</v>
      </c>
      <c r="O18" s="537">
        <f>+'91'!O18+'92'!O18+'93'!O18+'94'!O18+'95'!O18</f>
        <v>344</v>
      </c>
      <c r="P18" s="537">
        <f>+'91'!P18+'92'!P18+'93'!P18+'94'!P18+'95'!P18</f>
        <v>307</v>
      </c>
      <c r="Q18" s="816">
        <f>+'91'!Q18+'92'!Q18+'93'!Q18+'94'!Q18+'95'!Q18</f>
        <v>150</v>
      </c>
      <c r="R18" s="538">
        <f>+'91'!R18+'92'!R18+'93'!R18+'94'!R18+'95'!R18</f>
        <v>143</v>
      </c>
      <c r="S18" s="537">
        <f>+'91'!S18+'92'!S18+'93'!S18+'94'!S18+'95'!S18</f>
        <v>63</v>
      </c>
      <c r="T18" s="537">
        <f>+'91'!T18+'92'!T18+'93'!T18+'94'!T18+'95'!T18</f>
        <v>61</v>
      </c>
      <c r="U18" s="816">
        <f>+'91'!U18+'92'!U18+'93'!U18+'94'!U18+'95'!U18</f>
        <v>41</v>
      </c>
      <c r="V18" s="538">
        <f>+'91'!V18+'92'!V18+'93'!V18+'94'!V18+'95'!V18</f>
        <v>42</v>
      </c>
      <c r="W18" s="537">
        <f>+'91'!W18+'92'!W18+'93'!W18+'94'!W18+'95'!W18</f>
        <v>103</v>
      </c>
      <c r="X18" s="537">
        <f>+'91'!X18+'92'!X18+'93'!X18+'94'!X18+'95'!X18</f>
        <v>129</v>
      </c>
      <c r="Y18" s="816">
        <f>+'91'!Y18+'92'!Y18+'93'!Y18+'94'!Y18+'95'!Y18</f>
        <v>63</v>
      </c>
      <c r="Z18" s="538">
        <f>+'91'!Z18+'92'!Z18+'93'!Z18+'94'!Z18+'95'!Z18</f>
        <v>51</v>
      </c>
      <c r="AA18" s="537">
        <f>+'91'!AA18+'92'!AA18+'93'!AA18+'94'!AA18+'95'!AA18</f>
        <v>33</v>
      </c>
      <c r="AB18" s="537">
        <f>+'91'!AB18+'92'!AB18+'93'!AB18+'94'!AB18+'95'!AB18</f>
        <v>29</v>
      </c>
      <c r="AC18" s="828">
        <f t="shared" si="4"/>
        <v>1210</v>
      </c>
      <c r="AD18" s="829">
        <f t="shared" si="4"/>
        <v>1124</v>
      </c>
      <c r="AE18" s="830">
        <f t="shared" si="5"/>
        <v>2334</v>
      </c>
    </row>
    <row r="19" spans="1:31" ht="19.5" customHeight="1">
      <c r="A19" s="535" t="s">
        <v>647</v>
      </c>
      <c r="B19" s="536" t="s">
        <v>648</v>
      </c>
      <c r="C19" s="806">
        <f t="shared" si="3"/>
        <v>563</v>
      </c>
      <c r="D19" s="807">
        <f t="shared" si="3"/>
        <v>638</v>
      </c>
      <c r="E19" s="537">
        <f>+'91'!E19+'92'!E19+'93'!E19+'94'!E19+'95'!E19</f>
        <v>354</v>
      </c>
      <c r="F19" s="537">
        <f>+'91'!F19+'92'!F19+'93'!F19+'94'!F19+'95'!F19</f>
        <v>387</v>
      </c>
      <c r="G19" s="816">
        <f>+'91'!G19+'92'!G19+'93'!G19+'94'!G19+'95'!G19</f>
        <v>96</v>
      </c>
      <c r="H19" s="538">
        <f>+'91'!H19+'92'!H19+'93'!H19+'94'!H19+'95'!H19</f>
        <v>109</v>
      </c>
      <c r="I19" s="816">
        <f>+'91'!I19+'92'!I19+'93'!I19+'94'!I19+'95'!I19</f>
        <v>70</v>
      </c>
      <c r="J19" s="538">
        <f>+'91'!J19+'92'!J19+'93'!J19+'94'!J19+'95'!J19</f>
        <v>85</v>
      </c>
      <c r="K19" s="537">
        <f>+'91'!K19+'92'!K19+'93'!K19+'94'!K19+'95'!K19</f>
        <v>43</v>
      </c>
      <c r="L19" s="537">
        <f>+'91'!L19+'92'!L19+'93'!L19+'94'!L19+'95'!L19</f>
        <v>57</v>
      </c>
      <c r="M19" s="798">
        <f t="shared" si="2"/>
        <v>795</v>
      </c>
      <c r="N19" s="799">
        <f t="shared" si="2"/>
        <v>870</v>
      </c>
      <c r="O19" s="537">
        <f>+'91'!O19+'92'!O19+'93'!O19+'94'!O19+'95'!O19</f>
        <v>378</v>
      </c>
      <c r="P19" s="537">
        <f>+'91'!P19+'92'!P19+'93'!P19+'94'!P19+'95'!P19</f>
        <v>431</v>
      </c>
      <c r="Q19" s="816">
        <f>+'91'!Q19+'92'!Q19+'93'!Q19+'94'!Q19+'95'!Q19</f>
        <v>78</v>
      </c>
      <c r="R19" s="538">
        <f>+'91'!R19+'92'!R19+'93'!R19+'94'!R19+'95'!R19</f>
        <v>105</v>
      </c>
      <c r="S19" s="537">
        <f>+'91'!S19+'92'!S19+'93'!S19+'94'!S19+'95'!S19</f>
        <v>69</v>
      </c>
      <c r="T19" s="537">
        <f>+'91'!T19+'92'!T19+'93'!T19+'94'!T19+'95'!T19</f>
        <v>83</v>
      </c>
      <c r="U19" s="816">
        <f>+'91'!U19+'92'!U19+'93'!U19+'94'!U19+'95'!U19</f>
        <v>36</v>
      </c>
      <c r="V19" s="538">
        <f>+'91'!V19+'92'!V19+'93'!V19+'94'!V19+'95'!V19</f>
        <v>49</v>
      </c>
      <c r="W19" s="537">
        <f>+'91'!W19+'92'!W19+'93'!W19+'94'!W19+'95'!W19</f>
        <v>172</v>
      </c>
      <c r="X19" s="537">
        <f>+'91'!X19+'92'!X19+'93'!X19+'94'!X19+'95'!X19</f>
        <v>121</v>
      </c>
      <c r="Y19" s="816">
        <f>+'91'!Y19+'92'!Y19+'93'!Y19+'94'!Y19+'95'!Y19</f>
        <v>62</v>
      </c>
      <c r="Z19" s="538">
        <f>+'91'!Z19+'92'!Z19+'93'!Z19+'94'!Z19+'95'!Z19</f>
        <v>81</v>
      </c>
      <c r="AA19" s="537">
        <f>+'91'!AA19+'92'!AA19+'93'!AA19+'94'!AA19+'95'!AA19</f>
        <v>54</v>
      </c>
      <c r="AB19" s="537">
        <f>+'91'!AB19+'92'!AB19+'93'!AB19+'94'!AB19+'95'!AB19</f>
        <v>50</v>
      </c>
      <c r="AC19" s="828">
        <f t="shared" si="4"/>
        <v>1412</v>
      </c>
      <c r="AD19" s="829">
        <f t="shared" si="4"/>
        <v>1558</v>
      </c>
      <c r="AE19" s="830">
        <f t="shared" si="5"/>
        <v>2970</v>
      </c>
    </row>
    <row r="20" spans="1:31" ht="18.75" customHeight="1">
      <c r="A20" s="535" t="s">
        <v>202</v>
      </c>
      <c r="B20" s="536" t="s">
        <v>203</v>
      </c>
      <c r="C20" s="806">
        <f t="shared" si="3"/>
        <v>33</v>
      </c>
      <c r="D20" s="807">
        <f t="shared" si="3"/>
        <v>47</v>
      </c>
      <c r="E20" s="537">
        <f>+'91'!E20+'92'!E20+'93'!E20+'94'!E20+'95'!E20</f>
        <v>24</v>
      </c>
      <c r="F20" s="537">
        <f>+'91'!F20+'92'!F20+'93'!F20+'94'!F20+'95'!F20</f>
        <v>22</v>
      </c>
      <c r="G20" s="816">
        <f>+'91'!G20+'92'!G20+'93'!G20+'94'!G20+'95'!G20</f>
        <v>4</v>
      </c>
      <c r="H20" s="538">
        <f>+'91'!H20+'92'!H20+'93'!H20+'94'!H20+'95'!H20</f>
        <v>10</v>
      </c>
      <c r="I20" s="816">
        <f>+'91'!I20+'92'!I20+'93'!I20+'94'!I20+'95'!I20</f>
        <v>2</v>
      </c>
      <c r="J20" s="538">
        <f>+'91'!J20+'92'!J20+'93'!J20+'94'!J20+'95'!J20</f>
        <v>4</v>
      </c>
      <c r="K20" s="537">
        <f>+'91'!K20+'92'!K20+'93'!K20+'94'!K20+'95'!K20</f>
        <v>3</v>
      </c>
      <c r="L20" s="537">
        <f>+'91'!L20+'92'!L20+'93'!L20+'94'!L20+'95'!L20</f>
        <v>11</v>
      </c>
      <c r="M20" s="798">
        <f t="shared" si="2"/>
        <v>89</v>
      </c>
      <c r="N20" s="799">
        <f t="shared" si="2"/>
        <v>108</v>
      </c>
      <c r="O20" s="537">
        <f>+'91'!O20+'92'!O20+'93'!O20+'94'!O20+'95'!O20</f>
        <v>30</v>
      </c>
      <c r="P20" s="537">
        <f>+'91'!P20+'92'!P20+'93'!P20+'94'!P20+'95'!P20</f>
        <v>43</v>
      </c>
      <c r="Q20" s="816">
        <f>+'91'!Q20+'92'!Q20+'93'!Q20+'94'!Q20+'95'!Q20</f>
        <v>6</v>
      </c>
      <c r="R20" s="538">
        <f>+'91'!R20+'92'!R20+'93'!R20+'94'!R20+'95'!R20</f>
        <v>16</v>
      </c>
      <c r="S20" s="537">
        <f>+'91'!S20+'92'!S20+'93'!S20+'94'!S20+'95'!S20</f>
        <v>4</v>
      </c>
      <c r="T20" s="537">
        <f>+'91'!T20+'92'!T20+'93'!T20+'94'!T20+'95'!T20</f>
        <v>9</v>
      </c>
      <c r="U20" s="816">
        <f>+'91'!U20+'92'!U20+'93'!U20+'94'!U20+'95'!U20</f>
        <v>4</v>
      </c>
      <c r="V20" s="538">
        <f>+'91'!V20+'92'!V20+'93'!V20+'94'!V20+'95'!V20</f>
        <v>3</v>
      </c>
      <c r="W20" s="537">
        <f>+'91'!W20+'92'!W20+'93'!W20+'94'!W20+'95'!W20</f>
        <v>34</v>
      </c>
      <c r="X20" s="537">
        <f>+'91'!X20+'92'!X20+'93'!X20+'94'!X20+'95'!X20</f>
        <v>32</v>
      </c>
      <c r="Y20" s="816">
        <f>+'91'!Y20+'92'!Y20+'93'!Y20+'94'!Y20+'95'!Y20</f>
        <v>11</v>
      </c>
      <c r="Z20" s="538">
        <f>+'91'!Z20+'92'!Z20+'93'!Z20+'94'!Z20+'95'!Z20</f>
        <v>5</v>
      </c>
      <c r="AA20" s="537">
        <f>+'91'!AA20+'92'!AA20+'93'!AA20+'94'!AA20+'95'!AA20</f>
        <v>5</v>
      </c>
      <c r="AB20" s="537">
        <f>+'91'!AB20+'92'!AB20+'93'!AB20+'94'!AB20+'95'!AB20</f>
        <v>2</v>
      </c>
      <c r="AC20" s="828">
        <f t="shared" si="4"/>
        <v>127</v>
      </c>
      <c r="AD20" s="829">
        <f t="shared" si="4"/>
        <v>157</v>
      </c>
      <c r="AE20" s="830">
        <f t="shared" si="5"/>
        <v>284</v>
      </c>
    </row>
    <row r="21" spans="1:31" ht="19.5" customHeight="1">
      <c r="A21" s="535" t="s">
        <v>204</v>
      </c>
      <c r="B21" s="536" t="s">
        <v>205</v>
      </c>
      <c r="C21" s="806">
        <f t="shared" si="3"/>
        <v>137</v>
      </c>
      <c r="D21" s="807">
        <f t="shared" si="3"/>
        <v>194</v>
      </c>
      <c r="E21" s="537">
        <f>+'91'!E21+'92'!E21+'93'!E21+'94'!E21+'95'!E21</f>
        <v>80</v>
      </c>
      <c r="F21" s="537">
        <f>+'91'!F21+'92'!F21+'93'!F21+'94'!F21+'95'!F21</f>
        <v>128</v>
      </c>
      <c r="G21" s="816">
        <f>+'91'!G21+'92'!G21+'93'!G21+'94'!G21+'95'!G21</f>
        <v>30</v>
      </c>
      <c r="H21" s="538">
        <f>+'91'!H21+'92'!H21+'93'!H21+'94'!H21+'95'!H21</f>
        <v>33</v>
      </c>
      <c r="I21" s="816">
        <f>+'91'!I21+'92'!I21+'93'!I21+'94'!I21+'95'!I21</f>
        <v>12</v>
      </c>
      <c r="J21" s="538">
        <f>+'91'!J21+'92'!J21+'93'!J21+'94'!J21+'95'!J21</f>
        <v>18</v>
      </c>
      <c r="K21" s="537">
        <f>+'91'!K21+'92'!K21+'93'!K21+'94'!K21+'95'!K21</f>
        <v>15</v>
      </c>
      <c r="L21" s="537">
        <f>+'91'!L21+'92'!L21+'93'!L21+'94'!L21+'95'!L21</f>
        <v>15</v>
      </c>
      <c r="M21" s="798">
        <f t="shared" si="2"/>
        <v>192</v>
      </c>
      <c r="N21" s="799">
        <f t="shared" si="2"/>
        <v>199</v>
      </c>
      <c r="O21" s="537">
        <f>+'91'!O21+'92'!O21+'93'!O21+'94'!O21+'95'!O21</f>
        <v>80</v>
      </c>
      <c r="P21" s="537">
        <f>+'91'!P21+'92'!P21+'93'!P21+'94'!P21+'95'!P21</f>
        <v>82</v>
      </c>
      <c r="Q21" s="816">
        <f>+'91'!Q21+'92'!Q21+'93'!Q21+'94'!Q21+'95'!Q21</f>
        <v>22</v>
      </c>
      <c r="R21" s="538">
        <f>+'91'!R21+'92'!R21+'93'!R21+'94'!R21+'95'!R21</f>
        <v>29</v>
      </c>
      <c r="S21" s="537">
        <f>+'91'!S21+'92'!S21+'93'!S21+'94'!S21+'95'!S21</f>
        <v>22</v>
      </c>
      <c r="T21" s="537">
        <f>+'91'!T21+'92'!T21+'93'!T21+'94'!T21+'95'!T21</f>
        <v>20</v>
      </c>
      <c r="U21" s="816">
        <f>+'91'!U21+'92'!U21+'93'!U21+'94'!U21+'95'!U21</f>
        <v>11</v>
      </c>
      <c r="V21" s="538">
        <f>+'91'!V21+'92'!V21+'93'!V21+'94'!V21+'95'!V21</f>
        <v>14</v>
      </c>
      <c r="W21" s="537">
        <f>+'91'!W21+'92'!W21+'93'!W21+'94'!W21+'95'!W21</f>
        <v>36</v>
      </c>
      <c r="X21" s="537">
        <f>+'91'!X21+'92'!X21+'93'!X21+'94'!X21+'95'!X21</f>
        <v>36</v>
      </c>
      <c r="Y21" s="816">
        <f>+'91'!Y21+'92'!Y21+'93'!Y21+'94'!Y21+'95'!Y21</f>
        <v>21</v>
      </c>
      <c r="Z21" s="538">
        <f>+'91'!Z21+'92'!Z21+'93'!Z21+'94'!Z21+'95'!Z21</f>
        <v>18</v>
      </c>
      <c r="AA21" s="537">
        <f>+'91'!AA21+'92'!AA21+'93'!AA21+'94'!AA21+'95'!AA21</f>
        <v>10</v>
      </c>
      <c r="AB21" s="537">
        <f>+'91'!AB21+'92'!AB21+'93'!AB21+'94'!AB21+'95'!AB21</f>
        <v>9</v>
      </c>
      <c r="AC21" s="828">
        <f t="shared" si="4"/>
        <v>339</v>
      </c>
      <c r="AD21" s="829">
        <f t="shared" si="4"/>
        <v>402</v>
      </c>
      <c r="AE21" s="830">
        <f t="shared" si="5"/>
        <v>741</v>
      </c>
    </row>
    <row r="22" spans="1:31" ht="19.5" customHeight="1">
      <c r="A22" s="535" t="s">
        <v>649</v>
      </c>
      <c r="B22" s="536" t="s">
        <v>650</v>
      </c>
      <c r="C22" s="806">
        <f t="shared" si="3"/>
        <v>288</v>
      </c>
      <c r="D22" s="807">
        <f t="shared" si="3"/>
        <v>462</v>
      </c>
      <c r="E22" s="537">
        <f>+'91'!E22+'92'!E22+'93'!E22+'94'!E22+'95'!E22</f>
        <v>171</v>
      </c>
      <c r="F22" s="537">
        <f>+'91'!F22+'92'!F22+'93'!F22+'94'!F22+'95'!F22</f>
        <v>274</v>
      </c>
      <c r="G22" s="816">
        <f>+'91'!G22+'92'!G22+'93'!G22+'94'!G22+'95'!G22</f>
        <v>61</v>
      </c>
      <c r="H22" s="538">
        <f>+'91'!H22+'92'!H22+'93'!H22+'94'!H22+'95'!H22</f>
        <v>79</v>
      </c>
      <c r="I22" s="816">
        <f>+'91'!I22+'92'!I22+'93'!I22+'94'!I22+'95'!I22</f>
        <v>38</v>
      </c>
      <c r="J22" s="538">
        <f>+'91'!J22+'92'!J22+'93'!J22+'94'!J22+'95'!J22</f>
        <v>65</v>
      </c>
      <c r="K22" s="537">
        <f>+'91'!K22+'92'!K22+'93'!K22+'94'!K22+'95'!K22</f>
        <v>18</v>
      </c>
      <c r="L22" s="537">
        <f>+'91'!L22+'92'!L22+'93'!L22+'94'!L22+'95'!L22</f>
        <v>44</v>
      </c>
      <c r="M22" s="798">
        <f t="shared" si="2"/>
        <v>460</v>
      </c>
      <c r="N22" s="799">
        <f t="shared" si="2"/>
        <v>631</v>
      </c>
      <c r="O22" s="537">
        <f>+'91'!O22+'92'!O22+'93'!O22+'94'!O22+'95'!O22</f>
        <v>226</v>
      </c>
      <c r="P22" s="537">
        <f>+'91'!P22+'92'!P22+'93'!P22+'94'!P22+'95'!P22</f>
        <v>288</v>
      </c>
      <c r="Q22" s="816">
        <f>+'91'!Q22+'92'!Q22+'93'!Q22+'94'!Q22+'95'!Q22</f>
        <v>49</v>
      </c>
      <c r="R22" s="538">
        <f>+'91'!R22+'92'!R22+'93'!R22+'94'!R22+'95'!R22</f>
        <v>65</v>
      </c>
      <c r="S22" s="537">
        <f>+'91'!S22+'92'!S22+'93'!S22+'94'!S22+'95'!S22</f>
        <v>38</v>
      </c>
      <c r="T22" s="537">
        <f>+'91'!T22+'92'!T22+'93'!T22+'94'!T22+'95'!T22</f>
        <v>54</v>
      </c>
      <c r="U22" s="816">
        <f>+'91'!U22+'92'!U22+'93'!U22+'94'!U22+'95'!U22</f>
        <v>15</v>
      </c>
      <c r="V22" s="538">
        <f>+'91'!V22+'92'!V22+'93'!V22+'94'!V22+'95'!V22</f>
        <v>31</v>
      </c>
      <c r="W22" s="537">
        <f>+'91'!W22+'92'!W22+'93'!W22+'94'!W22+'95'!W22</f>
        <v>87</v>
      </c>
      <c r="X22" s="537">
        <f>+'91'!X22+'92'!X22+'93'!X22+'94'!X22+'95'!X22</f>
        <v>138</v>
      </c>
      <c r="Y22" s="816">
        <f>+'91'!Y22+'92'!Y22+'93'!Y22+'94'!Y22+'95'!Y22</f>
        <v>45</v>
      </c>
      <c r="Z22" s="538">
        <f>+'91'!Z22+'92'!Z22+'93'!Z22+'94'!Z22+'95'!Z22</f>
        <v>55</v>
      </c>
      <c r="AA22" s="537">
        <f>+'91'!AA22+'92'!AA22+'93'!AA22+'94'!AA22+'95'!AA22</f>
        <v>12</v>
      </c>
      <c r="AB22" s="537">
        <f>+'91'!AB22+'92'!AB22+'93'!AB22+'94'!AB22+'95'!AB22</f>
        <v>35</v>
      </c>
      <c r="AC22" s="828">
        <f t="shared" si="4"/>
        <v>760</v>
      </c>
      <c r="AD22" s="829">
        <f t="shared" si="4"/>
        <v>1128</v>
      </c>
      <c r="AE22" s="830">
        <f t="shared" si="5"/>
        <v>1888</v>
      </c>
    </row>
    <row r="23" spans="1:31" ht="18.75" customHeight="1">
      <c r="A23" s="535" t="s">
        <v>206</v>
      </c>
      <c r="B23" s="536" t="s">
        <v>207</v>
      </c>
      <c r="C23" s="806">
        <f t="shared" si="3"/>
        <v>0</v>
      </c>
      <c r="D23" s="807">
        <f t="shared" si="3"/>
        <v>1103</v>
      </c>
      <c r="E23" s="537">
        <f>+'91'!E23+'92'!E23+'93'!E23+'94'!E23+'95'!E23</f>
        <v>0</v>
      </c>
      <c r="F23" s="537">
        <f>+'91'!F23+'92'!F23+'93'!F23+'94'!F23+'95'!F23</f>
        <v>695</v>
      </c>
      <c r="G23" s="816">
        <f>+'91'!G23+'92'!G23+'93'!G23+'94'!G23+'95'!G23</f>
        <v>0</v>
      </c>
      <c r="H23" s="538">
        <f>+'91'!H23+'92'!H23+'93'!H23+'94'!H23+'95'!H23</f>
        <v>162</v>
      </c>
      <c r="I23" s="816">
        <f>+'91'!I23+'92'!I23+'93'!I23+'94'!I23+'95'!I23</f>
        <v>0</v>
      </c>
      <c r="J23" s="538">
        <f>+'91'!J23+'92'!J23+'93'!J23+'94'!J23+'95'!J23</f>
        <v>145</v>
      </c>
      <c r="K23" s="537">
        <f>+'91'!K23+'92'!K23+'93'!K23+'94'!K23+'95'!K23</f>
        <v>0</v>
      </c>
      <c r="L23" s="537">
        <f>+'91'!L23+'92'!L23+'93'!L23+'94'!L23+'95'!L23</f>
        <v>101</v>
      </c>
      <c r="M23" s="798">
        <f t="shared" si="2"/>
        <v>0</v>
      </c>
      <c r="N23" s="799">
        <f t="shared" si="2"/>
        <v>1661</v>
      </c>
      <c r="O23" s="537">
        <f>+'91'!O23+'92'!O23+'93'!O23+'94'!O23+'95'!O23</f>
        <v>0</v>
      </c>
      <c r="P23" s="537">
        <f>+'91'!P23+'92'!P23+'93'!P23+'94'!P23+'95'!P23</f>
        <v>905</v>
      </c>
      <c r="Q23" s="816">
        <f>+'91'!Q23+'92'!Q23+'93'!Q23+'94'!Q23+'95'!Q23</f>
        <v>0</v>
      </c>
      <c r="R23" s="538">
        <f>+'91'!R23+'92'!R23+'93'!R23+'94'!R23+'95'!R23</f>
        <v>160</v>
      </c>
      <c r="S23" s="537">
        <f>+'91'!S23+'92'!S23+'93'!S23+'94'!S23+'95'!S23</f>
        <v>0</v>
      </c>
      <c r="T23" s="537">
        <f>+'91'!T23+'92'!T23+'93'!T23+'94'!T23+'95'!T23</f>
        <v>161</v>
      </c>
      <c r="U23" s="816">
        <f>+'91'!U23+'92'!U23+'93'!U23+'94'!U23+'95'!U23</f>
        <v>0</v>
      </c>
      <c r="V23" s="538">
        <f>+'91'!V23+'92'!V23+'93'!V23+'94'!V23+'95'!V23</f>
        <v>59</v>
      </c>
      <c r="W23" s="537">
        <f>+'91'!W23+'92'!W23+'93'!W23+'94'!W23+'95'!W23</f>
        <v>0</v>
      </c>
      <c r="X23" s="537">
        <f>+'91'!X23+'92'!X23+'93'!X23+'94'!X23+'95'!X23</f>
        <v>261</v>
      </c>
      <c r="Y23" s="816">
        <f>+'91'!Y23+'92'!Y23+'93'!Y23+'94'!Y23+'95'!Y23</f>
        <v>0</v>
      </c>
      <c r="Z23" s="538">
        <f>+'91'!Z23+'92'!Z23+'93'!Z23+'94'!Z23+'95'!Z23</f>
        <v>115</v>
      </c>
      <c r="AA23" s="537">
        <f>+'91'!AA23+'92'!AA23+'93'!AA23+'94'!AA23+'95'!AA23</f>
        <v>0</v>
      </c>
      <c r="AB23" s="537">
        <f>+'91'!AB23+'92'!AB23+'93'!AB23+'94'!AB23+'95'!AB23</f>
        <v>305</v>
      </c>
      <c r="AC23" s="828">
        <f t="shared" si="4"/>
        <v>0</v>
      </c>
      <c r="AD23" s="829">
        <f t="shared" si="4"/>
        <v>3069</v>
      </c>
      <c r="AE23" s="830">
        <f t="shared" si="5"/>
        <v>3069</v>
      </c>
    </row>
    <row r="24" spans="1:31" ht="19.5" customHeight="1">
      <c r="A24" s="535" t="s">
        <v>657</v>
      </c>
      <c r="B24" s="536" t="s">
        <v>658</v>
      </c>
      <c r="C24" s="806">
        <f t="shared" si="3"/>
        <v>116</v>
      </c>
      <c r="D24" s="807">
        <f t="shared" si="3"/>
        <v>87</v>
      </c>
      <c r="E24" s="537">
        <f>+'91'!E24+'92'!E24+'93'!E24+'94'!E24+'95'!E24</f>
        <v>68</v>
      </c>
      <c r="F24" s="537">
        <f>+'91'!F24+'92'!F24+'93'!F24+'94'!F24+'95'!F24</f>
        <v>55</v>
      </c>
      <c r="G24" s="816">
        <f>+'91'!G24+'92'!G24+'93'!G24+'94'!G24+'95'!G24</f>
        <v>17</v>
      </c>
      <c r="H24" s="538">
        <f>+'91'!H24+'92'!H24+'93'!H24+'94'!H24+'95'!H24</f>
        <v>13</v>
      </c>
      <c r="I24" s="816">
        <f>+'91'!I24+'92'!I24+'93'!I24+'94'!I24+'95'!I24</f>
        <v>18</v>
      </c>
      <c r="J24" s="538">
        <f>+'91'!J24+'92'!J24+'93'!J24+'94'!J24+'95'!J24</f>
        <v>14</v>
      </c>
      <c r="K24" s="537">
        <f>+'91'!K24+'92'!K24+'93'!K24+'94'!K24+'95'!K24</f>
        <v>13</v>
      </c>
      <c r="L24" s="537">
        <f>+'91'!L24+'92'!L24+'93'!L24+'94'!L24+'95'!L24</f>
        <v>5</v>
      </c>
      <c r="M24" s="798">
        <f t="shared" si="2"/>
        <v>115</v>
      </c>
      <c r="N24" s="799">
        <f t="shared" si="2"/>
        <v>109</v>
      </c>
      <c r="O24" s="537">
        <f>+'91'!O24+'92'!O24+'93'!O24+'94'!O24+'95'!O24</f>
        <v>68</v>
      </c>
      <c r="P24" s="537">
        <f>+'91'!P24+'92'!P24+'93'!P24+'94'!P24+'95'!P24</f>
        <v>58</v>
      </c>
      <c r="Q24" s="816">
        <f>+'91'!Q24+'92'!Q24+'93'!Q24+'94'!Q24+'95'!Q24</f>
        <v>4</v>
      </c>
      <c r="R24" s="538">
        <f>+'91'!R24+'92'!R24+'93'!R24+'94'!R24+'95'!R24</f>
        <v>14</v>
      </c>
      <c r="S24" s="537">
        <f>+'91'!S24+'92'!S24+'93'!S24+'94'!S24+'95'!S24</f>
        <v>10</v>
      </c>
      <c r="T24" s="537">
        <f>+'91'!T24+'92'!T24+'93'!T24+'94'!T24+'95'!T24</f>
        <v>13</v>
      </c>
      <c r="U24" s="816">
        <f>+'91'!U24+'92'!U24+'93'!U24+'94'!U24+'95'!U24</f>
        <v>2</v>
      </c>
      <c r="V24" s="538">
        <f>+'91'!V24+'92'!V24+'93'!V24+'94'!V24+'95'!V24</f>
        <v>5</v>
      </c>
      <c r="W24" s="537">
        <f>+'91'!W24+'92'!W24+'93'!W24+'94'!W24+'95'!W24</f>
        <v>24</v>
      </c>
      <c r="X24" s="537">
        <f>+'91'!X24+'92'!X24+'93'!X24+'94'!X24+'95'!X24</f>
        <v>16</v>
      </c>
      <c r="Y24" s="816">
        <f>+'91'!Y24+'92'!Y24+'93'!Y24+'94'!Y24+'95'!Y24</f>
        <v>7</v>
      </c>
      <c r="Z24" s="538">
        <f>+'91'!Z24+'92'!Z24+'93'!Z24+'94'!Z24+'95'!Z24</f>
        <v>3</v>
      </c>
      <c r="AA24" s="537">
        <f>+'91'!AA24+'92'!AA24+'93'!AA24+'94'!AA24+'95'!AA24</f>
        <v>5</v>
      </c>
      <c r="AB24" s="537">
        <f>+'91'!AB24+'92'!AB24+'93'!AB24+'94'!AB24+'95'!AB24</f>
        <v>7</v>
      </c>
      <c r="AC24" s="828">
        <f t="shared" si="4"/>
        <v>236</v>
      </c>
      <c r="AD24" s="829">
        <f t="shared" si="4"/>
        <v>203</v>
      </c>
      <c r="AE24" s="830">
        <f t="shared" si="5"/>
        <v>439</v>
      </c>
    </row>
    <row r="25" spans="1:31" ht="20.25" customHeight="1">
      <c r="A25" s="535" t="s">
        <v>659</v>
      </c>
      <c r="B25" s="536" t="s">
        <v>660</v>
      </c>
      <c r="C25" s="806">
        <f t="shared" si="3"/>
        <v>26</v>
      </c>
      <c r="D25" s="807">
        <f t="shared" si="3"/>
        <v>18</v>
      </c>
      <c r="E25" s="537">
        <f>+'91'!E25+'92'!E25+'93'!E25+'94'!E25+'95'!E25</f>
        <v>11</v>
      </c>
      <c r="F25" s="537">
        <f>+'91'!F25+'92'!F25+'93'!F25+'94'!F25+'95'!F25</f>
        <v>8</v>
      </c>
      <c r="G25" s="816">
        <f>+'91'!G25+'92'!G25+'93'!G25+'94'!G25+'95'!G25</f>
        <v>5</v>
      </c>
      <c r="H25" s="538">
        <f>+'91'!H25+'92'!H25+'93'!H25+'94'!H25+'95'!H25</f>
        <v>4</v>
      </c>
      <c r="I25" s="816">
        <f>+'91'!I25+'92'!I25+'93'!I25+'94'!I25+'95'!I25</f>
        <v>7</v>
      </c>
      <c r="J25" s="538">
        <f>+'91'!J25+'92'!J25+'93'!J25+'94'!J25+'95'!J25</f>
        <v>4</v>
      </c>
      <c r="K25" s="537">
        <f>+'91'!K25+'92'!K25+'93'!K25+'94'!K25+'95'!K25</f>
        <v>3</v>
      </c>
      <c r="L25" s="537">
        <f>+'91'!L25+'92'!L25+'93'!L25+'94'!L25+'95'!L25</f>
        <v>2</v>
      </c>
      <c r="M25" s="798">
        <f t="shared" si="2"/>
        <v>47</v>
      </c>
      <c r="N25" s="799">
        <f t="shared" si="2"/>
        <v>19</v>
      </c>
      <c r="O25" s="537">
        <f>+'91'!O25+'92'!O25+'93'!O25+'94'!O25+'95'!O25</f>
        <v>22</v>
      </c>
      <c r="P25" s="537">
        <f>+'91'!P25+'92'!P25+'93'!P25+'94'!P25+'95'!P25</f>
        <v>10</v>
      </c>
      <c r="Q25" s="816">
        <f>+'91'!Q25+'92'!Q25+'93'!Q25+'94'!Q25+'95'!Q25</f>
        <v>6</v>
      </c>
      <c r="R25" s="538">
        <f>+'91'!R25+'92'!R25+'93'!R25+'94'!R25+'95'!R25</f>
        <v>0</v>
      </c>
      <c r="S25" s="537">
        <f>+'91'!S25+'92'!S25+'93'!S25+'94'!S25+'95'!S25</f>
        <v>3</v>
      </c>
      <c r="T25" s="537">
        <f>+'91'!T25+'92'!T25+'93'!T25+'94'!T25+'95'!T25</f>
        <v>1</v>
      </c>
      <c r="U25" s="816">
        <f>+'91'!U25+'92'!U25+'93'!U25+'94'!U25+'95'!U25</f>
        <v>4</v>
      </c>
      <c r="V25" s="538">
        <f>+'91'!V25+'92'!V25+'93'!V25+'94'!V25+'95'!V25</f>
        <v>0</v>
      </c>
      <c r="W25" s="537">
        <f>+'91'!W25+'92'!W25+'93'!W25+'94'!W25+'95'!W25</f>
        <v>9</v>
      </c>
      <c r="X25" s="537">
        <f>+'91'!X25+'92'!X25+'93'!X25+'94'!X25+'95'!X25</f>
        <v>4</v>
      </c>
      <c r="Y25" s="816">
        <f>+'91'!Y25+'92'!Y25+'93'!Y25+'94'!Y25+'95'!Y25</f>
        <v>3</v>
      </c>
      <c r="Z25" s="538">
        <f>+'91'!Z25+'92'!Z25+'93'!Z25+'94'!Z25+'95'!Z25</f>
        <v>4</v>
      </c>
      <c r="AA25" s="537">
        <f>+'91'!AA25+'92'!AA25+'93'!AA25+'94'!AA25+'95'!AA25</f>
        <v>0</v>
      </c>
      <c r="AB25" s="537">
        <f>+'91'!AB25+'92'!AB25+'93'!AB25+'94'!AB25+'95'!AB25</f>
        <v>3</v>
      </c>
      <c r="AC25" s="828">
        <f t="shared" si="4"/>
        <v>73</v>
      </c>
      <c r="AD25" s="829">
        <f t="shared" si="4"/>
        <v>40</v>
      </c>
      <c r="AE25" s="830">
        <f t="shared" si="5"/>
        <v>113</v>
      </c>
    </row>
    <row r="26" spans="1:31" ht="21.75" customHeight="1">
      <c r="A26" s="535" t="s">
        <v>653</v>
      </c>
      <c r="B26" s="536" t="s">
        <v>673</v>
      </c>
      <c r="C26" s="806">
        <f t="shared" si="3"/>
        <v>24</v>
      </c>
      <c r="D26" s="807">
        <f t="shared" si="3"/>
        <v>19</v>
      </c>
      <c r="E26" s="537">
        <f>+'91'!E26+'92'!E26+'93'!E26+'94'!E26+'95'!E26</f>
        <v>16</v>
      </c>
      <c r="F26" s="537">
        <f>+'91'!F26+'92'!F26+'93'!F26+'94'!F26+'95'!F26</f>
        <v>13</v>
      </c>
      <c r="G26" s="816">
        <f>+'91'!G26+'92'!G26+'93'!G26+'94'!G26+'95'!G26</f>
        <v>5</v>
      </c>
      <c r="H26" s="538">
        <f>+'91'!H26+'92'!H26+'93'!H26+'94'!H26+'95'!H26</f>
        <v>0</v>
      </c>
      <c r="I26" s="816">
        <f>+'91'!I26+'92'!I26+'93'!I26+'94'!I26+'95'!I26</f>
        <v>2</v>
      </c>
      <c r="J26" s="538">
        <f>+'91'!J26+'92'!J26+'93'!J26+'94'!J26+'95'!J26</f>
        <v>3</v>
      </c>
      <c r="K26" s="537">
        <f>+'91'!K26+'92'!K26+'93'!K26+'94'!K26+'95'!K26</f>
        <v>1</v>
      </c>
      <c r="L26" s="537">
        <f>+'91'!L26+'92'!L26+'93'!L26+'94'!L26+'95'!L26</f>
        <v>3</v>
      </c>
      <c r="M26" s="798">
        <f t="shared" si="2"/>
        <v>25</v>
      </c>
      <c r="N26" s="799">
        <f t="shared" si="2"/>
        <v>19</v>
      </c>
      <c r="O26" s="537">
        <f>+'91'!O26+'92'!O26+'93'!O26+'94'!O26+'95'!O26</f>
        <v>4</v>
      </c>
      <c r="P26" s="537">
        <f>+'91'!P26+'92'!P26+'93'!P26+'94'!P26+'95'!P26</f>
        <v>3</v>
      </c>
      <c r="Q26" s="816">
        <f>+'91'!Q26+'92'!Q26+'93'!Q26+'94'!Q26+'95'!Q26</f>
        <v>4</v>
      </c>
      <c r="R26" s="538">
        <f>+'91'!R26+'92'!R26+'93'!R26+'94'!R26+'95'!R26</f>
        <v>7</v>
      </c>
      <c r="S26" s="537">
        <f>+'91'!S26+'92'!S26+'93'!S26+'94'!S26+'95'!S26</f>
        <v>1</v>
      </c>
      <c r="T26" s="537">
        <f>+'91'!T26+'92'!T26+'93'!T26+'94'!T26+'95'!T26</f>
        <v>0</v>
      </c>
      <c r="U26" s="816">
        <f>+'91'!U26+'92'!U26+'93'!U26+'94'!U26+'95'!U26</f>
        <v>0</v>
      </c>
      <c r="V26" s="538">
        <f>+'91'!V26+'92'!V26+'93'!V26+'94'!V26+'95'!V26</f>
        <v>1</v>
      </c>
      <c r="W26" s="537">
        <f>+'91'!W26+'92'!W26+'93'!W26+'94'!W26+'95'!W26</f>
        <v>11</v>
      </c>
      <c r="X26" s="537">
        <f>+'91'!X26+'92'!X26+'93'!X26+'94'!X26+'95'!X26</f>
        <v>7</v>
      </c>
      <c r="Y26" s="816">
        <f>+'91'!Y26+'92'!Y26+'93'!Y26+'94'!Y26+'95'!Y26</f>
        <v>5</v>
      </c>
      <c r="Z26" s="538">
        <f>+'91'!Z26+'92'!Z26+'93'!Z26+'94'!Z26+'95'!Z26</f>
        <v>1</v>
      </c>
      <c r="AA26" s="537">
        <f>+'91'!AA26+'92'!AA26+'93'!AA26+'94'!AA26+'95'!AA26</f>
        <v>2</v>
      </c>
      <c r="AB26" s="537">
        <f>+'91'!AB26+'92'!AB26+'93'!AB26+'94'!AB26+'95'!AB26</f>
        <v>2</v>
      </c>
      <c r="AC26" s="828">
        <f t="shared" si="4"/>
        <v>51</v>
      </c>
      <c r="AD26" s="829">
        <f t="shared" si="4"/>
        <v>40</v>
      </c>
      <c r="AE26" s="830">
        <f>SUM(AC26:AD26)</f>
        <v>91</v>
      </c>
    </row>
    <row r="27" spans="1:31" ht="21.75" customHeight="1">
      <c r="A27" s="535" t="s">
        <v>645</v>
      </c>
      <c r="B27" s="539" t="s">
        <v>208</v>
      </c>
      <c r="C27" s="806">
        <f>+E27+G27+I27+K27</f>
        <v>488</v>
      </c>
      <c r="D27" s="807">
        <f>+F27+H27+J27+L27</f>
        <v>392</v>
      </c>
      <c r="E27" s="537">
        <f>+'91'!E27+'92'!E27+'93'!E27+'94'!E27+'95'!E27</f>
        <v>309</v>
      </c>
      <c r="F27" s="537">
        <f>+'91'!F27+'92'!F27+'93'!F27+'94'!F27+'95'!F27</f>
        <v>242</v>
      </c>
      <c r="G27" s="816">
        <f>+'91'!G27+'92'!G27+'93'!G27+'94'!G27+'95'!G27</f>
        <v>67</v>
      </c>
      <c r="H27" s="538">
        <f>+'91'!H27+'92'!H27+'93'!H27+'94'!H27+'95'!H27</f>
        <v>70</v>
      </c>
      <c r="I27" s="816">
        <f>+'91'!I27+'92'!I27+'93'!I27+'94'!I27+'95'!I27</f>
        <v>62</v>
      </c>
      <c r="J27" s="538">
        <f>+'91'!J27+'92'!J27+'93'!J27+'94'!J27+'95'!J27</f>
        <v>41</v>
      </c>
      <c r="K27" s="537">
        <f>+'91'!K27+'92'!K27+'93'!K27+'94'!K27+'95'!K27</f>
        <v>50</v>
      </c>
      <c r="L27" s="537">
        <f>+'91'!L27+'92'!L27+'93'!L27+'94'!L27+'95'!L27</f>
        <v>39</v>
      </c>
      <c r="M27" s="798">
        <f t="shared" ref="M27:N29" si="6">+O27+Q27+S27+U27+W27+Y27</f>
        <v>707</v>
      </c>
      <c r="N27" s="799">
        <f t="shared" si="6"/>
        <v>633</v>
      </c>
      <c r="O27" s="537">
        <f>+'91'!O27+'92'!O27+'93'!O27+'94'!O27+'95'!O27</f>
        <v>340</v>
      </c>
      <c r="P27" s="537">
        <f>+'91'!P27+'92'!P27+'93'!P27+'94'!P27+'95'!P27</f>
        <v>304</v>
      </c>
      <c r="Q27" s="816">
        <f>+'91'!Q27+'92'!Q27+'93'!Q27+'94'!Q27+'95'!Q27</f>
        <v>80</v>
      </c>
      <c r="R27" s="538">
        <f>+'91'!R27+'92'!R27+'93'!R27+'94'!R27+'95'!R27</f>
        <v>81</v>
      </c>
      <c r="S27" s="537">
        <f>+'91'!S27+'92'!S27+'93'!S27+'94'!S27+'95'!S27</f>
        <v>63</v>
      </c>
      <c r="T27" s="537">
        <f>+'91'!T27+'92'!T27+'93'!T27+'94'!T27+'95'!T27</f>
        <v>66</v>
      </c>
      <c r="U27" s="816">
        <f>+'91'!U27+'92'!U27+'93'!U27+'94'!U27+'95'!U27</f>
        <v>33</v>
      </c>
      <c r="V27" s="538">
        <f>+'91'!V27+'92'!V27+'93'!V27+'94'!V27+'95'!V27</f>
        <v>26</v>
      </c>
      <c r="W27" s="537">
        <f>+'91'!W27+'92'!W27+'93'!W27+'94'!W27+'95'!W27</f>
        <v>144</v>
      </c>
      <c r="X27" s="537">
        <f>+'91'!X27+'92'!X27+'93'!X27+'94'!X27+'95'!X27</f>
        <v>108</v>
      </c>
      <c r="Y27" s="816">
        <f>+'91'!Y27+'92'!Y27+'93'!Y27+'94'!Y27+'95'!Y27</f>
        <v>47</v>
      </c>
      <c r="Z27" s="538">
        <f>+'91'!Z27+'92'!Z27+'93'!Z27+'94'!Z27+'95'!Z27</f>
        <v>48</v>
      </c>
      <c r="AA27" s="537">
        <f>+'91'!AA27+'92'!AA27+'93'!AA27+'94'!AA27+'95'!AA27</f>
        <v>83</v>
      </c>
      <c r="AB27" s="537">
        <f>+'91'!AB27+'92'!AB27+'93'!AB27+'94'!AB27+'95'!AB27</f>
        <v>42</v>
      </c>
      <c r="AC27" s="828">
        <f>+M27+C27+AA27</f>
        <v>1278</v>
      </c>
      <c r="AD27" s="829">
        <f>+N27+D27+AB27</f>
        <v>1067</v>
      </c>
      <c r="AE27" s="830">
        <f>SUM(AC27:AD27)</f>
        <v>2345</v>
      </c>
    </row>
    <row r="28" spans="1:31" ht="21.75" customHeight="1">
      <c r="A28" s="181" t="s">
        <v>1437</v>
      </c>
      <c r="B28" s="211" t="s">
        <v>1439</v>
      </c>
      <c r="C28" s="806">
        <f>+E28+G28+I28+K28</f>
        <v>29</v>
      </c>
      <c r="D28" s="807">
        <f>+F28+H28+J28+L28</f>
        <v>28</v>
      </c>
      <c r="E28" s="537">
        <f>+'91'!E28+'92'!E28+'93'!E28+'94'!E28+'95'!E28</f>
        <v>18</v>
      </c>
      <c r="F28" s="537">
        <f>+'91'!F28+'92'!F28+'93'!F28+'94'!F28+'95'!F28</f>
        <v>19</v>
      </c>
      <c r="G28" s="816">
        <f>+'91'!G28+'92'!G28+'93'!G28+'94'!G28+'95'!G28</f>
        <v>7</v>
      </c>
      <c r="H28" s="538">
        <f>+'91'!H28+'92'!H28+'93'!H28+'94'!H28+'95'!H28</f>
        <v>3</v>
      </c>
      <c r="I28" s="816">
        <f>+'91'!I28+'92'!I28+'93'!I28+'94'!I28+'95'!I28</f>
        <v>2</v>
      </c>
      <c r="J28" s="538">
        <f>+'91'!J28+'92'!J28+'93'!J28+'94'!J28+'95'!J28</f>
        <v>2</v>
      </c>
      <c r="K28" s="537">
        <f>+'91'!K28+'92'!K28+'93'!K28+'94'!K28+'95'!K28</f>
        <v>2</v>
      </c>
      <c r="L28" s="537">
        <f>+'91'!L28+'92'!L28+'93'!L28+'94'!L28+'95'!L28</f>
        <v>4</v>
      </c>
      <c r="M28" s="798">
        <f t="shared" si="6"/>
        <v>49</v>
      </c>
      <c r="N28" s="799">
        <f t="shared" si="6"/>
        <v>48</v>
      </c>
      <c r="O28" s="537">
        <f>+'91'!O28+'92'!O28+'93'!O28+'94'!O28+'95'!O28</f>
        <v>17</v>
      </c>
      <c r="P28" s="537">
        <f>+'91'!P28+'92'!P28+'93'!P28+'94'!P28+'95'!P28</f>
        <v>25</v>
      </c>
      <c r="Q28" s="816">
        <f>+'91'!Q28+'92'!Q28+'93'!Q28+'94'!Q28+'95'!Q28</f>
        <v>9</v>
      </c>
      <c r="R28" s="538">
        <f>+'91'!R28+'92'!R28+'93'!R28+'94'!R28+'95'!R28</f>
        <v>9</v>
      </c>
      <c r="S28" s="537">
        <f>+'91'!S28+'92'!S28+'93'!S28+'94'!S28+'95'!S28</f>
        <v>2</v>
      </c>
      <c r="T28" s="537">
        <f>+'91'!T28+'92'!T28+'93'!T28+'94'!T28+'95'!T28</f>
        <v>3</v>
      </c>
      <c r="U28" s="816">
        <f>+'91'!U28+'92'!U28+'93'!U28+'94'!U28+'95'!U28</f>
        <v>2</v>
      </c>
      <c r="V28" s="538">
        <f>+'91'!V28+'92'!V28+'93'!V28+'94'!V28+'95'!V28</f>
        <v>1</v>
      </c>
      <c r="W28" s="537">
        <f>+'91'!W28+'92'!W28+'93'!W28+'94'!W28+'95'!W28</f>
        <v>11</v>
      </c>
      <c r="X28" s="537">
        <f>+'91'!X28+'92'!X28+'93'!X28+'94'!X28+'95'!X28</f>
        <v>7</v>
      </c>
      <c r="Y28" s="816">
        <f>+'91'!Y28+'92'!Y28+'93'!Y28+'94'!Y28+'95'!Y28</f>
        <v>8</v>
      </c>
      <c r="Z28" s="538">
        <f>+'91'!Z28+'92'!Z28+'93'!Z28+'94'!Z28+'95'!Z28</f>
        <v>3</v>
      </c>
      <c r="AA28" s="537">
        <f>+'91'!AA28+'92'!AA28+'93'!AA28+'94'!AA28+'95'!AA28</f>
        <v>1</v>
      </c>
      <c r="AB28" s="537">
        <f>+'91'!AB28+'92'!AB28+'93'!AB28+'94'!AB28+'95'!AB28</f>
        <v>1</v>
      </c>
      <c r="AC28" s="828">
        <f>+M28+C28+AA28</f>
        <v>79</v>
      </c>
      <c r="AD28" s="829">
        <f>+N28+D28+AB28</f>
        <v>77</v>
      </c>
      <c r="AE28" s="830">
        <f>SUM(AC28:AD28)</f>
        <v>156</v>
      </c>
    </row>
    <row r="29" spans="1:31" ht="27.75" customHeight="1">
      <c r="A29" s="181" t="s">
        <v>1438</v>
      </c>
      <c r="B29" s="211" t="s">
        <v>1440</v>
      </c>
      <c r="C29" s="806">
        <f t="shared" si="3"/>
        <v>1</v>
      </c>
      <c r="D29" s="807">
        <f t="shared" si="3"/>
        <v>0</v>
      </c>
      <c r="E29" s="537">
        <f>+'91'!E29+'92'!E29+'93'!E29+'94'!E29+'95'!E29</f>
        <v>1</v>
      </c>
      <c r="F29" s="537">
        <f>+'91'!F29+'92'!F29+'93'!F29+'94'!F29+'95'!F29</f>
        <v>0</v>
      </c>
      <c r="G29" s="816">
        <f>+'91'!G29+'92'!G29+'93'!G29+'94'!G29+'95'!G29</f>
        <v>0</v>
      </c>
      <c r="H29" s="538">
        <f>+'91'!H29+'92'!H29+'93'!H29+'94'!H29+'95'!H29</f>
        <v>0</v>
      </c>
      <c r="I29" s="816">
        <f>+'91'!I29+'92'!I29+'93'!I29+'94'!I29+'95'!I29</f>
        <v>0</v>
      </c>
      <c r="J29" s="538">
        <f>+'91'!J29+'92'!J29+'93'!J29+'94'!J29+'95'!J29</f>
        <v>0</v>
      </c>
      <c r="K29" s="537">
        <f>+'91'!K29+'92'!K29+'93'!K29+'94'!K29+'95'!K29</f>
        <v>0</v>
      </c>
      <c r="L29" s="537">
        <f>+'91'!L29+'92'!L29+'93'!L29+'94'!L29+'95'!L29</f>
        <v>0</v>
      </c>
      <c r="M29" s="798">
        <f t="shared" si="6"/>
        <v>3</v>
      </c>
      <c r="N29" s="799">
        <f t="shared" si="6"/>
        <v>4</v>
      </c>
      <c r="O29" s="537">
        <f>+'91'!O29+'92'!O29+'93'!O29+'94'!O29+'95'!O29</f>
        <v>2</v>
      </c>
      <c r="P29" s="537">
        <f>+'91'!P29+'92'!P29+'93'!P29+'94'!P29+'95'!P29</f>
        <v>1</v>
      </c>
      <c r="Q29" s="816">
        <f>+'91'!Q29+'92'!Q29+'93'!Q29+'94'!Q29+'95'!Q29</f>
        <v>0</v>
      </c>
      <c r="R29" s="538">
        <f>+'91'!R29+'92'!R29+'93'!R29+'94'!R29+'95'!R29</f>
        <v>0</v>
      </c>
      <c r="S29" s="537">
        <f>+'91'!S29+'92'!S29+'93'!S29+'94'!S29+'95'!S29</f>
        <v>0</v>
      </c>
      <c r="T29" s="537">
        <f>+'91'!T29+'92'!T29+'93'!T29+'94'!T29+'95'!T29</f>
        <v>0</v>
      </c>
      <c r="U29" s="816">
        <f>+'91'!U29+'92'!U29+'93'!U29+'94'!U29+'95'!U29</f>
        <v>0</v>
      </c>
      <c r="V29" s="538">
        <f>+'91'!V29+'92'!V29+'93'!V29+'94'!V29+'95'!V29</f>
        <v>0</v>
      </c>
      <c r="W29" s="537">
        <f>+'91'!W29+'92'!W29+'93'!W29+'94'!W29+'95'!W29</f>
        <v>1</v>
      </c>
      <c r="X29" s="537">
        <f>+'91'!X29+'92'!X29+'93'!X29+'94'!X29+'95'!X29</f>
        <v>1</v>
      </c>
      <c r="Y29" s="816">
        <f>+'91'!Y29+'92'!Y29+'93'!Y29+'94'!Y29+'95'!Y29</f>
        <v>0</v>
      </c>
      <c r="Z29" s="538">
        <f>+'91'!Z29+'92'!Z29+'93'!Z29+'94'!Z29+'95'!Z29</f>
        <v>2</v>
      </c>
      <c r="AA29" s="537">
        <f>+'91'!AA29+'92'!AA29+'93'!AA29+'94'!AA29+'95'!AA29</f>
        <v>0</v>
      </c>
      <c r="AB29" s="537">
        <f>+'91'!AB29+'92'!AB29+'93'!AB29+'94'!AB29+'95'!AB29</f>
        <v>0</v>
      </c>
      <c r="AC29" s="828">
        <f t="shared" si="4"/>
        <v>4</v>
      </c>
      <c r="AD29" s="829">
        <f t="shared" si="4"/>
        <v>4</v>
      </c>
      <c r="AE29" s="830">
        <f>SUM(AC29:AD29)</f>
        <v>8</v>
      </c>
    </row>
    <row r="30" spans="1:31" ht="21.75" customHeight="1" thickBot="1">
      <c r="A30" s="540"/>
      <c r="B30" s="540" t="s">
        <v>767</v>
      </c>
      <c r="C30" s="800">
        <f>SUM(C10:C29)</f>
        <v>2954</v>
      </c>
      <c r="D30" s="801">
        <f>SUM(D10:D29)</f>
        <v>4267</v>
      </c>
      <c r="E30" s="568">
        <f>SUM(E10:E29)</f>
        <v>1856</v>
      </c>
      <c r="F30" s="568">
        <f t="shared" ref="F30:AE30" si="7">SUM(F10:F29)</f>
        <v>2643</v>
      </c>
      <c r="G30" s="783">
        <f t="shared" si="7"/>
        <v>493</v>
      </c>
      <c r="H30" s="784">
        <f t="shared" si="7"/>
        <v>692</v>
      </c>
      <c r="I30" s="783">
        <f t="shared" si="7"/>
        <v>358</v>
      </c>
      <c r="J30" s="784">
        <f t="shared" si="7"/>
        <v>540</v>
      </c>
      <c r="K30" s="568">
        <f t="shared" si="7"/>
        <v>247</v>
      </c>
      <c r="L30" s="568">
        <f t="shared" si="7"/>
        <v>392</v>
      </c>
      <c r="M30" s="800">
        <f t="shared" si="7"/>
        <v>4773</v>
      </c>
      <c r="N30" s="801">
        <f t="shared" si="7"/>
        <v>6719</v>
      </c>
      <c r="O30" s="568">
        <f t="shared" si="7"/>
        <v>2245</v>
      </c>
      <c r="P30" s="568">
        <f t="shared" si="7"/>
        <v>3287</v>
      </c>
      <c r="Q30" s="783">
        <f t="shared" si="7"/>
        <v>653</v>
      </c>
      <c r="R30" s="784">
        <f t="shared" si="7"/>
        <v>828</v>
      </c>
      <c r="S30" s="568">
        <f t="shared" si="7"/>
        <v>405</v>
      </c>
      <c r="T30" s="568">
        <f t="shared" si="7"/>
        <v>633</v>
      </c>
      <c r="U30" s="783">
        <f t="shared" si="7"/>
        <v>208</v>
      </c>
      <c r="V30" s="784">
        <f t="shared" si="7"/>
        <v>294</v>
      </c>
      <c r="W30" s="568">
        <f t="shared" si="7"/>
        <v>881</v>
      </c>
      <c r="X30" s="568">
        <f t="shared" si="7"/>
        <v>1152</v>
      </c>
      <c r="Y30" s="783">
        <f t="shared" si="7"/>
        <v>381</v>
      </c>
      <c r="Z30" s="784">
        <f t="shared" si="7"/>
        <v>525</v>
      </c>
      <c r="AA30" s="568">
        <f t="shared" si="7"/>
        <v>371</v>
      </c>
      <c r="AB30" s="568">
        <f t="shared" si="7"/>
        <v>601</v>
      </c>
      <c r="AC30" s="831">
        <f t="shared" si="7"/>
        <v>8098</v>
      </c>
      <c r="AD30" s="832">
        <f t="shared" si="7"/>
        <v>11587</v>
      </c>
      <c r="AE30" s="808">
        <f t="shared" si="7"/>
        <v>19685</v>
      </c>
    </row>
    <row r="31" spans="1:31" ht="21.75" customHeight="1">
      <c r="A31" s="543"/>
      <c r="B31" s="543"/>
      <c r="C31" s="543"/>
      <c r="D31" s="543"/>
      <c r="E31" s="544"/>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5"/>
    </row>
    <row r="32" spans="1:31" ht="21.75" customHeight="1">
      <c r="A32" s="543"/>
      <c r="B32" s="543"/>
      <c r="C32" s="543"/>
      <c r="D32" s="543"/>
      <c r="E32" s="544"/>
      <c r="F32" s="544"/>
      <c r="G32" s="544"/>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5"/>
    </row>
    <row r="33" spans="1:31" ht="21.75" customHeight="1">
      <c r="A33" s="543"/>
      <c r="B33" s="543"/>
      <c r="C33" s="543"/>
      <c r="D33" s="543"/>
      <c r="E33" s="544"/>
      <c r="F33" s="544"/>
      <c r="G33" s="544"/>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5"/>
    </row>
    <row r="34" spans="1:31" ht="15.75" customHeight="1">
      <c r="A34" s="543"/>
      <c r="B34" s="543"/>
      <c r="C34" s="543"/>
      <c r="D34" s="543"/>
      <c r="E34" s="544"/>
      <c r="F34" s="544"/>
      <c r="G34" s="544"/>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5"/>
    </row>
    <row r="35" spans="1:31" ht="18.75" customHeight="1">
      <c r="A35" s="524" t="s">
        <v>209</v>
      </c>
      <c r="B35" s="546"/>
      <c r="C35" s="544"/>
      <c r="D35" s="544"/>
      <c r="E35" s="544"/>
      <c r="F35" s="544"/>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7"/>
    </row>
    <row r="36" spans="1:31">
      <c r="A36" s="524"/>
      <c r="B36" s="548"/>
      <c r="C36" s="549"/>
      <c r="D36" s="549"/>
      <c r="E36" s="549"/>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50"/>
    </row>
    <row r="37" spans="1:31">
      <c r="A37" s="524" t="str">
        <f>+A3</f>
        <v>SERVICIO DE SALUD   ACONCAGUA   2023</v>
      </c>
      <c r="B37" s="548"/>
      <c r="C37" s="549"/>
      <c r="D37" s="549"/>
      <c r="E37" s="549"/>
      <c r="F37" s="549"/>
      <c r="G37" s="549"/>
      <c r="H37" s="549"/>
      <c r="I37" s="549"/>
      <c r="J37" s="549"/>
      <c r="K37" s="549"/>
      <c r="L37" s="549"/>
      <c r="M37" s="549"/>
      <c r="N37" s="549"/>
      <c r="O37" s="549"/>
      <c r="P37" s="549"/>
      <c r="Q37" s="549"/>
      <c r="R37" s="549"/>
      <c r="S37" s="549"/>
      <c r="T37" s="549"/>
      <c r="U37" s="549"/>
      <c r="V37" s="549"/>
      <c r="W37" s="549"/>
      <c r="X37" s="549"/>
      <c r="Y37" s="549"/>
      <c r="Z37" s="549"/>
      <c r="AA37" s="549"/>
      <c r="AB37" s="549"/>
      <c r="AC37" s="549"/>
      <c r="AD37" s="549"/>
      <c r="AE37" s="550"/>
    </row>
    <row r="38" spans="1:31">
      <c r="A38" s="524" t="s">
        <v>626</v>
      </c>
      <c r="B38" s="548"/>
      <c r="C38" s="549"/>
      <c r="D38" s="549"/>
      <c r="E38" s="549"/>
      <c r="F38" s="549"/>
      <c r="G38" s="549"/>
      <c r="H38" s="549"/>
      <c r="I38" s="549"/>
      <c r="J38" s="549"/>
      <c r="K38" s="549"/>
      <c r="L38" s="549"/>
      <c r="M38" s="549"/>
      <c r="N38" s="549"/>
      <c r="O38" s="549"/>
      <c r="P38" s="549"/>
      <c r="Q38" s="549"/>
      <c r="R38" s="549"/>
      <c r="S38" s="549"/>
      <c r="T38" s="549"/>
      <c r="U38" s="549"/>
      <c r="V38" s="549"/>
      <c r="W38" s="549"/>
      <c r="X38" s="549"/>
      <c r="Y38" s="549"/>
      <c r="Z38" s="549"/>
      <c r="AA38" s="549"/>
      <c r="AB38" s="549"/>
      <c r="AC38" s="549"/>
      <c r="AD38" s="549"/>
      <c r="AE38" s="550"/>
    </row>
    <row r="39" spans="1:31">
      <c r="A39" s="549"/>
      <c r="B39" s="549"/>
      <c r="C39" s="549"/>
      <c r="D39" s="549"/>
      <c r="E39" s="549"/>
      <c r="F39" s="549"/>
      <c r="G39" s="549"/>
      <c r="H39" s="549"/>
      <c r="I39" s="549"/>
      <c r="J39" s="549"/>
      <c r="K39" s="549"/>
      <c r="L39" s="549"/>
      <c r="M39" s="549"/>
      <c r="N39" s="549"/>
      <c r="O39" s="549"/>
      <c r="P39" s="549"/>
      <c r="Q39" s="549"/>
      <c r="R39" s="549"/>
      <c r="S39" s="549"/>
      <c r="T39" s="549"/>
      <c r="U39" s="549"/>
      <c r="V39" s="549"/>
      <c r="W39" s="549"/>
      <c r="X39" s="549"/>
      <c r="Y39" s="549"/>
      <c r="Z39" s="549"/>
      <c r="AA39" s="549"/>
      <c r="AB39" s="549"/>
      <c r="AC39" s="549"/>
      <c r="AD39" s="549"/>
      <c r="AE39" s="550"/>
    </row>
    <row r="40" spans="1:31">
      <c r="A40" s="534"/>
      <c r="B40" s="534"/>
      <c r="C40" s="534"/>
      <c r="D40" s="534"/>
      <c r="E40" s="534"/>
      <c r="F40" s="534"/>
      <c r="G40" s="534"/>
      <c r="H40" s="534"/>
      <c r="I40" s="534"/>
      <c r="J40" s="534"/>
      <c r="K40" s="534"/>
      <c r="L40" s="534"/>
      <c r="M40" s="534"/>
      <c r="N40" s="534"/>
      <c r="O40" s="534"/>
      <c r="P40" s="534"/>
      <c r="Q40" s="534"/>
      <c r="R40" s="534"/>
      <c r="S40" s="534"/>
      <c r="T40" s="534"/>
      <c r="U40" s="534"/>
      <c r="V40" s="534"/>
      <c r="W40" s="534"/>
      <c r="X40" s="534"/>
      <c r="Y40" s="534"/>
      <c r="Z40" s="534"/>
      <c r="AA40" s="534"/>
      <c r="AB40" s="534"/>
      <c r="AC40" s="534"/>
      <c r="AD40" s="534"/>
      <c r="AE40" s="550"/>
    </row>
    <row r="41" spans="1:31" ht="21.75" customHeight="1">
      <c r="A41" s="1454" t="s">
        <v>627</v>
      </c>
      <c r="B41" s="1455"/>
      <c r="C41" s="1634" t="s">
        <v>661</v>
      </c>
      <c r="D41" s="1635"/>
      <c r="E41" s="1635"/>
      <c r="F41" s="1635"/>
      <c r="G41" s="1635"/>
      <c r="H41" s="1635"/>
      <c r="I41" s="1635"/>
      <c r="J41" s="1635"/>
      <c r="K41" s="1635"/>
      <c r="L41" s="1635"/>
      <c r="M41" s="1635"/>
      <c r="N41" s="1635"/>
      <c r="O41" s="1635"/>
      <c r="P41" s="1635"/>
      <c r="Q41" s="1635"/>
      <c r="R41" s="1635"/>
      <c r="S41" s="1635"/>
      <c r="T41" s="1635"/>
      <c r="U41" s="1635"/>
      <c r="V41" s="1635"/>
      <c r="W41" s="1457"/>
      <c r="X41" s="1457"/>
      <c r="Y41" s="1458"/>
      <c r="AE41" s="527"/>
    </row>
    <row r="42" spans="1:31" ht="23.25" customHeight="1">
      <c r="A42" s="1459" t="s">
        <v>629</v>
      </c>
      <c r="B42" s="1460" t="s">
        <v>630</v>
      </c>
      <c r="C42" s="1632" t="s">
        <v>663</v>
      </c>
      <c r="D42" s="1632"/>
      <c r="E42" s="1632" t="s">
        <v>664</v>
      </c>
      <c r="F42" s="1632"/>
      <c r="G42" s="1632" t="s">
        <v>665</v>
      </c>
      <c r="H42" s="1632"/>
      <c r="I42" s="1632" t="s">
        <v>666</v>
      </c>
      <c r="J42" s="1632"/>
      <c r="K42" s="1632" t="s">
        <v>667</v>
      </c>
      <c r="L42" s="1632"/>
      <c r="M42" s="1632" t="s">
        <v>668</v>
      </c>
      <c r="N42" s="1632"/>
      <c r="O42" s="1632" t="s">
        <v>669</v>
      </c>
      <c r="P42" s="1632"/>
      <c r="Q42" s="1632" t="s">
        <v>670</v>
      </c>
      <c r="R42" s="1632"/>
      <c r="S42" s="1632" t="s">
        <v>671</v>
      </c>
      <c r="T42" s="1632"/>
      <c r="U42" s="1632" t="s">
        <v>672</v>
      </c>
      <c r="V42" s="1632"/>
      <c r="W42" s="1632" t="s">
        <v>474</v>
      </c>
      <c r="X42" s="1632"/>
      <c r="Y42" s="1632"/>
    </row>
    <row r="43" spans="1:31">
      <c r="A43" s="1461"/>
      <c r="B43" s="1462"/>
      <c r="C43" s="1083" t="s">
        <v>1301</v>
      </c>
      <c r="D43" s="1084" t="s">
        <v>1302</v>
      </c>
      <c r="E43" s="1082" t="s">
        <v>1301</v>
      </c>
      <c r="F43" s="1084" t="s">
        <v>1302</v>
      </c>
      <c r="G43" s="1082" t="s">
        <v>1301</v>
      </c>
      <c r="H43" s="1084" t="s">
        <v>1302</v>
      </c>
      <c r="I43" s="1082" t="s">
        <v>1301</v>
      </c>
      <c r="J43" s="1084" t="s">
        <v>1302</v>
      </c>
      <c r="K43" s="1082" t="s">
        <v>1301</v>
      </c>
      <c r="L43" s="1084" t="s">
        <v>1302</v>
      </c>
      <c r="M43" s="1082" t="s">
        <v>1301</v>
      </c>
      <c r="N43" s="1084" t="s">
        <v>1302</v>
      </c>
      <c r="O43" s="1082" t="s">
        <v>1301</v>
      </c>
      <c r="P43" s="1084" t="s">
        <v>1302</v>
      </c>
      <c r="Q43" s="1082" t="s">
        <v>1301</v>
      </c>
      <c r="R43" s="1084" t="s">
        <v>1302</v>
      </c>
      <c r="S43" s="1082" t="s">
        <v>1301</v>
      </c>
      <c r="T43" s="1084" t="s">
        <v>1302</v>
      </c>
      <c r="U43" s="1082" t="s">
        <v>1301</v>
      </c>
      <c r="V43" s="1084" t="s">
        <v>1302</v>
      </c>
      <c r="W43" s="1082" t="s">
        <v>1301</v>
      </c>
      <c r="X43" s="1084" t="s">
        <v>1302</v>
      </c>
      <c r="Y43" s="1463" t="s">
        <v>448</v>
      </c>
      <c r="AE43" s="550"/>
    </row>
    <row r="44" spans="1:31" ht="20.25" customHeight="1">
      <c r="A44" s="535" t="s">
        <v>651</v>
      </c>
      <c r="B44" s="536" t="s">
        <v>652</v>
      </c>
      <c r="C44" s="537">
        <f>+'91'!C41+'92'!C41+'93'!C41+'94'!C41+'95'!C41</f>
        <v>0</v>
      </c>
      <c r="D44" s="537">
        <f>+'91'!D41+'92'!D41+'93'!D41+'94'!D41+'95'!D41</f>
        <v>0</v>
      </c>
      <c r="E44" s="814">
        <f>+'91'!E41+'92'!E41+'93'!E41+'94'!E41+'95'!E41</f>
        <v>0</v>
      </c>
      <c r="F44" s="815">
        <f>+'91'!F41+'92'!F41+'93'!F41+'94'!F41+'95'!F41</f>
        <v>1</v>
      </c>
      <c r="G44" s="537">
        <f>+'91'!G41+'92'!G41+'93'!G41+'94'!G41+'95'!G41</f>
        <v>18</v>
      </c>
      <c r="H44" s="537">
        <f>+'91'!H41+'92'!H41+'93'!H41+'94'!H41+'95'!H41</f>
        <v>10</v>
      </c>
      <c r="I44" s="814">
        <f>+'91'!I41+'92'!I41+'93'!I41+'94'!I41+'95'!I41</f>
        <v>33</v>
      </c>
      <c r="J44" s="815">
        <f>+'91'!J41+'92'!J41+'93'!J41+'94'!J41+'95'!J41</f>
        <v>26</v>
      </c>
      <c r="K44" s="537">
        <f>+'91'!K41+'92'!K41+'93'!K41+'94'!K41+'95'!K41</f>
        <v>3</v>
      </c>
      <c r="L44" s="537">
        <f>+'91'!L41+'92'!L41+'93'!L41+'94'!L41+'95'!L41</f>
        <v>2</v>
      </c>
      <c r="M44" s="814">
        <f>+'91'!M41+'92'!M41+'93'!M41+'94'!M41+'95'!M41</f>
        <v>0</v>
      </c>
      <c r="N44" s="815">
        <f>+'91'!N41+'92'!N41+'93'!N41+'94'!N41+'95'!N41</f>
        <v>4</v>
      </c>
      <c r="O44" s="537">
        <f>+'91'!O41+'92'!O41+'93'!O41+'94'!O41+'95'!O41</f>
        <v>5</v>
      </c>
      <c r="P44" s="537">
        <f>+'91'!P41+'92'!P41+'93'!P41+'94'!P41+'95'!P41</f>
        <v>2</v>
      </c>
      <c r="Q44" s="814">
        <f>+'91'!Q41+'92'!Q41+'93'!Q41+'94'!Q41+'95'!Q41</f>
        <v>32</v>
      </c>
      <c r="R44" s="815">
        <f>+'91'!R41+'92'!R41+'93'!R41+'94'!R41+'95'!R41</f>
        <v>27</v>
      </c>
      <c r="S44" s="537">
        <f>+'91'!S41+'92'!S41+'93'!S41+'94'!S41+'95'!S41</f>
        <v>38</v>
      </c>
      <c r="T44" s="537">
        <f>+'91'!T41+'92'!T41+'93'!T41+'94'!T41+'95'!T41</f>
        <v>45</v>
      </c>
      <c r="U44" s="814">
        <f>+'91'!U41+'92'!U41+'93'!U41+'94'!U41+'95'!U41</f>
        <v>70</v>
      </c>
      <c r="V44" s="815">
        <f>+'91'!V41+'92'!V41+'93'!V41+'94'!V41+'95'!V41</f>
        <v>93</v>
      </c>
      <c r="W44" s="821">
        <f>+C44+E44+G44+I44+K44+M44+O44+Q44+S44+U44</f>
        <v>199</v>
      </c>
      <c r="X44" s="822">
        <f>+D44+F44+H44+J44+L44+N44+P44+R44+T44+V44</f>
        <v>210</v>
      </c>
      <c r="Y44" s="823">
        <f>SUM(W44:X44)</f>
        <v>409</v>
      </c>
    </row>
    <row r="45" spans="1:31" ht="19.5" customHeight="1">
      <c r="A45" s="535" t="s">
        <v>640</v>
      </c>
      <c r="B45" s="536" t="s">
        <v>641</v>
      </c>
      <c r="C45" s="537">
        <f>+'91'!C42+'92'!C42+'93'!C42+'94'!C42+'95'!C42</f>
        <v>0</v>
      </c>
      <c r="D45" s="537">
        <f>+'91'!D42+'92'!D42+'93'!D42+'94'!D42+'95'!D42</f>
        <v>0</v>
      </c>
      <c r="E45" s="816">
        <f>+'91'!E42+'92'!E42+'93'!E42+'94'!E42+'95'!E42</f>
        <v>0</v>
      </c>
      <c r="F45" s="538">
        <f>+'91'!F42+'92'!F42+'93'!F42+'94'!F42+'95'!F42</f>
        <v>0</v>
      </c>
      <c r="G45" s="537">
        <f>+'91'!G42+'92'!G42+'93'!G42+'94'!G42+'95'!G42</f>
        <v>0</v>
      </c>
      <c r="H45" s="537">
        <f>+'91'!H42+'92'!H42+'93'!H42+'94'!H42+'95'!H42</f>
        <v>0</v>
      </c>
      <c r="I45" s="816">
        <f>+'91'!I42+'92'!I42+'93'!I42+'94'!I42+'95'!I42</f>
        <v>0</v>
      </c>
      <c r="J45" s="538">
        <f>+'91'!J42+'92'!J42+'93'!J42+'94'!J42+'95'!J42</f>
        <v>0</v>
      </c>
      <c r="K45" s="537">
        <f>+'91'!K42+'92'!K42+'93'!K42+'94'!K42+'95'!K42</f>
        <v>1</v>
      </c>
      <c r="L45" s="537">
        <f>+'91'!L42+'92'!L42+'93'!L42+'94'!L42+'95'!L42</f>
        <v>1</v>
      </c>
      <c r="M45" s="816">
        <f>+'91'!M42+'92'!M42+'93'!M42+'94'!M42+'95'!M42</f>
        <v>2</v>
      </c>
      <c r="N45" s="538">
        <f>+'91'!N42+'92'!N42+'93'!N42+'94'!N42+'95'!N42</f>
        <v>5</v>
      </c>
      <c r="O45" s="537">
        <f>+'91'!O42+'92'!O42+'93'!O42+'94'!O42+'95'!O42</f>
        <v>2</v>
      </c>
      <c r="P45" s="537">
        <f>+'91'!P42+'92'!P42+'93'!P42+'94'!P42+'95'!P42</f>
        <v>6</v>
      </c>
      <c r="Q45" s="816">
        <f>+'91'!Q42+'92'!Q42+'93'!Q42+'94'!Q42+'95'!Q42</f>
        <v>37</v>
      </c>
      <c r="R45" s="538">
        <f>+'91'!R42+'92'!R42+'93'!R42+'94'!R42+'95'!R42</f>
        <v>179</v>
      </c>
      <c r="S45" s="537">
        <f>+'91'!S42+'92'!S42+'93'!S42+'94'!S42+'95'!S42</f>
        <v>141</v>
      </c>
      <c r="T45" s="537">
        <f>+'91'!T42+'92'!T42+'93'!T42+'94'!T42+'95'!T42</f>
        <v>359</v>
      </c>
      <c r="U45" s="816">
        <f>+'91'!U42+'92'!U42+'93'!U42+'94'!U42+'95'!U42</f>
        <v>273</v>
      </c>
      <c r="V45" s="538">
        <f>+'91'!V42+'92'!V42+'93'!V42+'94'!V42+'95'!V42</f>
        <v>265</v>
      </c>
      <c r="W45" s="824">
        <f>+C45+E45+G45+I45+K45+M45+O45+Q45+S45+U45</f>
        <v>456</v>
      </c>
      <c r="X45" s="823">
        <f>+D45+F45+H45+J45+L45+N45+P45+R45+T45+V45</f>
        <v>815</v>
      </c>
      <c r="Y45" s="823">
        <f>SUM(W45:X45)</f>
        <v>1271</v>
      </c>
    </row>
    <row r="46" spans="1:31" ht="18" customHeight="1">
      <c r="A46" s="535" t="s">
        <v>194</v>
      </c>
      <c r="B46" s="536" t="s">
        <v>195</v>
      </c>
      <c r="C46" s="537">
        <f>+'91'!C43+'92'!C43+'93'!C43+'94'!C43+'95'!C43</f>
        <v>0</v>
      </c>
      <c r="D46" s="537">
        <f>+'91'!D43+'92'!D43+'93'!D43+'94'!D43+'95'!D43</f>
        <v>0</v>
      </c>
      <c r="E46" s="816">
        <f>+'91'!E43+'92'!E43+'93'!E43+'94'!E43+'95'!E43</f>
        <v>0</v>
      </c>
      <c r="F46" s="538">
        <f>+'91'!F43+'92'!F43+'93'!F43+'94'!F43+'95'!F43</f>
        <v>0</v>
      </c>
      <c r="G46" s="537">
        <f>+'91'!G43+'92'!G43+'93'!G43+'94'!G43+'95'!G43</f>
        <v>5</v>
      </c>
      <c r="H46" s="537">
        <f>+'91'!H43+'92'!H43+'93'!H43+'94'!H43+'95'!H43</f>
        <v>1</v>
      </c>
      <c r="I46" s="816">
        <f>+'91'!I43+'92'!I43+'93'!I43+'94'!I43+'95'!I43</f>
        <v>0</v>
      </c>
      <c r="J46" s="538">
        <f>+'91'!J43+'92'!J43+'93'!J43+'94'!J43+'95'!J43</f>
        <v>3</v>
      </c>
      <c r="K46" s="537">
        <f>+'91'!K43+'92'!K43+'93'!K43+'94'!K43+'95'!K43</f>
        <v>1</v>
      </c>
      <c r="L46" s="537">
        <f>+'91'!L43+'92'!L43+'93'!L43+'94'!L43+'95'!L43</f>
        <v>0</v>
      </c>
      <c r="M46" s="816">
        <f>+'91'!M43+'92'!M43+'93'!M43+'94'!M43+'95'!M43</f>
        <v>1</v>
      </c>
      <c r="N46" s="538">
        <f>+'91'!N43+'92'!N43+'93'!N43+'94'!N43+'95'!N43</f>
        <v>0</v>
      </c>
      <c r="O46" s="537">
        <f>+'91'!O43+'92'!O43+'93'!O43+'94'!O43+'95'!O43</f>
        <v>0</v>
      </c>
      <c r="P46" s="537">
        <f>+'91'!P43+'92'!P43+'93'!P43+'94'!P43+'95'!P43</f>
        <v>2</v>
      </c>
      <c r="Q46" s="816">
        <f>+'91'!Q43+'92'!Q43+'93'!Q43+'94'!Q43+'95'!Q43</f>
        <v>13</v>
      </c>
      <c r="R46" s="538">
        <f>+'91'!R43+'92'!R43+'93'!R43+'94'!R43+'95'!R43</f>
        <v>15</v>
      </c>
      <c r="S46" s="537">
        <f>+'91'!S43+'92'!S43+'93'!S43+'94'!S43+'95'!S43</f>
        <v>9</v>
      </c>
      <c r="T46" s="537">
        <f>+'91'!T43+'92'!T43+'93'!T43+'94'!T43+'95'!T43</f>
        <v>19</v>
      </c>
      <c r="U46" s="816">
        <f>+'91'!U43+'92'!U43+'93'!U43+'94'!U43+'95'!U43</f>
        <v>21</v>
      </c>
      <c r="V46" s="538">
        <f>+'91'!V43+'92'!V43+'93'!V43+'94'!V43+'95'!V43</f>
        <v>29</v>
      </c>
      <c r="W46" s="824">
        <f t="shared" ref="W46:X63" si="8">+C46+E46+G46+I46+K46+M46+O46+Q46+S46+U46</f>
        <v>50</v>
      </c>
      <c r="X46" s="823">
        <f t="shared" si="8"/>
        <v>69</v>
      </c>
      <c r="Y46" s="823">
        <f>SUM(W46:X46)</f>
        <v>119</v>
      </c>
    </row>
    <row r="47" spans="1:31" ht="19.5" customHeight="1">
      <c r="A47" s="535" t="s">
        <v>655</v>
      </c>
      <c r="B47" s="536" t="s">
        <v>656</v>
      </c>
      <c r="C47" s="537">
        <f>+'91'!C44+'92'!C44+'93'!C44+'94'!C44+'95'!C44</f>
        <v>0</v>
      </c>
      <c r="D47" s="537">
        <f>+'91'!D44+'92'!D44+'93'!D44+'94'!D44+'95'!D44</f>
        <v>0</v>
      </c>
      <c r="E47" s="816">
        <f>+'91'!E44+'92'!E44+'93'!E44+'94'!E44+'95'!E44</f>
        <v>0</v>
      </c>
      <c r="F47" s="538">
        <f>+'91'!F44+'92'!F44+'93'!F44+'94'!F44+'95'!F44</f>
        <v>0</v>
      </c>
      <c r="G47" s="537">
        <f>+'91'!G44+'92'!G44+'93'!G44+'94'!G44+'95'!G44</f>
        <v>1</v>
      </c>
      <c r="H47" s="537">
        <f>+'91'!H44+'92'!H44+'93'!H44+'94'!H44+'95'!H44</f>
        <v>0</v>
      </c>
      <c r="I47" s="816">
        <f>+'91'!I44+'92'!I44+'93'!I44+'94'!I44+'95'!I44</f>
        <v>3</v>
      </c>
      <c r="J47" s="538">
        <f>+'91'!J44+'92'!J44+'93'!J44+'94'!J44+'95'!J44</f>
        <v>2</v>
      </c>
      <c r="K47" s="537">
        <f>+'91'!K44+'92'!K44+'93'!K44+'94'!K44+'95'!K44</f>
        <v>4</v>
      </c>
      <c r="L47" s="537">
        <f>+'91'!L44+'92'!L44+'93'!L44+'94'!L44+'95'!L44</f>
        <v>1</v>
      </c>
      <c r="M47" s="816">
        <f>+'91'!M44+'92'!M44+'93'!M44+'94'!M44+'95'!M44</f>
        <v>4</v>
      </c>
      <c r="N47" s="538">
        <f>+'91'!N44+'92'!N44+'93'!N44+'94'!N44+'95'!N44</f>
        <v>5</v>
      </c>
      <c r="O47" s="537">
        <f>+'91'!O44+'92'!O44+'93'!O44+'94'!O44+'95'!O44</f>
        <v>5</v>
      </c>
      <c r="P47" s="537">
        <f>+'91'!P44+'92'!P44+'93'!P44+'94'!P44+'95'!P44</f>
        <v>6</v>
      </c>
      <c r="Q47" s="816">
        <f>+'91'!Q44+'92'!Q44+'93'!Q44+'94'!Q44+'95'!Q44</f>
        <v>53</v>
      </c>
      <c r="R47" s="538">
        <f>+'91'!R44+'92'!R44+'93'!R44+'94'!R44+'95'!R44</f>
        <v>58</v>
      </c>
      <c r="S47" s="537">
        <f>+'91'!S44+'92'!S44+'93'!S44+'94'!S44+'95'!S44</f>
        <v>85</v>
      </c>
      <c r="T47" s="537">
        <f>+'91'!T44+'92'!T44+'93'!T44+'94'!T44+'95'!T44</f>
        <v>78</v>
      </c>
      <c r="U47" s="816">
        <f>+'91'!U44+'92'!U44+'93'!U44+'94'!U44+'95'!U44</f>
        <v>93</v>
      </c>
      <c r="V47" s="538">
        <f>+'91'!V44+'92'!V44+'93'!V44+'94'!V44+'95'!V44</f>
        <v>92</v>
      </c>
      <c r="W47" s="824">
        <f t="shared" si="8"/>
        <v>248</v>
      </c>
      <c r="X47" s="823">
        <f t="shared" si="8"/>
        <v>242</v>
      </c>
      <c r="Y47" s="823">
        <f>SUM(W47:X47)</f>
        <v>490</v>
      </c>
    </row>
    <row r="48" spans="1:31" ht="19.5" customHeight="1">
      <c r="A48" s="535" t="s">
        <v>196</v>
      </c>
      <c r="B48" s="536" t="s">
        <v>197</v>
      </c>
      <c r="C48" s="537">
        <f>+'91'!C45+'92'!C45+'93'!C45+'94'!C45+'95'!C45</f>
        <v>0</v>
      </c>
      <c r="D48" s="537">
        <f>+'91'!D45+'92'!D45+'93'!D45+'94'!D45+'95'!D45</f>
        <v>0</v>
      </c>
      <c r="E48" s="816">
        <f>+'91'!E45+'92'!E45+'93'!E45+'94'!E45+'95'!E45</f>
        <v>0</v>
      </c>
      <c r="F48" s="538">
        <f>+'91'!F45+'92'!F45+'93'!F45+'94'!F45+'95'!F45</f>
        <v>0</v>
      </c>
      <c r="G48" s="537">
        <f>+'91'!G45+'92'!G45+'93'!G45+'94'!G45+'95'!G45</f>
        <v>0</v>
      </c>
      <c r="H48" s="537">
        <f>+'91'!H45+'92'!H45+'93'!H45+'94'!H45+'95'!H45</f>
        <v>0</v>
      </c>
      <c r="I48" s="816">
        <f>+'91'!I45+'92'!I45+'93'!I45+'94'!I45+'95'!I45</f>
        <v>1</v>
      </c>
      <c r="J48" s="538">
        <f>+'91'!J45+'92'!J45+'93'!J45+'94'!J45+'95'!J45</f>
        <v>0</v>
      </c>
      <c r="K48" s="537">
        <f>+'91'!K45+'92'!K45+'93'!K45+'94'!K45+'95'!K45</f>
        <v>0</v>
      </c>
      <c r="L48" s="537">
        <f>+'91'!L45+'92'!L45+'93'!L45+'94'!L45+'95'!L45</f>
        <v>0</v>
      </c>
      <c r="M48" s="816">
        <f>+'91'!M45+'92'!M45+'93'!M45+'94'!M45+'95'!M45</f>
        <v>8</v>
      </c>
      <c r="N48" s="538">
        <f>+'91'!N45+'92'!N45+'93'!N45+'94'!N45+'95'!N45</f>
        <v>24</v>
      </c>
      <c r="O48" s="537">
        <f>+'91'!O45+'92'!O45+'93'!O45+'94'!O45+'95'!O45</f>
        <v>32</v>
      </c>
      <c r="P48" s="537">
        <f>+'91'!P45+'92'!P45+'93'!P45+'94'!P45+'95'!P45</f>
        <v>60</v>
      </c>
      <c r="Q48" s="816">
        <f>+'91'!Q45+'92'!Q45+'93'!Q45+'94'!Q45+'95'!Q45</f>
        <v>239</v>
      </c>
      <c r="R48" s="538">
        <f>+'91'!R45+'92'!R45+'93'!R45+'94'!R45+'95'!R45</f>
        <v>151</v>
      </c>
      <c r="S48" s="537">
        <f>+'91'!S45+'92'!S45+'93'!S45+'94'!S45+'95'!S45</f>
        <v>79</v>
      </c>
      <c r="T48" s="537">
        <f>+'91'!T45+'92'!T45+'93'!T45+'94'!T45+'95'!T45</f>
        <v>64</v>
      </c>
      <c r="U48" s="816">
        <f>+'91'!U45+'92'!U45+'93'!U45+'94'!U45+'95'!U45</f>
        <v>15</v>
      </c>
      <c r="V48" s="538">
        <f>+'91'!V45+'92'!V45+'93'!V45+'94'!V45+'95'!V45</f>
        <v>22</v>
      </c>
      <c r="W48" s="824">
        <f t="shared" si="8"/>
        <v>374</v>
      </c>
      <c r="X48" s="823">
        <f t="shared" si="8"/>
        <v>321</v>
      </c>
      <c r="Y48" s="823">
        <f>SUM(W48:X48)</f>
        <v>695</v>
      </c>
    </row>
    <row r="49" spans="1:25" ht="19.5" customHeight="1">
      <c r="A49" s="535" t="s">
        <v>198</v>
      </c>
      <c r="B49" s="536" t="s">
        <v>199</v>
      </c>
      <c r="C49" s="537">
        <f>+'91'!C46+'92'!C46+'93'!C46+'94'!C46+'95'!C46</f>
        <v>0</v>
      </c>
      <c r="D49" s="537">
        <f>+'91'!D46+'92'!D46+'93'!D46+'94'!D46+'95'!D46</f>
        <v>0</v>
      </c>
      <c r="E49" s="816">
        <f>+'91'!E46+'92'!E46+'93'!E46+'94'!E46+'95'!E46</f>
        <v>0</v>
      </c>
      <c r="F49" s="538">
        <f>+'91'!F46+'92'!F46+'93'!F46+'94'!F46+'95'!F46</f>
        <v>1</v>
      </c>
      <c r="G49" s="537">
        <f>+'91'!G46+'92'!G46+'93'!G46+'94'!G46+'95'!G46</f>
        <v>7</v>
      </c>
      <c r="H49" s="537">
        <f>+'91'!H46+'92'!H46+'93'!H46+'94'!H46+'95'!H46</f>
        <v>0</v>
      </c>
      <c r="I49" s="816">
        <f>+'91'!I46+'92'!I46+'93'!I46+'94'!I46+'95'!I46</f>
        <v>10</v>
      </c>
      <c r="J49" s="538">
        <f>+'91'!J46+'92'!J46+'93'!J46+'94'!J46+'95'!J46</f>
        <v>6</v>
      </c>
      <c r="K49" s="537">
        <f>+'91'!K46+'92'!K46+'93'!K46+'94'!K46+'95'!K46</f>
        <v>4</v>
      </c>
      <c r="L49" s="537">
        <f>+'91'!L46+'92'!L46+'93'!L46+'94'!L46+'95'!L46</f>
        <v>6</v>
      </c>
      <c r="M49" s="816">
        <f>+'91'!M46+'92'!M46+'93'!M46+'94'!M46+'95'!M46</f>
        <v>4</v>
      </c>
      <c r="N49" s="538">
        <f>+'91'!N46+'92'!N46+'93'!N46+'94'!N46+'95'!N46</f>
        <v>5</v>
      </c>
      <c r="O49" s="537">
        <f>+'91'!O46+'92'!O46+'93'!O46+'94'!O46+'95'!O46</f>
        <v>2</v>
      </c>
      <c r="P49" s="537">
        <f>+'91'!P46+'92'!P46+'93'!P46+'94'!P46+'95'!P46</f>
        <v>6</v>
      </c>
      <c r="Q49" s="816">
        <f>+'91'!Q46+'92'!Q46+'93'!Q46+'94'!Q46+'95'!Q46</f>
        <v>33</v>
      </c>
      <c r="R49" s="538">
        <f>+'91'!R46+'92'!R46+'93'!R46+'94'!R46+'95'!R46</f>
        <v>52</v>
      </c>
      <c r="S49" s="537">
        <f>+'91'!S46+'92'!S46+'93'!S46+'94'!S46+'95'!S46</f>
        <v>35</v>
      </c>
      <c r="T49" s="537">
        <f>+'91'!T46+'92'!T46+'93'!T46+'94'!T46+'95'!T46</f>
        <v>44</v>
      </c>
      <c r="U49" s="816">
        <f>+'91'!U46+'92'!U46+'93'!U46+'94'!U46+'95'!U46</f>
        <v>46</v>
      </c>
      <c r="V49" s="538">
        <f>+'91'!V46+'92'!V46+'93'!V46+'94'!V46+'95'!V46</f>
        <v>46</v>
      </c>
      <c r="W49" s="824">
        <f t="shared" si="8"/>
        <v>141</v>
      </c>
      <c r="X49" s="823">
        <f t="shared" si="8"/>
        <v>166</v>
      </c>
      <c r="Y49" s="823">
        <f t="shared" ref="Y49:Y63" si="9">SUM(W49:X49)</f>
        <v>307</v>
      </c>
    </row>
    <row r="50" spans="1:25" ht="19.5" customHeight="1">
      <c r="A50" s="535" t="s">
        <v>200</v>
      </c>
      <c r="B50" s="536" t="s">
        <v>201</v>
      </c>
      <c r="C50" s="537">
        <f>+'91'!C47+'92'!C47+'93'!C47+'94'!C47+'95'!C47</f>
        <v>0</v>
      </c>
      <c r="D50" s="537">
        <f>+'91'!D47+'92'!D47+'93'!D47+'94'!D47+'95'!D47</f>
        <v>0</v>
      </c>
      <c r="E50" s="816">
        <f>+'91'!E47+'92'!E47+'93'!E47+'94'!E47+'95'!E47</f>
        <v>0</v>
      </c>
      <c r="F50" s="538">
        <f>+'91'!F47+'92'!F47+'93'!F47+'94'!F47+'95'!F47</f>
        <v>0</v>
      </c>
      <c r="G50" s="537">
        <f>+'91'!G47+'92'!G47+'93'!G47+'94'!G47+'95'!G47</f>
        <v>0</v>
      </c>
      <c r="H50" s="537">
        <f>+'91'!H47+'92'!H47+'93'!H47+'94'!H47+'95'!H47</f>
        <v>1</v>
      </c>
      <c r="I50" s="816">
        <f>+'91'!I47+'92'!I47+'93'!I47+'94'!I47+'95'!I47</f>
        <v>2</v>
      </c>
      <c r="J50" s="538">
        <f>+'91'!J47+'92'!J47+'93'!J47+'94'!J47+'95'!J47</f>
        <v>0</v>
      </c>
      <c r="K50" s="537">
        <f>+'91'!K47+'92'!K47+'93'!K47+'94'!K47+'95'!K47</f>
        <v>0</v>
      </c>
      <c r="L50" s="537">
        <f>+'91'!L47+'92'!L47+'93'!L47+'94'!L47+'95'!L47</f>
        <v>0</v>
      </c>
      <c r="M50" s="816">
        <f>+'91'!M47+'92'!M47+'93'!M47+'94'!M47+'95'!M47</f>
        <v>1</v>
      </c>
      <c r="N50" s="538">
        <f>+'91'!N47+'92'!N47+'93'!N47+'94'!N47+'95'!N47</f>
        <v>2</v>
      </c>
      <c r="O50" s="537">
        <f>+'91'!O47+'92'!O47+'93'!O47+'94'!O47+'95'!O47</f>
        <v>1</v>
      </c>
      <c r="P50" s="537">
        <f>+'91'!P47+'92'!P47+'93'!P47+'94'!P47+'95'!P47</f>
        <v>2</v>
      </c>
      <c r="Q50" s="816">
        <f>+'91'!Q47+'92'!Q47+'93'!Q47+'94'!Q47+'95'!Q47</f>
        <v>4</v>
      </c>
      <c r="R50" s="538">
        <f>+'91'!R47+'92'!R47+'93'!R47+'94'!R47+'95'!R47</f>
        <v>8</v>
      </c>
      <c r="S50" s="537">
        <f>+'91'!S47+'92'!S47+'93'!S47+'94'!S47+'95'!S47</f>
        <v>11</v>
      </c>
      <c r="T50" s="537">
        <f>+'91'!T47+'92'!T47+'93'!T47+'94'!T47+'95'!T47</f>
        <v>19</v>
      </c>
      <c r="U50" s="816">
        <f>+'91'!U47+'92'!U47+'93'!U47+'94'!U47+'95'!U47</f>
        <v>15</v>
      </c>
      <c r="V50" s="538">
        <f>+'91'!V47+'92'!V47+'93'!V47+'94'!V47+'95'!V47</f>
        <v>15</v>
      </c>
      <c r="W50" s="824">
        <f t="shared" si="8"/>
        <v>34</v>
      </c>
      <c r="X50" s="823">
        <f t="shared" si="8"/>
        <v>47</v>
      </c>
      <c r="Y50" s="823">
        <f t="shared" si="9"/>
        <v>81</v>
      </c>
    </row>
    <row r="51" spans="1:25" ht="18" customHeight="1">
      <c r="A51" s="535" t="s">
        <v>638</v>
      </c>
      <c r="B51" s="536" t="s">
        <v>639</v>
      </c>
      <c r="C51" s="537">
        <f>+'91'!C48+'92'!C48+'93'!C48+'94'!C48+'95'!C48</f>
        <v>0</v>
      </c>
      <c r="D51" s="537">
        <f>+'91'!D48+'92'!D48+'93'!D48+'94'!D48+'95'!D48</f>
        <v>0</v>
      </c>
      <c r="E51" s="816">
        <f>+'91'!E48+'92'!E48+'93'!E48+'94'!E48+'95'!E48</f>
        <v>0</v>
      </c>
      <c r="F51" s="538">
        <f>+'91'!F48+'92'!F48+'93'!F48+'94'!F48+'95'!F48</f>
        <v>0</v>
      </c>
      <c r="G51" s="537">
        <f>+'91'!G48+'92'!G48+'93'!G48+'94'!G48+'95'!G48</f>
        <v>0</v>
      </c>
      <c r="H51" s="537">
        <f>+'91'!H48+'92'!H48+'93'!H48+'94'!H48+'95'!H48</f>
        <v>1</v>
      </c>
      <c r="I51" s="816">
        <f>+'91'!I48+'92'!I48+'93'!I48+'94'!I48+'95'!I48</f>
        <v>0</v>
      </c>
      <c r="J51" s="538">
        <f>+'91'!J48+'92'!J48+'93'!J48+'94'!J48+'95'!J48</f>
        <v>0</v>
      </c>
      <c r="K51" s="537">
        <f>+'91'!K48+'92'!K48+'93'!K48+'94'!K48+'95'!K48</f>
        <v>2</v>
      </c>
      <c r="L51" s="537">
        <f>+'91'!L48+'92'!L48+'93'!L48+'94'!L48+'95'!L48</f>
        <v>2</v>
      </c>
      <c r="M51" s="816">
        <f>+'91'!M48+'92'!M48+'93'!M48+'94'!M48+'95'!M48</f>
        <v>1</v>
      </c>
      <c r="N51" s="538">
        <f>+'91'!N48+'92'!N48+'93'!N48+'94'!N48+'95'!N48</f>
        <v>0</v>
      </c>
      <c r="O51" s="537">
        <f>+'91'!O48+'92'!O48+'93'!O48+'94'!O48+'95'!O48</f>
        <v>2</v>
      </c>
      <c r="P51" s="537">
        <f>+'91'!P48+'92'!P48+'93'!P48+'94'!P48+'95'!P48</f>
        <v>5</v>
      </c>
      <c r="Q51" s="816">
        <f>+'91'!Q48+'92'!Q48+'93'!Q48+'94'!Q48+'95'!Q48</f>
        <v>73</v>
      </c>
      <c r="R51" s="538">
        <f>+'91'!R48+'92'!R48+'93'!R48+'94'!R48+'95'!R48</f>
        <v>65</v>
      </c>
      <c r="S51" s="537">
        <f>+'91'!S48+'92'!S48+'93'!S48+'94'!S48+'95'!S48</f>
        <v>346</v>
      </c>
      <c r="T51" s="537">
        <f>+'91'!T48+'92'!T48+'93'!T48+'94'!T48+'95'!T48</f>
        <v>198</v>
      </c>
      <c r="U51" s="816">
        <f>+'91'!U48+'92'!U48+'93'!U48+'94'!U48+'95'!U48</f>
        <v>603</v>
      </c>
      <c r="V51" s="538">
        <f>+'91'!V48+'92'!V48+'93'!V48+'94'!V48+'95'!V48</f>
        <v>577</v>
      </c>
      <c r="W51" s="824">
        <f t="shared" si="8"/>
        <v>1027</v>
      </c>
      <c r="X51" s="823">
        <f t="shared" si="8"/>
        <v>848</v>
      </c>
      <c r="Y51" s="823">
        <f t="shared" si="9"/>
        <v>1875</v>
      </c>
    </row>
    <row r="52" spans="1:25" ht="18.75" customHeight="1">
      <c r="A52" s="535" t="s">
        <v>642</v>
      </c>
      <c r="B52" s="536" t="s">
        <v>643</v>
      </c>
      <c r="C52" s="537">
        <f>+'91'!C49+'92'!C49+'93'!C49+'94'!C49+'95'!C49</f>
        <v>1</v>
      </c>
      <c r="D52" s="537">
        <f>+'91'!D49+'92'!D49+'93'!D49+'94'!D49+'95'!D49</f>
        <v>0</v>
      </c>
      <c r="E52" s="816">
        <f>+'91'!E49+'92'!E49+'93'!E49+'94'!E49+'95'!E49</f>
        <v>3</v>
      </c>
      <c r="F52" s="538">
        <f>+'91'!F49+'92'!F49+'93'!F49+'94'!F49+'95'!F49</f>
        <v>2</v>
      </c>
      <c r="G52" s="537">
        <f>+'91'!G49+'92'!G49+'93'!G49+'94'!G49+'95'!G49</f>
        <v>153</v>
      </c>
      <c r="H52" s="537">
        <f>+'91'!H49+'92'!H49+'93'!H49+'94'!H49+'95'!H49</f>
        <v>92</v>
      </c>
      <c r="I52" s="816">
        <f>+'91'!I49+'92'!I49+'93'!I49+'94'!I49+'95'!I49</f>
        <v>148</v>
      </c>
      <c r="J52" s="538">
        <f>+'91'!J49+'92'!J49+'93'!J49+'94'!J49+'95'!J49</f>
        <v>156</v>
      </c>
      <c r="K52" s="537">
        <f>+'91'!K49+'92'!K49+'93'!K49+'94'!K49+'95'!K49</f>
        <v>89</v>
      </c>
      <c r="L52" s="537">
        <f>+'91'!L49+'92'!L49+'93'!L49+'94'!L49+'95'!L49</f>
        <v>73</v>
      </c>
      <c r="M52" s="816">
        <f>+'91'!M49+'92'!M49+'93'!M49+'94'!M49+'95'!M49</f>
        <v>8</v>
      </c>
      <c r="N52" s="538">
        <f>+'91'!N49+'92'!N49+'93'!N49+'94'!N49+'95'!N49</f>
        <v>25</v>
      </c>
      <c r="O52" s="537">
        <f>+'91'!O49+'92'!O49+'93'!O49+'94'!O49+'95'!O49</f>
        <v>18</v>
      </c>
      <c r="P52" s="537">
        <f>+'91'!P49+'92'!P49+'93'!P49+'94'!P49+'95'!P49</f>
        <v>14</v>
      </c>
      <c r="Q52" s="816">
        <f>+'91'!Q49+'92'!Q49+'93'!Q49+'94'!Q49+'95'!Q49</f>
        <v>108</v>
      </c>
      <c r="R52" s="538">
        <f>+'91'!R49+'92'!R49+'93'!R49+'94'!R49+'95'!R49</f>
        <v>70</v>
      </c>
      <c r="S52" s="537">
        <f>+'91'!S49+'92'!S49+'93'!S49+'94'!S49+'95'!S49</f>
        <v>175</v>
      </c>
      <c r="T52" s="537">
        <f>+'91'!T49+'92'!T49+'93'!T49+'94'!T49+'95'!T49</f>
        <v>143</v>
      </c>
      <c r="U52" s="816">
        <f>+'91'!U49+'92'!U49+'93'!U49+'94'!U49+'95'!U49</f>
        <v>507</v>
      </c>
      <c r="V52" s="538">
        <f>+'91'!V49+'92'!V49+'93'!V49+'94'!V49+'95'!V49</f>
        <v>549</v>
      </c>
      <c r="W52" s="824">
        <f t="shared" si="8"/>
        <v>1210</v>
      </c>
      <c r="X52" s="823">
        <f t="shared" si="8"/>
        <v>1124</v>
      </c>
      <c r="Y52" s="823">
        <f t="shared" si="9"/>
        <v>2334</v>
      </c>
    </row>
    <row r="53" spans="1:25" ht="19.5" customHeight="1">
      <c r="A53" s="535" t="s">
        <v>647</v>
      </c>
      <c r="B53" s="536" t="s">
        <v>648</v>
      </c>
      <c r="C53" s="537">
        <f>+'91'!C50+'92'!C50+'93'!C50+'94'!C50+'95'!C50</f>
        <v>0</v>
      </c>
      <c r="D53" s="537">
        <f>+'91'!D50+'92'!D50+'93'!D50+'94'!D50+'95'!D50</f>
        <v>0</v>
      </c>
      <c r="E53" s="816">
        <f>+'91'!E50+'92'!E50+'93'!E50+'94'!E50+'95'!E50</f>
        <v>0</v>
      </c>
      <c r="F53" s="538">
        <f>+'91'!F50+'92'!F50+'93'!F50+'94'!F50+'95'!F50</f>
        <v>0</v>
      </c>
      <c r="G53" s="537">
        <f>+'91'!G50+'92'!G50+'93'!G50+'94'!G50+'95'!G50</f>
        <v>5</v>
      </c>
      <c r="H53" s="537">
        <f>+'91'!H50+'92'!H50+'93'!H50+'94'!H50+'95'!H50</f>
        <v>5</v>
      </c>
      <c r="I53" s="816">
        <f>+'91'!I50+'92'!I50+'93'!I50+'94'!I50+'95'!I50</f>
        <v>11</v>
      </c>
      <c r="J53" s="538">
        <f>+'91'!J50+'92'!J50+'93'!J50+'94'!J50+'95'!J50</f>
        <v>9</v>
      </c>
      <c r="K53" s="537">
        <f>+'91'!K50+'92'!K50+'93'!K50+'94'!K50+'95'!K50</f>
        <v>54</v>
      </c>
      <c r="L53" s="537">
        <f>+'91'!L50+'92'!L50+'93'!L50+'94'!L50+'95'!L50</f>
        <v>36</v>
      </c>
      <c r="M53" s="816">
        <f>+'91'!M50+'92'!M50+'93'!M50+'94'!M50+'95'!M50</f>
        <v>65</v>
      </c>
      <c r="N53" s="538">
        <f>+'91'!N50+'92'!N50+'93'!N50+'94'!N50+'95'!N50</f>
        <v>40</v>
      </c>
      <c r="O53" s="537">
        <f>+'91'!O50+'92'!O50+'93'!O50+'94'!O50+'95'!O50</f>
        <v>54</v>
      </c>
      <c r="P53" s="537">
        <f>+'91'!P50+'92'!P50+'93'!P50+'94'!P50+'95'!P50</f>
        <v>53</v>
      </c>
      <c r="Q53" s="816">
        <f>+'91'!Q50+'92'!Q50+'93'!Q50+'94'!Q50+'95'!Q50</f>
        <v>317</v>
      </c>
      <c r="R53" s="538">
        <f>+'91'!R50+'92'!R50+'93'!R50+'94'!R50+'95'!R50</f>
        <v>452</v>
      </c>
      <c r="S53" s="537">
        <f>+'91'!S50+'92'!S50+'93'!S50+'94'!S50+'95'!S50</f>
        <v>411</v>
      </c>
      <c r="T53" s="537">
        <f>+'91'!T50+'92'!T50+'93'!T50+'94'!T50+'95'!T50</f>
        <v>461</v>
      </c>
      <c r="U53" s="816">
        <f>+'91'!U50+'92'!U50+'93'!U50+'94'!U50+'95'!U50</f>
        <v>495</v>
      </c>
      <c r="V53" s="538">
        <f>+'91'!V50+'92'!V50+'93'!V50+'94'!V50+'95'!V50</f>
        <v>502</v>
      </c>
      <c r="W53" s="824">
        <f t="shared" si="8"/>
        <v>1412</v>
      </c>
      <c r="X53" s="823">
        <f t="shared" si="8"/>
        <v>1558</v>
      </c>
      <c r="Y53" s="823">
        <f t="shared" si="9"/>
        <v>2970</v>
      </c>
    </row>
    <row r="54" spans="1:25" ht="18" customHeight="1">
      <c r="A54" s="535" t="s">
        <v>202</v>
      </c>
      <c r="B54" s="536" t="s">
        <v>203</v>
      </c>
      <c r="C54" s="537">
        <f>+'91'!C51+'92'!C51+'93'!C51+'94'!C51+'95'!C51</f>
        <v>0</v>
      </c>
      <c r="D54" s="537">
        <f>+'91'!D51+'92'!D51+'93'!D51+'94'!D51+'95'!D51</f>
        <v>0</v>
      </c>
      <c r="E54" s="816">
        <f>+'91'!E51+'92'!E51+'93'!E51+'94'!E51+'95'!E51</f>
        <v>0</v>
      </c>
      <c r="F54" s="538">
        <f>+'91'!F51+'92'!F51+'93'!F51+'94'!F51+'95'!F51</f>
        <v>0</v>
      </c>
      <c r="G54" s="537">
        <f>+'91'!G51+'92'!G51+'93'!G51+'94'!G51+'95'!G51</f>
        <v>0</v>
      </c>
      <c r="H54" s="537">
        <f>+'91'!H51+'92'!H51+'93'!H51+'94'!H51+'95'!H51</f>
        <v>1</v>
      </c>
      <c r="I54" s="816">
        <f>+'91'!I51+'92'!I51+'93'!I51+'94'!I51+'95'!I51</f>
        <v>4</v>
      </c>
      <c r="J54" s="538">
        <f>+'91'!J51+'92'!J51+'93'!J51+'94'!J51+'95'!J51</f>
        <v>1</v>
      </c>
      <c r="K54" s="537">
        <f>+'91'!K51+'92'!K51+'93'!K51+'94'!K51+'95'!K51</f>
        <v>1</v>
      </c>
      <c r="L54" s="537">
        <f>+'91'!L51+'92'!L51+'93'!L51+'94'!L51+'95'!L51</f>
        <v>1</v>
      </c>
      <c r="M54" s="816">
        <f>+'91'!M51+'92'!M51+'93'!M51+'94'!M51+'95'!M51</f>
        <v>2</v>
      </c>
      <c r="N54" s="538">
        <f>+'91'!N51+'92'!N51+'93'!N51+'94'!N51+'95'!N51</f>
        <v>6</v>
      </c>
      <c r="O54" s="537">
        <f>+'91'!O51+'92'!O51+'93'!O51+'94'!O51+'95'!O51</f>
        <v>5</v>
      </c>
      <c r="P54" s="537">
        <f>+'91'!P51+'92'!P51+'93'!P51+'94'!P51+'95'!P51</f>
        <v>8</v>
      </c>
      <c r="Q54" s="816">
        <f>+'91'!Q51+'92'!Q51+'93'!Q51+'94'!Q51+'95'!Q51</f>
        <v>41</v>
      </c>
      <c r="R54" s="538">
        <f>+'91'!R51+'92'!R51+'93'!R51+'94'!R51+'95'!R51</f>
        <v>48</v>
      </c>
      <c r="S54" s="537">
        <f>+'91'!S51+'92'!S51+'93'!S51+'94'!S51+'95'!S51</f>
        <v>35</v>
      </c>
      <c r="T54" s="537">
        <f>+'91'!T51+'92'!T51+'93'!T51+'94'!T51+'95'!T51</f>
        <v>38</v>
      </c>
      <c r="U54" s="816">
        <f>+'91'!U51+'92'!U51+'93'!U51+'94'!U51+'95'!U51</f>
        <v>39</v>
      </c>
      <c r="V54" s="538">
        <f>+'91'!V51+'92'!V51+'93'!V51+'94'!V51+'95'!V51</f>
        <v>54</v>
      </c>
      <c r="W54" s="824">
        <f t="shared" si="8"/>
        <v>127</v>
      </c>
      <c r="X54" s="823">
        <f t="shared" si="8"/>
        <v>157</v>
      </c>
      <c r="Y54" s="823">
        <f t="shared" si="9"/>
        <v>284</v>
      </c>
    </row>
    <row r="55" spans="1:25" ht="19.5" customHeight="1">
      <c r="A55" s="535" t="s">
        <v>204</v>
      </c>
      <c r="B55" s="536" t="s">
        <v>205</v>
      </c>
      <c r="C55" s="537">
        <f>+'91'!C52+'92'!C52+'93'!C52+'94'!C52+'95'!C52</f>
        <v>0</v>
      </c>
      <c r="D55" s="537">
        <f>+'91'!D52+'92'!D52+'93'!D52+'94'!D52+'95'!D52</f>
        <v>0</v>
      </c>
      <c r="E55" s="816">
        <f>+'91'!E52+'92'!E52+'93'!E52+'94'!E52+'95'!E52</f>
        <v>0</v>
      </c>
      <c r="F55" s="538">
        <f>+'91'!F52+'92'!F52+'93'!F52+'94'!F52+'95'!F52</f>
        <v>0</v>
      </c>
      <c r="G55" s="537">
        <f>+'91'!G52+'92'!G52+'93'!G52+'94'!G52+'95'!G52</f>
        <v>5</v>
      </c>
      <c r="H55" s="537">
        <f>+'91'!H52+'92'!H52+'93'!H52+'94'!H52+'95'!H52</f>
        <v>0</v>
      </c>
      <c r="I55" s="816">
        <f>+'91'!I52+'92'!I52+'93'!I52+'94'!I52+'95'!I52</f>
        <v>2</v>
      </c>
      <c r="J55" s="538">
        <f>+'91'!J52+'92'!J52+'93'!J52+'94'!J52+'95'!J52</f>
        <v>2</v>
      </c>
      <c r="K55" s="537">
        <f>+'91'!K52+'92'!K52+'93'!K52+'94'!K52+'95'!K52</f>
        <v>2</v>
      </c>
      <c r="L55" s="537">
        <f>+'91'!L52+'92'!L52+'93'!L52+'94'!L52+'95'!L52</f>
        <v>1</v>
      </c>
      <c r="M55" s="816">
        <f>+'91'!M52+'92'!M52+'93'!M52+'94'!M52+'95'!M52</f>
        <v>8</v>
      </c>
      <c r="N55" s="538">
        <f>+'91'!N52+'92'!N52+'93'!N52+'94'!N52+'95'!N52</f>
        <v>2</v>
      </c>
      <c r="O55" s="537">
        <f>+'91'!O52+'92'!O52+'93'!O52+'94'!O52+'95'!O52</f>
        <v>10</v>
      </c>
      <c r="P55" s="537">
        <f>+'91'!P52+'92'!P52+'93'!P52+'94'!P52+'95'!P52</f>
        <v>12</v>
      </c>
      <c r="Q55" s="816">
        <f>+'91'!Q52+'92'!Q52+'93'!Q52+'94'!Q52+'95'!Q52</f>
        <v>72</v>
      </c>
      <c r="R55" s="538">
        <f>+'91'!R52+'92'!R52+'93'!R52+'94'!R52+'95'!R52</f>
        <v>69</v>
      </c>
      <c r="S55" s="537">
        <f>+'91'!S52+'92'!S52+'93'!S52+'94'!S52+'95'!S52</f>
        <v>127</v>
      </c>
      <c r="T55" s="537">
        <f>+'91'!T52+'92'!T52+'93'!T52+'94'!T52+'95'!T52</f>
        <v>180</v>
      </c>
      <c r="U55" s="816">
        <f>+'91'!U52+'92'!U52+'93'!U52+'94'!U52+'95'!U52</f>
        <v>113</v>
      </c>
      <c r="V55" s="538">
        <f>+'91'!V52+'92'!V52+'93'!V52+'94'!V52+'95'!V52</f>
        <v>136</v>
      </c>
      <c r="W55" s="824">
        <f t="shared" si="8"/>
        <v>339</v>
      </c>
      <c r="X55" s="823">
        <f t="shared" si="8"/>
        <v>402</v>
      </c>
      <c r="Y55" s="823">
        <f t="shared" si="9"/>
        <v>741</v>
      </c>
    </row>
    <row r="56" spans="1:25" ht="18.75" customHeight="1">
      <c r="A56" s="535" t="s">
        <v>649</v>
      </c>
      <c r="B56" s="536" t="s">
        <v>650</v>
      </c>
      <c r="C56" s="537">
        <f>+'91'!C53+'92'!C53+'93'!C53+'94'!C53+'95'!C53</f>
        <v>0</v>
      </c>
      <c r="D56" s="537">
        <f>+'91'!D53+'92'!D53+'93'!D53+'94'!D53+'95'!D53</f>
        <v>0</v>
      </c>
      <c r="E56" s="816">
        <f>+'91'!E53+'92'!E53+'93'!E53+'94'!E53+'95'!E53</f>
        <v>0</v>
      </c>
      <c r="F56" s="538">
        <f>+'91'!F53+'92'!F53+'93'!F53+'94'!F53+'95'!F53</f>
        <v>0</v>
      </c>
      <c r="G56" s="537">
        <f>+'91'!G53+'92'!G53+'93'!G53+'94'!G53+'95'!G53</f>
        <v>4</v>
      </c>
      <c r="H56" s="537">
        <f>+'91'!H53+'92'!H53+'93'!H53+'94'!H53+'95'!H53</f>
        <v>9</v>
      </c>
      <c r="I56" s="816">
        <f>+'91'!I53+'92'!I53+'93'!I53+'94'!I53+'95'!I53</f>
        <v>6</v>
      </c>
      <c r="J56" s="538">
        <f>+'91'!J53+'92'!J53+'93'!J53+'94'!J53+'95'!J53</f>
        <v>9</v>
      </c>
      <c r="K56" s="537">
        <f>+'91'!K53+'92'!K53+'93'!K53+'94'!K53+'95'!K53</f>
        <v>19</v>
      </c>
      <c r="L56" s="537">
        <f>+'91'!L53+'92'!L53+'93'!L53+'94'!L53+'95'!L53</f>
        <v>5</v>
      </c>
      <c r="M56" s="816">
        <f>+'91'!M53+'92'!M53+'93'!M53+'94'!M53+'95'!M53</f>
        <v>25</v>
      </c>
      <c r="N56" s="538">
        <f>+'91'!N53+'92'!N53+'93'!N53+'94'!N53+'95'!N53</f>
        <v>8</v>
      </c>
      <c r="O56" s="537">
        <f>+'91'!O53+'92'!O53+'93'!O53+'94'!O53+'95'!O53</f>
        <v>7</v>
      </c>
      <c r="P56" s="537">
        <f>+'91'!P53+'92'!P53+'93'!P53+'94'!P53+'95'!P53</f>
        <v>42</v>
      </c>
      <c r="Q56" s="816">
        <f>+'91'!Q53+'92'!Q53+'93'!Q53+'94'!Q53+'95'!Q53</f>
        <v>104</v>
      </c>
      <c r="R56" s="538">
        <f>+'91'!R53+'92'!R53+'93'!R53+'94'!R53+'95'!R53</f>
        <v>357</v>
      </c>
      <c r="S56" s="537">
        <f>+'91'!S53+'92'!S53+'93'!S53+'94'!S53+'95'!S53</f>
        <v>223</v>
      </c>
      <c r="T56" s="537">
        <f>+'91'!T53+'92'!T53+'93'!T53+'94'!T53+'95'!T53</f>
        <v>370</v>
      </c>
      <c r="U56" s="816">
        <f>+'91'!U53+'92'!U53+'93'!U53+'94'!U53+'95'!U53</f>
        <v>372</v>
      </c>
      <c r="V56" s="538">
        <f>+'91'!V53+'92'!V53+'93'!V53+'94'!V53+'95'!V53</f>
        <v>328</v>
      </c>
      <c r="W56" s="824">
        <f t="shared" si="8"/>
        <v>760</v>
      </c>
      <c r="X56" s="823">
        <f t="shared" si="8"/>
        <v>1128</v>
      </c>
      <c r="Y56" s="823">
        <f t="shared" si="9"/>
        <v>1888</v>
      </c>
    </row>
    <row r="57" spans="1:25" ht="18.75" customHeight="1">
      <c r="A57" s="535" t="s">
        <v>206</v>
      </c>
      <c r="B57" s="536" t="s">
        <v>207</v>
      </c>
      <c r="C57" s="537">
        <f>+'91'!C54+'92'!C54+'93'!C54+'94'!C54+'95'!C54</f>
        <v>0</v>
      </c>
      <c r="D57" s="537">
        <f>+'91'!D54+'92'!D54+'93'!D54+'94'!D54+'95'!D54</f>
        <v>0</v>
      </c>
      <c r="E57" s="816">
        <f>+'91'!E54+'92'!E54+'93'!E54+'94'!E54+'95'!E54</f>
        <v>0</v>
      </c>
      <c r="F57" s="538">
        <f>+'91'!F54+'92'!F54+'93'!F54+'94'!F54+'95'!F54</f>
        <v>0</v>
      </c>
      <c r="G57" s="537">
        <f>+'91'!G54+'92'!G54+'93'!G54+'94'!G54+'95'!G54</f>
        <v>0</v>
      </c>
      <c r="H57" s="537">
        <f>+'91'!H54+'92'!H54+'93'!H54+'94'!H54+'95'!H54</f>
        <v>0</v>
      </c>
      <c r="I57" s="816">
        <f>+'91'!I54+'92'!I54+'93'!I54+'94'!I54+'95'!I54</f>
        <v>0</v>
      </c>
      <c r="J57" s="538">
        <f>+'91'!J54+'92'!J54+'93'!J54+'94'!J54+'95'!J54</f>
        <v>0</v>
      </c>
      <c r="K57" s="537">
        <f>+'91'!K54+'92'!K54+'93'!K54+'94'!K54+'95'!K54</f>
        <v>0</v>
      </c>
      <c r="L57" s="537">
        <f>+'91'!L54+'92'!L54+'93'!L54+'94'!L54+'95'!L54</f>
        <v>0</v>
      </c>
      <c r="M57" s="816">
        <f>+'91'!M54+'92'!M54+'93'!M54+'94'!M54+'95'!M54</f>
        <v>0</v>
      </c>
      <c r="N57" s="538">
        <f>+'91'!N54+'92'!N54+'93'!N54+'94'!N54+'95'!N54</f>
        <v>4</v>
      </c>
      <c r="O57" s="537">
        <f>+'91'!O54+'92'!O54+'93'!O54+'94'!O54+'95'!O54</f>
        <v>0</v>
      </c>
      <c r="P57" s="537">
        <f>+'91'!P54+'92'!P54+'93'!P54+'94'!P54+'95'!P54</f>
        <v>150</v>
      </c>
      <c r="Q57" s="816">
        <f>+'91'!Q54+'92'!Q54+'93'!Q54+'94'!Q54+'95'!Q54</f>
        <v>0</v>
      </c>
      <c r="R57" s="538">
        <f>+'91'!R54+'92'!R54+'93'!R54+'94'!R54+'95'!R54</f>
        <v>2903</v>
      </c>
      <c r="S57" s="537">
        <f>+'91'!S54+'92'!S54+'93'!S54+'94'!S54+'95'!S54</f>
        <v>0</v>
      </c>
      <c r="T57" s="537">
        <f>+'91'!T54+'92'!T54+'93'!T54+'94'!T54+'95'!T54</f>
        <v>12</v>
      </c>
      <c r="U57" s="818">
        <f>+'91'!U54+'92'!U54+'93'!U54+'94'!U54+'95'!U54</f>
        <v>0</v>
      </c>
      <c r="V57" s="673">
        <f>+'91'!V54+'92'!V54+'93'!V54+'94'!V54+'95'!V54</f>
        <v>0</v>
      </c>
      <c r="W57" s="824">
        <f t="shared" si="8"/>
        <v>0</v>
      </c>
      <c r="X57" s="823">
        <f t="shared" si="8"/>
        <v>3069</v>
      </c>
      <c r="Y57" s="823">
        <f t="shared" si="9"/>
        <v>3069</v>
      </c>
    </row>
    <row r="58" spans="1:25" ht="18" customHeight="1">
      <c r="A58" s="535" t="s">
        <v>657</v>
      </c>
      <c r="B58" s="536" t="s">
        <v>658</v>
      </c>
      <c r="C58" s="537">
        <f>+'91'!C55+'92'!C55+'93'!C55+'94'!C55+'95'!C55</f>
        <v>169</v>
      </c>
      <c r="D58" s="537">
        <f>+'91'!D55+'92'!D55+'93'!D55+'94'!D55+'95'!D55</f>
        <v>144</v>
      </c>
      <c r="E58" s="816">
        <f>+'91'!E55+'92'!E55+'93'!E55+'94'!E55+'95'!E55</f>
        <v>58</v>
      </c>
      <c r="F58" s="538">
        <f>+'91'!F55+'92'!F55+'93'!F55+'94'!F55+'95'!F55</f>
        <v>44</v>
      </c>
      <c r="G58" s="761">
        <f>+'91'!G55+'92'!G55+'93'!G55+'94'!G55+'95'!G55</f>
        <v>8</v>
      </c>
      <c r="H58" s="761">
        <f>+'91'!H55+'92'!H55+'93'!H55+'94'!H55+'95'!H55</f>
        <v>15</v>
      </c>
      <c r="I58" s="818">
        <f>+'91'!I55+'92'!I55+'93'!I55+'94'!I55+'95'!I55</f>
        <v>1</v>
      </c>
      <c r="J58" s="673">
        <f>+'91'!J55+'92'!J55+'93'!J55+'94'!J55+'95'!J55</f>
        <v>0</v>
      </c>
      <c r="K58" s="537">
        <f>+'91'!K55+'92'!K55+'93'!K55+'94'!K55+'95'!K55</f>
        <v>0</v>
      </c>
      <c r="L58" s="537">
        <f>+'91'!L55+'92'!L55+'93'!L55+'94'!L55+'95'!L55</f>
        <v>0</v>
      </c>
      <c r="M58" s="816">
        <f>+'91'!M55+'92'!M55+'93'!M55+'94'!M55+'95'!M55</f>
        <v>0</v>
      </c>
      <c r="N58" s="538">
        <f>+'91'!N55+'92'!N55+'93'!N55+'94'!N55+'95'!N55</f>
        <v>0</v>
      </c>
      <c r="O58" s="537">
        <f>+'91'!O55+'92'!O55+'93'!O55+'94'!O55+'95'!O55</f>
        <v>0</v>
      </c>
      <c r="P58" s="537">
        <f>+'91'!P55+'92'!P55+'93'!P55+'94'!P55+'95'!P55</f>
        <v>0</v>
      </c>
      <c r="Q58" s="819">
        <f>+'91'!Q55+'92'!Q55+'93'!Q55+'94'!Q55+'95'!Q55</f>
        <v>0</v>
      </c>
      <c r="R58" s="820">
        <f>+'91'!R55+'92'!R55+'93'!R55+'94'!R55+'95'!R55</f>
        <v>0</v>
      </c>
      <c r="S58" s="537">
        <f>+'91'!S55+'92'!S55+'93'!S55+'94'!S55+'95'!S55</f>
        <v>0</v>
      </c>
      <c r="T58" s="537">
        <f>+'91'!T55+'92'!T55+'93'!T55+'94'!T55+'95'!T55</f>
        <v>0</v>
      </c>
      <c r="U58" s="816">
        <f>+'91'!U55+'92'!U55+'93'!U55+'94'!U55+'95'!U55</f>
        <v>0</v>
      </c>
      <c r="V58" s="538">
        <f>+'91'!V55+'92'!V55+'93'!V55+'94'!V55+'95'!V55</f>
        <v>0</v>
      </c>
      <c r="W58" s="824">
        <f t="shared" si="8"/>
        <v>236</v>
      </c>
      <c r="X58" s="823">
        <f t="shared" si="8"/>
        <v>203</v>
      </c>
      <c r="Y58" s="823">
        <f t="shared" si="9"/>
        <v>439</v>
      </c>
    </row>
    <row r="59" spans="1:25" ht="20.25" customHeight="1">
      <c r="A59" s="535" t="s">
        <v>659</v>
      </c>
      <c r="B59" s="536" t="s">
        <v>660</v>
      </c>
      <c r="C59" s="537">
        <f>+'91'!C56+'92'!C56+'93'!C56+'94'!C56+'95'!C56</f>
        <v>22</v>
      </c>
      <c r="D59" s="537">
        <f>+'91'!D56+'92'!D56+'93'!D56+'94'!D56+'95'!D56</f>
        <v>18</v>
      </c>
      <c r="E59" s="816">
        <f>+'91'!E56+'92'!E56+'93'!E56+'94'!E56+'95'!E56</f>
        <v>2</v>
      </c>
      <c r="F59" s="538">
        <f>+'91'!F56+'92'!F56+'93'!F56+'94'!F56+'95'!F56</f>
        <v>1</v>
      </c>
      <c r="G59" s="537">
        <f>+'91'!G56+'92'!G56+'93'!G56+'94'!G56+'95'!G56</f>
        <v>7</v>
      </c>
      <c r="H59" s="537">
        <f>+'91'!H56+'92'!H56+'93'!H56+'94'!H56+'95'!H56</f>
        <v>5</v>
      </c>
      <c r="I59" s="816">
        <f>+'91'!I56+'92'!I56+'93'!I56+'94'!I56+'95'!I56</f>
        <v>10</v>
      </c>
      <c r="J59" s="538">
        <f>+'91'!J56+'92'!J56+'93'!J56+'94'!J56+'95'!J56</f>
        <v>3</v>
      </c>
      <c r="K59" s="537">
        <f>+'91'!K56+'92'!K56+'93'!K56+'94'!K56+'95'!K56</f>
        <v>13</v>
      </c>
      <c r="L59" s="537">
        <f>+'91'!L56+'92'!L56+'93'!L56+'94'!L56+'95'!L56</f>
        <v>4</v>
      </c>
      <c r="M59" s="816">
        <f>+'91'!M56+'92'!M56+'93'!M56+'94'!M56+'95'!M56</f>
        <v>13</v>
      </c>
      <c r="N59" s="538">
        <f>+'91'!N56+'92'!N56+'93'!N56+'94'!N56+'95'!N56</f>
        <v>2</v>
      </c>
      <c r="O59" s="537">
        <f>+'91'!O56+'92'!O56+'93'!O56+'94'!O56+'95'!O56</f>
        <v>1</v>
      </c>
      <c r="P59" s="537">
        <f>+'91'!P56+'92'!P56+'93'!P56+'94'!P56+'95'!P56</f>
        <v>0</v>
      </c>
      <c r="Q59" s="816">
        <f>+'91'!Q56+'92'!Q56+'93'!Q56+'94'!Q56+'95'!Q56</f>
        <v>3</v>
      </c>
      <c r="R59" s="538">
        <f>+'91'!R56+'92'!R56+'93'!R56+'94'!R56+'95'!R56</f>
        <v>5</v>
      </c>
      <c r="S59" s="537">
        <f>+'91'!S56+'92'!S56+'93'!S56+'94'!S56+'95'!S56</f>
        <v>2</v>
      </c>
      <c r="T59" s="537">
        <f>+'91'!T56+'92'!T56+'93'!T56+'94'!T56+'95'!T56</f>
        <v>2</v>
      </c>
      <c r="U59" s="816">
        <f>+'91'!U56+'92'!U56+'93'!U56+'94'!U56+'95'!U56</f>
        <v>0</v>
      </c>
      <c r="V59" s="538">
        <f>+'91'!V56+'92'!V56+'93'!V56+'94'!V56+'95'!V56</f>
        <v>0</v>
      </c>
      <c r="W59" s="824">
        <f t="shared" si="8"/>
        <v>73</v>
      </c>
      <c r="X59" s="823">
        <f t="shared" si="8"/>
        <v>40</v>
      </c>
      <c r="Y59" s="823">
        <f t="shared" si="9"/>
        <v>113</v>
      </c>
    </row>
    <row r="60" spans="1:25" ht="19.5" customHeight="1">
      <c r="A60" s="535" t="s">
        <v>653</v>
      </c>
      <c r="B60" s="536" t="s">
        <v>673</v>
      </c>
      <c r="C60" s="537">
        <f>+'91'!C57+'92'!C57+'93'!C57+'94'!C57+'95'!C57</f>
        <v>0</v>
      </c>
      <c r="D60" s="537">
        <f>+'91'!D57+'92'!D57+'93'!D57+'94'!D57+'95'!D57</f>
        <v>0</v>
      </c>
      <c r="E60" s="816">
        <f>+'91'!E57+'92'!E57+'93'!E57+'94'!E57+'95'!E57</f>
        <v>0</v>
      </c>
      <c r="F60" s="538">
        <f>+'91'!F57+'92'!F57+'93'!F57+'94'!F57+'95'!F57</f>
        <v>0</v>
      </c>
      <c r="G60" s="537">
        <f>+'91'!G57+'92'!G57+'93'!G57+'94'!G57+'95'!G57</f>
        <v>0</v>
      </c>
      <c r="H60" s="537">
        <f>+'91'!H57+'92'!H57+'93'!H57+'94'!H57+'95'!H57</f>
        <v>0</v>
      </c>
      <c r="I60" s="816">
        <f>+'91'!I57+'92'!I57+'93'!I57+'94'!I57+'95'!I57</f>
        <v>1</v>
      </c>
      <c r="J60" s="538">
        <f>+'91'!J57+'92'!J57+'93'!J57+'94'!J57+'95'!J57</f>
        <v>0</v>
      </c>
      <c r="K60" s="537">
        <f>+'91'!K57+'92'!K57+'93'!K57+'94'!K57+'95'!K57</f>
        <v>1</v>
      </c>
      <c r="L60" s="537">
        <f>+'91'!L57+'92'!L57+'93'!L57+'94'!L57+'95'!L57</f>
        <v>0</v>
      </c>
      <c r="M60" s="816">
        <f>+'91'!M57+'92'!M57+'93'!M57+'94'!M57+'95'!M57</f>
        <v>0</v>
      </c>
      <c r="N60" s="538">
        <f>+'91'!N57+'92'!N57+'93'!N57+'94'!N57+'95'!N57</f>
        <v>1</v>
      </c>
      <c r="O60" s="537">
        <f>+'91'!O57+'92'!O57+'93'!O57+'94'!O57+'95'!O57</f>
        <v>1</v>
      </c>
      <c r="P60" s="537">
        <f>+'91'!P57+'92'!P57+'93'!P57+'94'!P57+'95'!P57</f>
        <v>4</v>
      </c>
      <c r="Q60" s="816">
        <f>+'91'!Q57+'92'!Q57+'93'!Q57+'94'!Q57+'95'!Q57</f>
        <v>7</v>
      </c>
      <c r="R60" s="538">
        <f>+'91'!R57+'92'!R57+'93'!R57+'94'!R57+'95'!R57</f>
        <v>6</v>
      </c>
      <c r="S60" s="537">
        <f>+'91'!S57+'92'!S57+'93'!S57+'94'!S57+'95'!S57</f>
        <v>16</v>
      </c>
      <c r="T60" s="537">
        <f>+'91'!T57+'92'!T57+'93'!T57+'94'!T57+'95'!T57</f>
        <v>12</v>
      </c>
      <c r="U60" s="816">
        <f>+'91'!U57+'92'!U57+'93'!U57+'94'!U57+'95'!U57</f>
        <v>25</v>
      </c>
      <c r="V60" s="538">
        <f>+'91'!V57+'92'!V57+'93'!V57+'94'!V57+'95'!V57</f>
        <v>17</v>
      </c>
      <c r="W60" s="824">
        <f t="shared" si="8"/>
        <v>51</v>
      </c>
      <c r="X60" s="823">
        <f t="shared" si="8"/>
        <v>40</v>
      </c>
      <c r="Y60" s="823">
        <f t="shared" si="9"/>
        <v>91</v>
      </c>
    </row>
    <row r="61" spans="1:25" ht="19.5" customHeight="1">
      <c r="A61" s="535" t="s">
        <v>645</v>
      </c>
      <c r="B61" s="539" t="s">
        <v>208</v>
      </c>
      <c r="C61" s="537">
        <f>+'91'!C58+'92'!C58+'93'!C58+'94'!C58+'95'!C58</f>
        <v>1</v>
      </c>
      <c r="D61" s="537">
        <f>+'91'!D58+'92'!D58+'93'!D58+'94'!D58+'95'!D58</f>
        <v>2</v>
      </c>
      <c r="E61" s="816">
        <f>+'91'!E58+'92'!E58+'93'!E58+'94'!E58+'95'!E58</f>
        <v>1</v>
      </c>
      <c r="F61" s="538">
        <f>+'91'!F58+'92'!F58+'93'!F58+'94'!F58+'95'!F58</f>
        <v>1</v>
      </c>
      <c r="G61" s="537">
        <f>+'91'!G58+'92'!G58+'93'!G58+'94'!G58+'95'!G58</f>
        <v>3</v>
      </c>
      <c r="H61" s="537">
        <f>+'91'!H58+'92'!H58+'93'!H58+'94'!H58+'95'!H58</f>
        <v>8</v>
      </c>
      <c r="I61" s="816">
        <f>+'91'!I58+'92'!I58+'93'!I58+'94'!I58+'95'!I58</f>
        <v>56</v>
      </c>
      <c r="J61" s="538">
        <f>+'91'!J58+'92'!J58+'93'!J58+'94'!J58+'95'!J58</f>
        <v>37</v>
      </c>
      <c r="K61" s="537">
        <f>+'91'!K58+'92'!K58+'93'!K58+'94'!K58+'95'!K58</f>
        <v>65</v>
      </c>
      <c r="L61" s="537">
        <f>+'91'!L58+'92'!L58+'93'!L58+'94'!L58+'95'!L58</f>
        <v>28</v>
      </c>
      <c r="M61" s="816">
        <f>+'91'!M58+'92'!M58+'93'!M58+'94'!M58+'95'!M58</f>
        <v>71</v>
      </c>
      <c r="N61" s="538">
        <f>+'91'!N58+'92'!N58+'93'!N58+'94'!N58+'95'!N58</f>
        <v>41</v>
      </c>
      <c r="O61" s="537">
        <f>+'91'!O58+'92'!O58+'93'!O58+'94'!O58+'95'!O58</f>
        <v>77</v>
      </c>
      <c r="P61" s="537">
        <f>+'91'!P58+'92'!P58+'93'!P58+'94'!P58+'95'!P58</f>
        <v>59</v>
      </c>
      <c r="Q61" s="816">
        <f>+'91'!Q58+'92'!Q58+'93'!Q58+'94'!Q58+'95'!Q58</f>
        <v>488</v>
      </c>
      <c r="R61" s="538">
        <f>+'91'!R58+'92'!R58+'93'!R58+'94'!R58+'95'!R58</f>
        <v>361</v>
      </c>
      <c r="S61" s="537">
        <f>+'91'!S58+'92'!S58+'93'!S58+'94'!S58+'95'!S58</f>
        <v>270</v>
      </c>
      <c r="T61" s="537">
        <f>+'91'!T58+'92'!T58+'93'!T58+'94'!T58+'95'!T58</f>
        <v>216</v>
      </c>
      <c r="U61" s="816">
        <f>+'91'!U58+'92'!U58+'93'!U58+'94'!U58+'95'!U58</f>
        <v>246</v>
      </c>
      <c r="V61" s="538">
        <f>+'91'!V58+'92'!V58+'93'!V58+'94'!V58+'95'!V58</f>
        <v>314</v>
      </c>
      <c r="W61" s="824">
        <f>+C61+E61+G61+I61+K61+M61+O61+Q61+S61+U61</f>
        <v>1278</v>
      </c>
      <c r="X61" s="823">
        <f>+D61+F61+H61+J61+L61+N61+P61+R61+T61+V61</f>
        <v>1067</v>
      </c>
      <c r="Y61" s="823">
        <f>SUM(W61:X61)</f>
        <v>2345</v>
      </c>
    </row>
    <row r="62" spans="1:25" ht="19.5" customHeight="1">
      <c r="A62" s="181" t="s">
        <v>1437</v>
      </c>
      <c r="B62" s="211" t="s">
        <v>1439</v>
      </c>
      <c r="C62" s="537">
        <f>+'91'!C59+'92'!C59+'93'!C59+'94'!C59+'95'!C59</f>
        <v>0</v>
      </c>
      <c r="D62" s="537">
        <f>+'91'!D59+'92'!D59+'93'!D59+'94'!D59+'95'!D59</f>
        <v>0</v>
      </c>
      <c r="E62" s="816">
        <f>+'91'!E59+'92'!E59+'93'!E59+'94'!E59+'95'!E59</f>
        <v>0</v>
      </c>
      <c r="F62" s="538">
        <f>+'91'!F59+'92'!F59+'93'!F59+'94'!F59+'95'!F59</f>
        <v>0</v>
      </c>
      <c r="G62" s="537">
        <f>+'91'!G59+'92'!G59+'93'!G59+'94'!G59+'95'!G59</f>
        <v>0</v>
      </c>
      <c r="H62" s="537">
        <f>+'91'!H59+'92'!H59+'93'!H59+'94'!H59+'95'!H59</f>
        <v>1</v>
      </c>
      <c r="I62" s="816">
        <f>+'91'!I59+'92'!I59+'93'!I59+'94'!I59+'95'!I59</f>
        <v>0</v>
      </c>
      <c r="J62" s="538">
        <f>+'91'!J59+'92'!J59+'93'!J59+'94'!J59+'95'!J59</f>
        <v>3</v>
      </c>
      <c r="K62" s="537">
        <f>+'91'!K59+'92'!K59+'93'!K59+'94'!K59+'95'!K59</f>
        <v>0</v>
      </c>
      <c r="L62" s="537">
        <f>+'91'!L59+'92'!L59+'93'!L59+'94'!L59+'95'!L59</f>
        <v>0</v>
      </c>
      <c r="M62" s="816">
        <f>+'91'!M59+'92'!M59+'93'!M59+'94'!M59+'95'!M59</f>
        <v>0</v>
      </c>
      <c r="N62" s="538">
        <f>+'91'!N59+'92'!N59+'93'!N59+'94'!N59+'95'!N59</f>
        <v>0</v>
      </c>
      <c r="O62" s="537">
        <f>+'91'!O59+'92'!O59+'93'!O59+'94'!O59+'95'!O59</f>
        <v>0</v>
      </c>
      <c r="P62" s="537">
        <f>+'91'!P59+'92'!P59+'93'!P59+'94'!P59+'95'!P59</f>
        <v>1</v>
      </c>
      <c r="Q62" s="816">
        <f>+'91'!Q59+'92'!Q59+'93'!Q59+'94'!Q59+'95'!Q59</f>
        <v>6</v>
      </c>
      <c r="R62" s="538">
        <f>+'91'!R59+'92'!R59+'93'!R59+'94'!R59+'95'!R59</f>
        <v>7</v>
      </c>
      <c r="S62" s="537">
        <f>+'91'!S59+'92'!S59+'93'!S59+'94'!S59+'95'!S59</f>
        <v>13</v>
      </c>
      <c r="T62" s="537">
        <f>+'91'!T59+'92'!T59+'93'!T59+'94'!T59+'95'!T59</f>
        <v>14</v>
      </c>
      <c r="U62" s="816">
        <f>+'91'!U59+'92'!U59+'93'!U59+'94'!U59+'95'!U59</f>
        <v>60</v>
      </c>
      <c r="V62" s="538">
        <f>+'91'!V59+'92'!V59+'93'!V59+'94'!V59+'95'!V59</f>
        <v>51</v>
      </c>
      <c r="W62" s="824">
        <f>+C62+E62+G62+I62+K62+M62+O62+Q62+S62+U62</f>
        <v>79</v>
      </c>
      <c r="X62" s="823">
        <f>+D62+F62+H62+J62+L62+N62+P62+R62+T62+V62</f>
        <v>77</v>
      </c>
      <c r="Y62" s="823">
        <f>SUM(W62:X62)</f>
        <v>156</v>
      </c>
    </row>
    <row r="63" spans="1:25" ht="28.5" customHeight="1">
      <c r="A63" s="181" t="s">
        <v>1438</v>
      </c>
      <c r="B63" s="211" t="s">
        <v>1440</v>
      </c>
      <c r="C63" s="537">
        <f>+'91'!C60+'92'!C60+'93'!C60+'94'!C60+'95'!C60</f>
        <v>0</v>
      </c>
      <c r="D63" s="537">
        <f>+'91'!D60+'92'!D60+'93'!D60+'94'!D60+'95'!D60</f>
        <v>0</v>
      </c>
      <c r="E63" s="816">
        <f>+'91'!E60+'92'!E60+'93'!E60+'94'!E60+'95'!E60</f>
        <v>0</v>
      </c>
      <c r="F63" s="538">
        <f>+'91'!F60+'92'!F60+'93'!F60+'94'!F60+'95'!F60</f>
        <v>0</v>
      </c>
      <c r="G63" s="537">
        <f>+'91'!G60+'92'!G60+'93'!G60+'94'!G60+'95'!G60</f>
        <v>0</v>
      </c>
      <c r="H63" s="537">
        <f>+'91'!H60+'92'!H60+'93'!H60+'94'!H60+'95'!H60</f>
        <v>0</v>
      </c>
      <c r="I63" s="816">
        <f>+'91'!I60+'92'!I60+'93'!I60+'94'!I60+'95'!I60</f>
        <v>0</v>
      </c>
      <c r="J63" s="538">
        <f>+'91'!J60+'92'!J60+'93'!J60+'94'!J60+'95'!J60</f>
        <v>0</v>
      </c>
      <c r="K63" s="537">
        <f>+'91'!K60+'92'!K60+'93'!K60+'94'!K60+'95'!K60</f>
        <v>0</v>
      </c>
      <c r="L63" s="537">
        <f>+'91'!L60+'92'!L60+'93'!L60+'94'!L60+'95'!L60</f>
        <v>0</v>
      </c>
      <c r="M63" s="816">
        <f>+'91'!M60+'92'!M60+'93'!M60+'94'!M60+'95'!M60</f>
        <v>0</v>
      </c>
      <c r="N63" s="538">
        <f>+'91'!N60+'92'!N60+'93'!N60+'94'!N60+'95'!N60</f>
        <v>0</v>
      </c>
      <c r="O63" s="537">
        <f>+'91'!O60+'92'!O60+'93'!O60+'94'!O60+'95'!O60</f>
        <v>0</v>
      </c>
      <c r="P63" s="537">
        <f>+'91'!P60+'92'!P60+'93'!P60+'94'!P60+'95'!P60</f>
        <v>0</v>
      </c>
      <c r="Q63" s="816">
        <f>+'91'!Q60+'92'!Q60+'93'!Q60+'94'!Q60+'95'!Q60</f>
        <v>0</v>
      </c>
      <c r="R63" s="538">
        <f>+'91'!R60+'92'!R60+'93'!R60+'94'!R60+'95'!R60</f>
        <v>0</v>
      </c>
      <c r="S63" s="537">
        <f>+'91'!S60+'92'!S60+'93'!S60+'94'!S60+'95'!S60</f>
        <v>1</v>
      </c>
      <c r="T63" s="537">
        <f>+'91'!T60+'92'!T60+'93'!T60+'94'!T60+'95'!T60</f>
        <v>0</v>
      </c>
      <c r="U63" s="816">
        <f>+'91'!U60+'92'!U60+'93'!U60+'94'!U60+'95'!U60</f>
        <v>3</v>
      </c>
      <c r="V63" s="538">
        <f>+'91'!V60+'92'!V60+'93'!V60+'94'!V60+'95'!V60</f>
        <v>4</v>
      </c>
      <c r="W63" s="824">
        <f t="shared" si="8"/>
        <v>4</v>
      </c>
      <c r="X63" s="823">
        <f t="shared" si="8"/>
        <v>4</v>
      </c>
      <c r="Y63" s="823">
        <f t="shared" si="9"/>
        <v>8</v>
      </c>
    </row>
    <row r="64" spans="1:25" ht="19.5" customHeight="1">
      <c r="A64" s="540"/>
      <c r="B64" s="540" t="s">
        <v>767</v>
      </c>
      <c r="C64" s="792">
        <f>SUM(C44:C63)</f>
        <v>193</v>
      </c>
      <c r="D64" s="574">
        <f>SUM(D44:D63)</f>
        <v>164</v>
      </c>
      <c r="E64" s="792">
        <f>SUM(E44:E63)</f>
        <v>64</v>
      </c>
      <c r="F64" s="795">
        <f t="shared" ref="F64:X64" si="10">SUM(F44:F63)</f>
        <v>50</v>
      </c>
      <c r="G64" s="574">
        <f t="shared" si="10"/>
        <v>216</v>
      </c>
      <c r="H64" s="574">
        <f t="shared" si="10"/>
        <v>149</v>
      </c>
      <c r="I64" s="792">
        <f t="shared" si="10"/>
        <v>288</v>
      </c>
      <c r="J64" s="795">
        <f t="shared" si="10"/>
        <v>257</v>
      </c>
      <c r="K64" s="574">
        <f t="shared" si="10"/>
        <v>259</v>
      </c>
      <c r="L64" s="574">
        <f t="shared" si="10"/>
        <v>160</v>
      </c>
      <c r="M64" s="792">
        <f t="shared" si="10"/>
        <v>213</v>
      </c>
      <c r="N64" s="795">
        <f t="shared" si="10"/>
        <v>174</v>
      </c>
      <c r="O64" s="574">
        <f t="shared" si="10"/>
        <v>222</v>
      </c>
      <c r="P64" s="574">
        <f t="shared" si="10"/>
        <v>432</v>
      </c>
      <c r="Q64" s="817">
        <f t="shared" si="10"/>
        <v>1630</v>
      </c>
      <c r="R64" s="542">
        <f t="shared" si="10"/>
        <v>4833</v>
      </c>
      <c r="S64" s="541">
        <f t="shared" si="10"/>
        <v>2017</v>
      </c>
      <c r="T64" s="541">
        <f t="shared" si="10"/>
        <v>2274</v>
      </c>
      <c r="U64" s="817">
        <f t="shared" si="10"/>
        <v>2996</v>
      </c>
      <c r="V64" s="542">
        <f t="shared" si="10"/>
        <v>3094</v>
      </c>
      <c r="W64" s="817">
        <f t="shared" si="10"/>
        <v>8098</v>
      </c>
      <c r="X64" s="542">
        <f t="shared" si="10"/>
        <v>11587</v>
      </c>
      <c r="Y64" s="575">
        <f>SUM(Y44:Y63)</f>
        <v>19685</v>
      </c>
    </row>
  </sheetData>
  <mergeCells count="16">
    <mergeCell ref="W42:Y42"/>
    <mergeCell ref="C8:D8"/>
    <mergeCell ref="E8:F8"/>
    <mergeCell ref="M8:N8"/>
    <mergeCell ref="AC8:AE8"/>
    <mergeCell ref="C41:V41"/>
    <mergeCell ref="C42:D42"/>
    <mergeCell ref="E42:F42"/>
    <mergeCell ref="G42:H42"/>
    <mergeCell ref="I42:J42"/>
    <mergeCell ref="K42:L42"/>
    <mergeCell ref="M42:N42"/>
    <mergeCell ref="O42:P42"/>
    <mergeCell ref="Q42:R42"/>
    <mergeCell ref="S42:T42"/>
    <mergeCell ref="U42:V42"/>
  </mergeCells>
  <phoneticPr fontId="18" type="noConversion"/>
  <pageMargins left="1.1811023622047245" right="0.78740157480314965" top="1.1811023622047245" bottom="0.39370078740157483" header="0.51181102362204722" footer="0.51181102362204722"/>
  <pageSetup paperSize="5" scale="85" orientation="landscape" horizontalDpi="300" verticalDpi="30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J38"/>
  <sheetViews>
    <sheetView zoomScale="75" workbookViewId="0">
      <selection activeCell="H17" sqref="H17"/>
    </sheetView>
  </sheetViews>
  <sheetFormatPr baseColWidth="10" defaultColWidth="11.42578125" defaultRowHeight="12.75"/>
  <cols>
    <col min="1" max="1" width="9.42578125" style="527" customWidth="1"/>
    <col min="2" max="2" width="26.7109375" style="527" customWidth="1"/>
    <col min="3" max="3" width="13.28515625" style="527" customWidth="1"/>
    <col min="4" max="5" width="12.7109375" style="527" customWidth="1"/>
    <col min="6" max="6" width="11.5703125" style="527" customWidth="1"/>
    <col min="7" max="7" width="11.7109375" style="527" customWidth="1"/>
    <col min="8" max="8" width="10.28515625" style="527" customWidth="1"/>
    <col min="9" max="9" width="11.42578125" style="527"/>
    <col min="10" max="10" width="19.5703125" style="527" customWidth="1"/>
    <col min="11" max="16384" width="11.42578125" style="527"/>
  </cols>
  <sheetData>
    <row r="1" spans="1:10" ht="30" customHeight="1">
      <c r="A1" s="583" t="s">
        <v>1227</v>
      </c>
      <c r="B1" s="553"/>
      <c r="C1" s="525"/>
      <c r="D1" s="525"/>
      <c r="E1" s="525"/>
      <c r="F1" s="525"/>
      <c r="G1" s="525"/>
      <c r="H1" s="525"/>
      <c r="I1" s="525"/>
      <c r="J1" s="525"/>
    </row>
    <row r="2" spans="1:10">
      <c r="A2" s="524"/>
      <c r="B2" s="553"/>
      <c r="C2" s="525"/>
      <c r="D2" s="525"/>
      <c r="E2" s="525"/>
      <c r="F2" s="525"/>
      <c r="G2" s="525"/>
      <c r="H2" s="525"/>
      <c r="I2" s="525"/>
      <c r="J2" s="525"/>
    </row>
    <row r="3" spans="1:10">
      <c r="A3" s="524" t="str">
        <f>+'95'!A3</f>
        <v>SERVICIO DE SALUD   ACONCAGUA   2023</v>
      </c>
      <c r="B3" s="553"/>
      <c r="C3" s="525"/>
      <c r="D3" s="525"/>
      <c r="E3" s="525"/>
      <c r="F3" s="525"/>
      <c r="G3" s="525"/>
      <c r="H3" s="525"/>
      <c r="I3" s="525"/>
      <c r="J3" s="525"/>
    </row>
    <row r="4" spans="1:10">
      <c r="A4" s="554"/>
      <c r="B4" s="553"/>
      <c r="C4" s="525"/>
      <c r="D4" s="525"/>
      <c r="E4" s="525"/>
      <c r="F4" s="525"/>
      <c r="G4" s="525"/>
      <c r="H4" s="525"/>
      <c r="I4" s="525"/>
      <c r="J4" s="525"/>
    </row>
    <row r="5" spans="1:10">
      <c r="A5" s="528"/>
    </row>
    <row r="6" spans="1:10">
      <c r="A6" s="528"/>
    </row>
    <row r="7" spans="1:10" ht="21" customHeight="1">
      <c r="A7" s="1464" t="s">
        <v>627</v>
      </c>
      <c r="B7" s="1455"/>
      <c r="C7" s="1465" t="s">
        <v>210</v>
      </c>
      <c r="D7" s="1465"/>
      <c r="E7" s="1465"/>
      <c r="F7" s="1465"/>
      <c r="G7" s="1465"/>
      <c r="H7" s="1458"/>
      <c r="J7" s="1471" t="s">
        <v>211</v>
      </c>
    </row>
    <row r="8" spans="1:10" ht="23.25" customHeight="1">
      <c r="A8" s="1466" t="s">
        <v>629</v>
      </c>
      <c r="B8" s="1467" t="s">
        <v>630</v>
      </c>
      <c r="C8" s="1468" t="s">
        <v>372</v>
      </c>
      <c r="D8" s="1469" t="s">
        <v>587</v>
      </c>
      <c r="E8" s="1469" t="s">
        <v>833</v>
      </c>
      <c r="F8" s="1469" t="s">
        <v>351</v>
      </c>
      <c r="G8" s="1469" t="s">
        <v>352</v>
      </c>
      <c r="H8" s="1470" t="s">
        <v>474</v>
      </c>
      <c r="J8" s="1472" t="s">
        <v>212</v>
      </c>
    </row>
    <row r="9" spans="1:10">
      <c r="A9" s="532"/>
      <c r="B9" s="533"/>
      <c r="C9" s="534"/>
      <c r="D9" s="534"/>
      <c r="E9" s="534"/>
      <c r="F9" s="534"/>
      <c r="G9" s="534"/>
      <c r="H9" s="552"/>
      <c r="J9" s="536"/>
    </row>
    <row r="10" spans="1:10" ht="17.25" customHeight="1">
      <c r="A10" s="535" t="s">
        <v>651</v>
      </c>
      <c r="B10" s="536" t="s">
        <v>652</v>
      </c>
      <c r="C10" s="537">
        <f>+'91'!AE10</f>
        <v>173</v>
      </c>
      <c r="D10" s="537">
        <f>+'92'!AE10</f>
        <v>188</v>
      </c>
      <c r="E10" s="537">
        <f>+'93'!AE10</f>
        <v>38</v>
      </c>
      <c r="F10" s="537">
        <f>+'94'!AE10</f>
        <v>8</v>
      </c>
      <c r="G10" s="555">
        <f>+'95'!AE10</f>
        <v>2</v>
      </c>
      <c r="H10" s="538">
        <f t="shared" ref="H10:H29" si="0">SUM(C10:G10)</f>
        <v>409</v>
      </c>
      <c r="I10" s="556"/>
      <c r="J10" s="557">
        <f>+H10/H30*100</f>
        <v>2.077724155448311</v>
      </c>
    </row>
    <row r="11" spans="1:10" ht="16.5" customHeight="1">
      <c r="A11" s="535" t="s">
        <v>640</v>
      </c>
      <c r="B11" s="536" t="s">
        <v>641</v>
      </c>
      <c r="C11" s="537">
        <f>+'91'!AE11</f>
        <v>695</v>
      </c>
      <c r="D11" s="537">
        <f>+'92'!AE11</f>
        <v>514</v>
      </c>
      <c r="E11" s="537">
        <f>+'93'!AE11</f>
        <v>49</v>
      </c>
      <c r="F11" s="537">
        <f>+'94'!AE11</f>
        <v>12</v>
      </c>
      <c r="G11" s="555">
        <f>+'95'!AE11</f>
        <v>1</v>
      </c>
      <c r="H11" s="538">
        <f t="shared" si="0"/>
        <v>1271</v>
      </c>
      <c r="I11" s="556"/>
      <c r="J11" s="557">
        <f>+H11/H30*100</f>
        <v>6.4566929133858268</v>
      </c>
    </row>
    <row r="12" spans="1:10" ht="15.75" customHeight="1">
      <c r="A12" s="535" t="s">
        <v>194</v>
      </c>
      <c r="B12" s="536" t="s">
        <v>195</v>
      </c>
      <c r="C12" s="537">
        <f>+'91'!AE12</f>
        <v>88</v>
      </c>
      <c r="D12" s="537">
        <f>+'92'!AE12</f>
        <v>22</v>
      </c>
      <c r="E12" s="537">
        <f>+'93'!AE12</f>
        <v>8</v>
      </c>
      <c r="F12" s="537">
        <f>+'94'!AE12</f>
        <v>1</v>
      </c>
      <c r="G12" s="555">
        <f>+'95'!AE12</f>
        <v>0</v>
      </c>
      <c r="H12" s="538">
        <f t="shared" si="0"/>
        <v>119</v>
      </c>
      <c r="I12" s="556"/>
      <c r="J12" s="557">
        <f>+H12/H30*100</f>
        <v>0.60452120904241802</v>
      </c>
    </row>
    <row r="13" spans="1:10" ht="16.5" customHeight="1">
      <c r="A13" s="535" t="s">
        <v>655</v>
      </c>
      <c r="B13" s="536" t="s">
        <v>656</v>
      </c>
      <c r="C13" s="537">
        <f>+'91'!AE13</f>
        <v>243</v>
      </c>
      <c r="D13" s="537">
        <f>+'92'!AE13</f>
        <v>186</v>
      </c>
      <c r="E13" s="537">
        <f>+'93'!AE13</f>
        <v>44</v>
      </c>
      <c r="F13" s="537">
        <f>+'94'!AE13</f>
        <v>15</v>
      </c>
      <c r="G13" s="555">
        <f>+'95'!AE13</f>
        <v>2</v>
      </c>
      <c r="H13" s="538">
        <f t="shared" si="0"/>
        <v>490</v>
      </c>
      <c r="I13" s="556"/>
      <c r="J13" s="557">
        <f>+H13/H30*100</f>
        <v>2.489204978409957</v>
      </c>
    </row>
    <row r="14" spans="1:10" ht="17.25" customHeight="1">
      <c r="A14" s="535" t="s">
        <v>196</v>
      </c>
      <c r="B14" s="536" t="s">
        <v>197</v>
      </c>
      <c r="C14" s="537">
        <f>+'91'!AE14</f>
        <v>59</v>
      </c>
      <c r="D14" s="537">
        <f>+'92'!AE14</f>
        <v>19</v>
      </c>
      <c r="E14" s="537">
        <f>+'93'!AE14</f>
        <v>63</v>
      </c>
      <c r="F14" s="537">
        <f>+'94'!AE14</f>
        <v>47</v>
      </c>
      <c r="G14" s="555">
        <f>+'95'!AE14</f>
        <v>507</v>
      </c>
      <c r="H14" s="538">
        <f t="shared" si="0"/>
        <v>695</v>
      </c>
      <c r="I14" s="556"/>
      <c r="J14" s="557">
        <f>+H14/H30*100</f>
        <v>3.530607061214122</v>
      </c>
    </row>
    <row r="15" spans="1:10" ht="18" customHeight="1">
      <c r="A15" s="535" t="s">
        <v>198</v>
      </c>
      <c r="B15" s="536" t="s">
        <v>199</v>
      </c>
      <c r="C15" s="537">
        <f>+'91'!AE15</f>
        <v>251</v>
      </c>
      <c r="D15" s="537">
        <f>+'92'!AE15</f>
        <v>39</v>
      </c>
      <c r="E15" s="537">
        <f>+'93'!AE15</f>
        <v>11</v>
      </c>
      <c r="F15" s="537">
        <f>+'94'!AE15</f>
        <v>5</v>
      </c>
      <c r="G15" s="555">
        <f>+'95'!AE15</f>
        <v>1</v>
      </c>
      <c r="H15" s="538">
        <f t="shared" si="0"/>
        <v>307</v>
      </c>
      <c r="I15" s="556"/>
      <c r="J15" s="557">
        <f>+H15/H30*100</f>
        <v>1.5595631191262382</v>
      </c>
    </row>
    <row r="16" spans="1:10" ht="18" customHeight="1">
      <c r="A16" s="535" t="s">
        <v>200</v>
      </c>
      <c r="B16" s="536" t="s">
        <v>201</v>
      </c>
      <c r="C16" s="537">
        <f>+'91'!AE16</f>
        <v>74</v>
      </c>
      <c r="D16" s="537">
        <f>+'92'!AE16</f>
        <v>6</v>
      </c>
      <c r="E16" s="537">
        <f>+'93'!AE16</f>
        <v>1</v>
      </c>
      <c r="F16" s="537">
        <f>+'94'!AE16</f>
        <v>0</v>
      </c>
      <c r="G16" s="555">
        <f>+'95'!AE16</f>
        <v>0</v>
      </c>
      <c r="H16" s="538">
        <f>SUM(C16:G16)</f>
        <v>81</v>
      </c>
      <c r="I16" s="556"/>
      <c r="J16" s="557">
        <f>+H16/H30*100</f>
        <v>0.4114808229616459</v>
      </c>
    </row>
    <row r="17" spans="1:10" ht="17.25" customHeight="1">
      <c r="A17" s="535" t="s">
        <v>638</v>
      </c>
      <c r="B17" s="536" t="s">
        <v>639</v>
      </c>
      <c r="C17" s="537">
        <f>+'91'!AE17</f>
        <v>1028</v>
      </c>
      <c r="D17" s="537">
        <f>+'92'!AE17</f>
        <v>696</v>
      </c>
      <c r="E17" s="537">
        <f>+'93'!AE17</f>
        <v>92</v>
      </c>
      <c r="F17" s="537">
        <f>+'94'!AE17</f>
        <v>51</v>
      </c>
      <c r="G17" s="555">
        <f>+'95'!AE17</f>
        <v>8</v>
      </c>
      <c r="H17" s="538">
        <f t="shared" si="0"/>
        <v>1875</v>
      </c>
      <c r="I17" s="556"/>
      <c r="J17" s="557">
        <f>+H17/H30*100</f>
        <v>9.5250190500381002</v>
      </c>
    </row>
    <row r="18" spans="1:10" ht="17.25" customHeight="1">
      <c r="A18" s="535" t="s">
        <v>642</v>
      </c>
      <c r="B18" s="536" t="s">
        <v>643</v>
      </c>
      <c r="C18" s="537">
        <f>+'91'!AE18</f>
        <v>1258</v>
      </c>
      <c r="D18" s="537">
        <f>+'92'!AE18</f>
        <v>605</v>
      </c>
      <c r="E18" s="537">
        <f>+'93'!AE18</f>
        <v>230</v>
      </c>
      <c r="F18" s="537">
        <f>+'94'!AE18</f>
        <v>207</v>
      </c>
      <c r="G18" s="555">
        <f>+'95'!AE18</f>
        <v>34</v>
      </c>
      <c r="H18" s="538">
        <f t="shared" si="0"/>
        <v>2334</v>
      </c>
      <c r="I18" s="556"/>
      <c r="J18" s="557">
        <f>+H18/H30*100</f>
        <v>11.856743713487427</v>
      </c>
    </row>
    <row r="19" spans="1:10" ht="16.5" customHeight="1">
      <c r="A19" s="535" t="s">
        <v>647</v>
      </c>
      <c r="B19" s="536" t="s">
        <v>648</v>
      </c>
      <c r="C19" s="537">
        <f>+'91'!AE19</f>
        <v>1726</v>
      </c>
      <c r="D19" s="537">
        <f>+'92'!AE19</f>
        <v>1150</v>
      </c>
      <c r="E19" s="537">
        <f>+'93'!AE19</f>
        <v>62</v>
      </c>
      <c r="F19" s="537">
        <f>+'94'!AE19</f>
        <v>26</v>
      </c>
      <c r="G19" s="555">
        <f>+'95'!AE19</f>
        <v>6</v>
      </c>
      <c r="H19" s="538">
        <f t="shared" si="0"/>
        <v>2970</v>
      </c>
      <c r="I19" s="556"/>
      <c r="J19" s="557">
        <f>+H19/H30*100</f>
        <v>15.087630175260349</v>
      </c>
    </row>
    <row r="20" spans="1:10" ht="17.25" customHeight="1">
      <c r="A20" s="535" t="s">
        <v>202</v>
      </c>
      <c r="B20" s="536" t="s">
        <v>203</v>
      </c>
      <c r="C20" s="537">
        <f>+'91'!AE20</f>
        <v>108</v>
      </c>
      <c r="D20" s="537">
        <f>+'92'!AE20</f>
        <v>82</v>
      </c>
      <c r="E20" s="537">
        <f>+'93'!AE20</f>
        <v>70</v>
      </c>
      <c r="F20" s="537">
        <f>+'94'!AE20</f>
        <v>24</v>
      </c>
      <c r="G20" s="555">
        <f>+'95'!AE20</f>
        <v>0</v>
      </c>
      <c r="H20" s="538">
        <f t="shared" si="0"/>
        <v>284</v>
      </c>
      <c r="I20" s="556"/>
      <c r="J20" s="557">
        <f>+H20/H30*100</f>
        <v>1.442722885445771</v>
      </c>
    </row>
    <row r="21" spans="1:10" ht="17.25" customHeight="1">
      <c r="A21" s="535" t="s">
        <v>204</v>
      </c>
      <c r="B21" s="536" t="s">
        <v>205</v>
      </c>
      <c r="C21" s="537">
        <f>+'91'!AE21</f>
        <v>159</v>
      </c>
      <c r="D21" s="537">
        <f>+'92'!AE21</f>
        <v>568</v>
      </c>
      <c r="E21" s="537">
        <f>+'93'!AE21</f>
        <v>7</v>
      </c>
      <c r="F21" s="537">
        <f>+'94'!AE21</f>
        <v>7</v>
      </c>
      <c r="G21" s="555">
        <f>+'95'!AE21</f>
        <v>0</v>
      </c>
      <c r="H21" s="538">
        <f t="shared" si="0"/>
        <v>741</v>
      </c>
      <c r="I21" s="556"/>
      <c r="J21" s="557">
        <f>+H21/H30*100</f>
        <v>3.764287528575057</v>
      </c>
    </row>
    <row r="22" spans="1:10" ht="16.5" customHeight="1">
      <c r="A22" s="535" t="s">
        <v>649</v>
      </c>
      <c r="B22" s="536" t="s">
        <v>650</v>
      </c>
      <c r="C22" s="537">
        <f>+'91'!AE22</f>
        <v>702</v>
      </c>
      <c r="D22" s="537">
        <f>+'92'!AE22</f>
        <v>976</v>
      </c>
      <c r="E22" s="537">
        <f>+'93'!AE22</f>
        <v>157</v>
      </c>
      <c r="F22" s="537">
        <f>+'94'!AE22</f>
        <v>51</v>
      </c>
      <c r="G22" s="555">
        <f>+'95'!AE22</f>
        <v>2</v>
      </c>
      <c r="H22" s="538">
        <f t="shared" si="0"/>
        <v>1888</v>
      </c>
      <c r="I22" s="556"/>
      <c r="J22" s="557">
        <f>+H22/H30*100</f>
        <v>9.5910591821183644</v>
      </c>
    </row>
    <row r="23" spans="1:10" ht="17.25" customHeight="1">
      <c r="A23" s="535" t="s">
        <v>206</v>
      </c>
      <c r="B23" s="536" t="s">
        <v>207</v>
      </c>
      <c r="C23" s="537">
        <f>+'91'!AE23</f>
        <v>1964</v>
      </c>
      <c r="D23" s="537">
        <f>+'92'!AE23</f>
        <v>1105</v>
      </c>
      <c r="E23" s="537">
        <f>+'93'!AE23</f>
        <v>0</v>
      </c>
      <c r="F23" s="537">
        <f>+'94'!AE23</f>
        <v>0</v>
      </c>
      <c r="G23" s="555">
        <f>+'95'!AE23</f>
        <v>0</v>
      </c>
      <c r="H23" s="538">
        <f t="shared" si="0"/>
        <v>3069</v>
      </c>
      <c r="I23" s="556"/>
      <c r="J23" s="557">
        <f>+H23/H30*100</f>
        <v>15.590551181102363</v>
      </c>
    </row>
    <row r="24" spans="1:10" ht="17.25" customHeight="1">
      <c r="A24" s="535" t="s">
        <v>657</v>
      </c>
      <c r="B24" s="536" t="s">
        <v>658</v>
      </c>
      <c r="C24" s="537">
        <f>+'91'!AE24</f>
        <v>300</v>
      </c>
      <c r="D24" s="537">
        <f>+'92'!AE24</f>
        <v>139</v>
      </c>
      <c r="E24" s="537">
        <f>+'93'!AE24</f>
        <v>0</v>
      </c>
      <c r="F24" s="537">
        <f>+'94'!AE24</f>
        <v>0</v>
      </c>
      <c r="G24" s="555">
        <f>+'95'!AE24</f>
        <v>0</v>
      </c>
      <c r="H24" s="538">
        <f t="shared" si="0"/>
        <v>439</v>
      </c>
      <c r="I24" s="556"/>
      <c r="J24" s="557">
        <f>+H24/H30*100</f>
        <v>2.2301244602489207</v>
      </c>
    </row>
    <row r="25" spans="1:10" ht="18" customHeight="1">
      <c r="A25" s="535" t="s">
        <v>659</v>
      </c>
      <c r="B25" s="536" t="s">
        <v>660</v>
      </c>
      <c r="C25" s="537">
        <f>+'91'!AE25</f>
        <v>100</v>
      </c>
      <c r="D25" s="537">
        <f>+'92'!AE25</f>
        <v>13</v>
      </c>
      <c r="E25" s="537">
        <f>+'93'!AE25</f>
        <v>0</v>
      </c>
      <c r="F25" s="537">
        <f>+'94'!AE25</f>
        <v>0</v>
      </c>
      <c r="G25" s="555">
        <f>+'95'!AE25</f>
        <v>0</v>
      </c>
      <c r="H25" s="538">
        <f t="shared" si="0"/>
        <v>113</v>
      </c>
      <c r="I25" s="556"/>
      <c r="J25" s="557">
        <f>+H25/H30*100</f>
        <v>0.57404114808229612</v>
      </c>
    </row>
    <row r="26" spans="1:10" ht="18" customHeight="1">
      <c r="A26" s="535" t="s">
        <v>653</v>
      </c>
      <c r="B26" s="536" t="s">
        <v>673</v>
      </c>
      <c r="C26" s="537">
        <f>+'91'!AE26</f>
        <v>4</v>
      </c>
      <c r="D26" s="537">
        <f>+'92'!AE26</f>
        <v>49</v>
      </c>
      <c r="E26" s="537">
        <f>+'93'!AE26</f>
        <v>24</v>
      </c>
      <c r="F26" s="537">
        <f>+'94'!AE26</f>
        <v>8</v>
      </c>
      <c r="G26" s="555">
        <f>+'95'!AE26</f>
        <v>6</v>
      </c>
      <c r="H26" s="538">
        <f t="shared" si="0"/>
        <v>91</v>
      </c>
      <c r="I26" s="556"/>
      <c r="J26" s="557">
        <f>+H26/H30*100</f>
        <v>0.4622809245618491</v>
      </c>
    </row>
    <row r="27" spans="1:10" ht="18" customHeight="1">
      <c r="A27" s="535" t="s">
        <v>645</v>
      </c>
      <c r="B27" s="539" t="s">
        <v>208</v>
      </c>
      <c r="C27" s="537">
        <f>+'91'!AE27</f>
        <v>780</v>
      </c>
      <c r="D27" s="537">
        <f>+'92'!AE27</f>
        <v>1461</v>
      </c>
      <c r="E27" s="537">
        <f>+'93'!AE27</f>
        <v>58</v>
      </c>
      <c r="F27" s="537">
        <f>+'94'!AE27</f>
        <v>40</v>
      </c>
      <c r="G27" s="555">
        <f>+'95'!AE27</f>
        <v>6</v>
      </c>
      <c r="H27" s="538">
        <f>SUM(C27:G27)</f>
        <v>2345</v>
      </c>
      <c r="I27" s="556"/>
      <c r="J27" s="557">
        <f>+H27/H30*100</f>
        <v>11.912623825247652</v>
      </c>
    </row>
    <row r="28" spans="1:10" ht="18" customHeight="1">
      <c r="A28" s="181" t="s">
        <v>1437</v>
      </c>
      <c r="B28" s="211" t="s">
        <v>1439</v>
      </c>
      <c r="C28" s="537">
        <f>+'91'!AE28</f>
        <v>61</v>
      </c>
      <c r="D28" s="537">
        <f>+'92'!AE28</f>
        <v>49</v>
      </c>
      <c r="E28" s="537">
        <f>+'93'!AE28</f>
        <v>23</v>
      </c>
      <c r="F28" s="537">
        <f>+'94'!AE28</f>
        <v>23</v>
      </c>
      <c r="G28" s="555">
        <f>+'95'!AE28</f>
        <v>0</v>
      </c>
      <c r="H28" s="538">
        <f>SUM(C28:G28)</f>
        <v>156</v>
      </c>
      <c r="I28" s="556"/>
      <c r="J28" s="557">
        <f>+H28/H30*100</f>
        <v>0.79248158496317</v>
      </c>
    </row>
    <row r="29" spans="1:10" ht="28.5" customHeight="1">
      <c r="A29" s="181" t="s">
        <v>1438</v>
      </c>
      <c r="B29" s="211" t="s">
        <v>1440</v>
      </c>
      <c r="C29" s="537">
        <f>+'91'!AE29</f>
        <v>2</v>
      </c>
      <c r="D29" s="537">
        <f>+'92'!AE29</f>
        <v>0</v>
      </c>
      <c r="E29" s="537">
        <f>+'93'!AE29</f>
        <v>6</v>
      </c>
      <c r="F29" s="537">
        <f>+'94'!AE29</f>
        <v>0</v>
      </c>
      <c r="G29" s="555">
        <f>+'95'!AE29</f>
        <v>0</v>
      </c>
      <c r="H29" s="538">
        <f t="shared" si="0"/>
        <v>8</v>
      </c>
      <c r="I29" s="556"/>
      <c r="J29" s="557">
        <f>+H29/H30*100</f>
        <v>4.0640081280162561E-2</v>
      </c>
    </row>
    <row r="30" spans="1:10" ht="21.75" customHeight="1">
      <c r="A30" s="540"/>
      <c r="B30" s="540" t="s">
        <v>474</v>
      </c>
      <c r="C30" s="541">
        <f t="shared" ref="C30:H30" si="1">SUM(C10:C29)</f>
        <v>9775</v>
      </c>
      <c r="D30" s="541">
        <f t="shared" si="1"/>
        <v>7867</v>
      </c>
      <c r="E30" s="541">
        <f t="shared" si="1"/>
        <v>943</v>
      </c>
      <c r="F30" s="541">
        <f t="shared" si="1"/>
        <v>525</v>
      </c>
      <c r="G30" s="541">
        <f t="shared" si="1"/>
        <v>575</v>
      </c>
      <c r="H30" s="542">
        <f t="shared" si="1"/>
        <v>19685</v>
      </c>
      <c r="I30" s="556"/>
      <c r="J30" s="558">
        <f>SUM(J10:J29)</f>
        <v>100.00000000000001</v>
      </c>
    </row>
    <row r="37" ht="18.75" customHeight="1"/>
    <row r="38" ht="23.25" customHeight="1"/>
  </sheetData>
  <phoneticPr fontId="18" type="noConversion"/>
  <pageMargins left="1.7716535433070868" right="0.78740157480314965" top="0.78740157480314965" bottom="0.59055118110236227" header="0.51181102362204722" footer="0.51181102362204722"/>
  <pageSetup paperSize="5" scale="95"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80"/>
  <sheetViews>
    <sheetView zoomScaleNormal="100" workbookViewId="0">
      <selection activeCell="F20" sqref="F20"/>
    </sheetView>
  </sheetViews>
  <sheetFormatPr baseColWidth="10" defaultRowHeight="12.75"/>
  <cols>
    <col min="1" max="1" width="6.28515625" customWidth="1"/>
    <col min="2" max="2" width="10.28515625" customWidth="1"/>
    <col min="3" max="3" width="9.28515625" customWidth="1"/>
    <col min="4" max="4" width="10.7109375" customWidth="1"/>
    <col min="5" max="5" width="9.7109375" customWidth="1"/>
    <col min="6" max="6" width="9.5703125" customWidth="1"/>
    <col min="7" max="7" width="9.42578125" customWidth="1"/>
    <col min="8" max="8" width="9.5703125" customWidth="1"/>
    <col min="9" max="9" width="9.7109375" customWidth="1"/>
    <col min="10" max="10" width="9" customWidth="1"/>
    <col min="11" max="11" width="9.28515625" customWidth="1"/>
    <col min="12" max="12" width="8.7109375" customWidth="1"/>
    <col min="13" max="14" width="9.7109375" customWidth="1"/>
    <col min="15" max="15" width="9" customWidth="1"/>
    <col min="16" max="16" width="8.5703125" customWidth="1"/>
  </cols>
  <sheetData>
    <row r="1" spans="1:18">
      <c r="A1" s="1517" t="s">
        <v>595</v>
      </c>
      <c r="B1" s="1517"/>
      <c r="C1" s="1517"/>
      <c r="D1" s="1517"/>
      <c r="E1" s="1517"/>
      <c r="F1" s="1517"/>
      <c r="G1" s="1517"/>
      <c r="H1" s="1517"/>
      <c r="I1" s="1517"/>
      <c r="J1" s="1517"/>
      <c r="K1" s="1517"/>
      <c r="L1" s="1517"/>
      <c r="M1" s="1517"/>
      <c r="N1" s="1517"/>
      <c r="O1" s="1517"/>
      <c r="P1" s="1517"/>
    </row>
    <row r="2" spans="1:18">
      <c r="A2" s="949"/>
      <c r="B2" s="949"/>
      <c r="C2" s="949"/>
      <c r="D2" s="949"/>
      <c r="E2" s="949"/>
      <c r="F2" s="949"/>
      <c r="G2" s="949"/>
      <c r="H2" s="949"/>
      <c r="I2" s="949"/>
      <c r="J2" s="950"/>
      <c r="K2" s="950"/>
      <c r="L2" s="950"/>
      <c r="M2" s="950"/>
      <c r="N2" s="950"/>
      <c r="O2" s="950"/>
      <c r="P2" s="950"/>
    </row>
    <row r="3" spans="1:18">
      <c r="A3" s="1517" t="s">
        <v>1489</v>
      </c>
      <c r="B3" s="1517"/>
      <c r="C3" s="1517"/>
      <c r="D3" s="1517"/>
      <c r="E3" s="1517"/>
      <c r="F3" s="1517"/>
      <c r="G3" s="1517"/>
      <c r="H3" s="1517"/>
      <c r="I3" s="1517"/>
      <c r="J3" s="1517"/>
      <c r="K3" s="1517"/>
      <c r="L3" s="1517"/>
      <c r="M3" s="1517"/>
      <c r="N3" s="1517"/>
      <c r="O3" s="1517"/>
      <c r="P3" s="1517"/>
    </row>
    <row r="4" spans="1:18">
      <c r="A4" s="140"/>
      <c r="B4" s="140"/>
      <c r="C4" s="140"/>
      <c r="D4" s="140"/>
      <c r="E4" s="140"/>
      <c r="F4" s="140"/>
      <c r="G4" s="140"/>
      <c r="H4" s="140"/>
      <c r="I4" s="86"/>
      <c r="J4" s="86"/>
      <c r="K4" s="86"/>
      <c r="L4" s="86"/>
      <c r="M4" s="86"/>
      <c r="N4" s="86"/>
      <c r="O4" s="86"/>
      <c r="P4" s="86"/>
    </row>
    <row r="5" spans="1:18">
      <c r="A5" s="1"/>
      <c r="B5" s="86"/>
      <c r="C5" s="86"/>
      <c r="D5" s="86"/>
      <c r="E5" s="86"/>
      <c r="F5" s="86"/>
      <c r="G5" s="86"/>
      <c r="H5" s="86"/>
      <c r="I5" s="86"/>
      <c r="J5" s="86"/>
      <c r="K5" s="86"/>
      <c r="L5" s="86"/>
      <c r="M5" s="86"/>
      <c r="N5" s="86"/>
      <c r="O5" s="86"/>
      <c r="P5" s="86"/>
    </row>
    <row r="6" spans="1:18" ht="22.5" customHeight="1">
      <c r="A6" s="964"/>
      <c r="B6" s="965"/>
      <c r="C6" s="965"/>
      <c r="D6" s="965"/>
      <c r="E6" s="966"/>
      <c r="F6" s="967" t="s">
        <v>596</v>
      </c>
      <c r="G6" s="967"/>
      <c r="H6" s="967"/>
      <c r="I6" s="967"/>
      <c r="J6" s="967"/>
      <c r="K6" s="967"/>
      <c r="L6" s="967"/>
      <c r="M6" s="967"/>
      <c r="N6" s="967"/>
      <c r="O6" s="967"/>
      <c r="P6" s="968"/>
    </row>
    <row r="7" spans="1:18">
      <c r="A7" s="969" t="s">
        <v>597</v>
      </c>
      <c r="B7" s="970" t="s">
        <v>602</v>
      </c>
      <c r="C7" s="970" t="s">
        <v>603</v>
      </c>
      <c r="D7" s="971" t="s">
        <v>604</v>
      </c>
      <c r="E7" s="972" t="s">
        <v>605</v>
      </c>
      <c r="F7" s="973"/>
      <c r="G7" s="974"/>
      <c r="H7" s="974"/>
      <c r="I7" s="974"/>
      <c r="J7" s="972" t="s">
        <v>605</v>
      </c>
      <c r="K7" s="974"/>
      <c r="L7" s="974"/>
      <c r="M7" s="974"/>
      <c r="N7" s="974"/>
      <c r="O7" s="974"/>
      <c r="P7" s="975"/>
    </row>
    <row r="8" spans="1:18">
      <c r="A8" s="976"/>
      <c r="B8" s="977"/>
      <c r="C8" s="977"/>
      <c r="D8" s="971" t="s">
        <v>606</v>
      </c>
      <c r="E8" s="969" t="s">
        <v>587</v>
      </c>
      <c r="F8" s="970" t="s">
        <v>587</v>
      </c>
      <c r="G8" s="970" t="s">
        <v>607</v>
      </c>
      <c r="H8" s="970" t="s">
        <v>608</v>
      </c>
      <c r="I8" s="970" t="s">
        <v>387</v>
      </c>
      <c r="J8" s="970" t="s">
        <v>609</v>
      </c>
      <c r="K8" s="970" t="s">
        <v>609</v>
      </c>
      <c r="L8" s="970" t="s">
        <v>351</v>
      </c>
      <c r="M8" s="970" t="s">
        <v>369</v>
      </c>
      <c r="N8" s="970" t="s">
        <v>374</v>
      </c>
      <c r="O8" s="970" t="s">
        <v>610</v>
      </c>
      <c r="P8" s="969" t="s">
        <v>376</v>
      </c>
    </row>
    <row r="9" spans="1:18">
      <c r="A9" s="969"/>
      <c r="B9" s="970"/>
      <c r="C9" s="970"/>
      <c r="D9" s="978"/>
      <c r="E9" s="979"/>
      <c r="F9" s="980"/>
      <c r="G9" s="980"/>
      <c r="H9" s="980"/>
      <c r="I9" s="980"/>
      <c r="J9" s="980"/>
      <c r="K9" s="980"/>
      <c r="L9" s="980"/>
      <c r="M9" s="980"/>
      <c r="N9" s="980"/>
      <c r="O9" s="980"/>
      <c r="P9" s="981"/>
    </row>
    <row r="10" spans="1:18">
      <c r="A10" s="974"/>
      <c r="B10" s="990"/>
      <c r="C10" s="991"/>
      <c r="D10" s="987"/>
      <c r="E10" s="986"/>
      <c r="F10" s="144"/>
      <c r="G10" s="148"/>
      <c r="H10" s="144"/>
      <c r="I10" s="148"/>
      <c r="J10" s="982"/>
      <c r="K10" s="144"/>
      <c r="L10" s="148"/>
      <c r="M10" s="144"/>
      <c r="N10" s="148"/>
      <c r="O10" s="144"/>
      <c r="P10" s="144"/>
    </row>
    <row r="11" spans="1:18" s="6" customFormat="1" ht="25.5" customHeight="1">
      <c r="A11" s="992">
        <v>2014</v>
      </c>
      <c r="B11" s="993">
        <v>17787617</v>
      </c>
      <c r="C11" s="994">
        <v>1824842</v>
      </c>
      <c r="D11" s="988">
        <f t="shared" ref="D11:D15" si="0">+E11+J11</f>
        <v>263459</v>
      </c>
      <c r="E11" s="983">
        <f t="shared" ref="E11:E15" si="1">SUM(F11:I11)</f>
        <v>108270</v>
      </c>
      <c r="F11" s="150">
        <v>65490</v>
      </c>
      <c r="G11" s="153">
        <v>18578</v>
      </c>
      <c r="H11" s="150">
        <v>14372</v>
      </c>
      <c r="I11" s="153">
        <v>9830</v>
      </c>
      <c r="J11" s="983">
        <f t="shared" ref="J11:J15" si="2">SUM(K11:P11)</f>
        <v>155189</v>
      </c>
      <c r="K11" s="150">
        <v>77024</v>
      </c>
      <c r="L11" s="153">
        <v>16692</v>
      </c>
      <c r="M11" s="150">
        <v>15180</v>
      </c>
      <c r="N11" s="153">
        <v>7219</v>
      </c>
      <c r="O11" s="150">
        <v>24895</v>
      </c>
      <c r="P11" s="150">
        <v>14179</v>
      </c>
      <c r="R11" s="154"/>
    </row>
    <row r="12" spans="1:18" s="6" customFormat="1" ht="25.5" customHeight="1">
      <c r="A12" s="992">
        <v>2015</v>
      </c>
      <c r="B12" s="993">
        <v>17971423</v>
      </c>
      <c r="C12" s="994">
        <v>1844609</v>
      </c>
      <c r="D12" s="988">
        <f t="shared" si="0"/>
        <v>266356</v>
      </c>
      <c r="E12" s="983">
        <f t="shared" si="1"/>
        <v>109467</v>
      </c>
      <c r="F12" s="150">
        <v>65831</v>
      </c>
      <c r="G12" s="153">
        <v>18893</v>
      </c>
      <c r="H12" s="150">
        <v>14692</v>
      </c>
      <c r="I12" s="153">
        <v>10051</v>
      </c>
      <c r="J12" s="983">
        <f t="shared" si="2"/>
        <v>156889</v>
      </c>
      <c r="K12" s="150">
        <v>77974</v>
      </c>
      <c r="L12" s="153">
        <v>16829</v>
      </c>
      <c r="M12" s="150">
        <v>15353</v>
      </c>
      <c r="N12" s="153">
        <v>7274</v>
      </c>
      <c r="O12" s="150">
        <v>25130</v>
      </c>
      <c r="P12" s="150">
        <v>14329</v>
      </c>
      <c r="R12" s="154"/>
    </row>
    <row r="13" spans="1:18" s="6" customFormat="1" ht="25.5" customHeight="1">
      <c r="A13" s="992">
        <v>2016</v>
      </c>
      <c r="B13" s="993">
        <v>18167147</v>
      </c>
      <c r="C13" s="994">
        <v>1864129</v>
      </c>
      <c r="D13" s="988">
        <f t="shared" si="0"/>
        <v>269239</v>
      </c>
      <c r="E13" s="983">
        <f t="shared" si="1"/>
        <v>110666</v>
      </c>
      <c r="F13" s="150">
        <v>66160</v>
      </c>
      <c r="G13" s="153">
        <v>19203</v>
      </c>
      <c r="H13" s="150">
        <v>15023</v>
      </c>
      <c r="I13" s="153">
        <v>10280</v>
      </c>
      <c r="J13" s="983">
        <f t="shared" si="2"/>
        <v>158573</v>
      </c>
      <c r="K13" s="150">
        <v>78917</v>
      </c>
      <c r="L13" s="153">
        <v>16963</v>
      </c>
      <c r="M13" s="150">
        <v>15525</v>
      </c>
      <c r="N13" s="153">
        <v>7328</v>
      </c>
      <c r="O13" s="150">
        <v>25363</v>
      </c>
      <c r="P13" s="150">
        <v>14477</v>
      </c>
      <c r="R13" s="154"/>
    </row>
    <row r="14" spans="1:18" s="6" customFormat="1" ht="25.5" customHeight="1">
      <c r="A14" s="992">
        <v>2017</v>
      </c>
      <c r="B14" s="993">
        <v>18419192</v>
      </c>
      <c r="C14" s="994">
        <v>1885948</v>
      </c>
      <c r="D14" s="988">
        <f t="shared" si="0"/>
        <v>272453</v>
      </c>
      <c r="E14" s="983">
        <f t="shared" si="1"/>
        <v>111997</v>
      </c>
      <c r="F14" s="150">
        <v>66572</v>
      </c>
      <c r="G14" s="153">
        <v>19541</v>
      </c>
      <c r="H14" s="150">
        <v>15371</v>
      </c>
      <c r="I14" s="153">
        <v>10513</v>
      </c>
      <c r="J14" s="983">
        <f t="shared" si="2"/>
        <v>160456</v>
      </c>
      <c r="K14" s="150">
        <v>79961</v>
      </c>
      <c r="L14" s="153">
        <v>17116</v>
      </c>
      <c r="M14" s="150">
        <v>15716</v>
      </c>
      <c r="N14" s="153">
        <v>7394</v>
      </c>
      <c r="O14" s="150">
        <v>25626</v>
      </c>
      <c r="P14" s="150">
        <v>14643</v>
      </c>
      <c r="R14" s="154"/>
    </row>
    <row r="15" spans="1:18" s="6" customFormat="1" ht="25.5" customHeight="1">
      <c r="A15" s="992">
        <v>2018</v>
      </c>
      <c r="B15" s="993">
        <v>18751405</v>
      </c>
      <c r="C15" s="994">
        <v>1910385</v>
      </c>
      <c r="D15" s="988">
        <f t="shared" si="0"/>
        <v>276054</v>
      </c>
      <c r="E15" s="983">
        <f t="shared" si="1"/>
        <v>113484</v>
      </c>
      <c r="F15" s="150">
        <v>67071</v>
      </c>
      <c r="G15" s="153">
        <v>19905</v>
      </c>
      <c r="H15" s="150">
        <v>15744</v>
      </c>
      <c r="I15" s="153">
        <v>10764</v>
      </c>
      <c r="J15" s="983">
        <f t="shared" si="2"/>
        <v>162570</v>
      </c>
      <c r="K15" s="150">
        <v>81120</v>
      </c>
      <c r="L15" s="153">
        <v>17292</v>
      </c>
      <c r="M15" s="150">
        <v>15930</v>
      </c>
      <c r="N15" s="153">
        <v>7472</v>
      </c>
      <c r="O15" s="150">
        <v>25925</v>
      </c>
      <c r="P15" s="150">
        <v>14831</v>
      </c>
      <c r="R15" s="154"/>
    </row>
    <row r="16" spans="1:18" s="6" customFormat="1" ht="25.5" customHeight="1">
      <c r="A16" s="992">
        <v>2019</v>
      </c>
      <c r="B16" s="993">
        <v>19107216</v>
      </c>
      <c r="C16" s="994">
        <v>1935455</v>
      </c>
      <c r="D16" s="988">
        <f>+E16+J16</f>
        <v>279717</v>
      </c>
      <c r="E16" s="983">
        <f>SUM(F16:I16)</f>
        <v>114976</v>
      </c>
      <c r="F16" s="150">
        <v>67583</v>
      </c>
      <c r="G16" s="153">
        <v>20276</v>
      </c>
      <c r="H16" s="150">
        <v>16107</v>
      </c>
      <c r="I16" s="153">
        <v>11010</v>
      </c>
      <c r="J16" s="983">
        <f>SUM(K16:P16)</f>
        <v>164741</v>
      </c>
      <c r="K16" s="150">
        <v>82312</v>
      </c>
      <c r="L16" s="153">
        <v>17471</v>
      </c>
      <c r="M16" s="150">
        <v>16150</v>
      </c>
      <c r="N16" s="153">
        <v>7553</v>
      </c>
      <c r="O16" s="150">
        <v>26232</v>
      </c>
      <c r="P16" s="150">
        <v>15023</v>
      </c>
      <c r="R16" s="154"/>
    </row>
    <row r="17" spans="1:18" s="6" customFormat="1" ht="25.5" customHeight="1">
      <c r="A17" s="992">
        <v>2020</v>
      </c>
      <c r="B17" s="993">
        <v>19116208</v>
      </c>
      <c r="C17" s="994">
        <v>1960170</v>
      </c>
      <c r="D17" s="988">
        <f>+E17+J17</f>
        <v>283366</v>
      </c>
      <c r="E17" s="983">
        <f>SUM(F17:I17)</f>
        <v>116481</v>
      </c>
      <c r="F17" s="150">
        <v>68093</v>
      </c>
      <c r="G17" s="153">
        <v>20643</v>
      </c>
      <c r="H17" s="150">
        <v>16482</v>
      </c>
      <c r="I17" s="153">
        <v>11263</v>
      </c>
      <c r="J17" s="983">
        <f>SUM(K17:P17)</f>
        <v>166885</v>
      </c>
      <c r="K17" s="150">
        <v>83494</v>
      </c>
      <c r="L17" s="153">
        <v>17645</v>
      </c>
      <c r="M17" s="150">
        <v>16367</v>
      </c>
      <c r="N17" s="153">
        <v>7633</v>
      </c>
      <c r="O17" s="150">
        <v>26533</v>
      </c>
      <c r="P17" s="150">
        <v>15213</v>
      </c>
      <c r="R17" s="154"/>
    </row>
    <row r="18" spans="1:18" s="6" customFormat="1" ht="25.5" customHeight="1">
      <c r="A18" s="992">
        <v>2021</v>
      </c>
      <c r="B18" s="993">
        <v>19316208</v>
      </c>
      <c r="C18" s="994">
        <v>1979373</v>
      </c>
      <c r="D18" s="988">
        <f>+E18+J18</f>
        <v>286194</v>
      </c>
      <c r="E18" s="983">
        <f>SUM(F18:I18)</f>
        <v>117628</v>
      </c>
      <c r="F18" s="150">
        <v>68401</v>
      </c>
      <c r="G18" s="153">
        <v>20952</v>
      </c>
      <c r="H18" s="150">
        <v>16804</v>
      </c>
      <c r="I18" s="153">
        <v>11471</v>
      </c>
      <c r="J18" s="983">
        <f>SUM(K18:P18)</f>
        <v>168566</v>
      </c>
      <c r="K18" s="150">
        <v>84445</v>
      </c>
      <c r="L18" s="153">
        <v>17768</v>
      </c>
      <c r="M18" s="150">
        <v>16539</v>
      </c>
      <c r="N18" s="153">
        <v>7694</v>
      </c>
      <c r="O18" s="150">
        <v>26760</v>
      </c>
      <c r="P18" s="150">
        <v>15360</v>
      </c>
      <c r="Q18" s="94"/>
      <c r="R18" s="154"/>
    </row>
    <row r="19" spans="1:18" s="6" customFormat="1" ht="25.5" customHeight="1">
      <c r="A19" s="992">
        <v>2022</v>
      </c>
      <c r="B19" s="993">
        <v>19493184</v>
      </c>
      <c r="C19" s="994">
        <v>1995538</v>
      </c>
      <c r="D19" s="988">
        <f>+E19+J19</f>
        <v>288579</v>
      </c>
      <c r="E19" s="983">
        <f>SUM(F19:I19)</f>
        <v>118588</v>
      </c>
      <c r="F19" s="150">
        <v>68602</v>
      </c>
      <c r="G19" s="153">
        <v>21226</v>
      </c>
      <c r="H19" s="150">
        <v>17097</v>
      </c>
      <c r="I19" s="153">
        <v>11663</v>
      </c>
      <c r="J19" s="983">
        <f>SUM(K19:P19)</f>
        <v>169991</v>
      </c>
      <c r="K19" s="150">
        <v>85270</v>
      </c>
      <c r="L19" s="153">
        <v>17862</v>
      </c>
      <c r="M19" s="150">
        <v>16686</v>
      </c>
      <c r="N19" s="153">
        <v>7745</v>
      </c>
      <c r="O19" s="150">
        <v>26946</v>
      </c>
      <c r="P19" s="150">
        <v>15482</v>
      </c>
      <c r="R19" s="154"/>
    </row>
    <row r="20" spans="1:18" s="6" customFormat="1" ht="25.5" customHeight="1">
      <c r="A20" s="992">
        <v>2023</v>
      </c>
      <c r="B20" s="993">
        <v>19960889</v>
      </c>
      <c r="C20" s="994">
        <v>2010849</v>
      </c>
      <c r="D20" s="988">
        <f>+E20+J20</f>
        <v>290863</v>
      </c>
      <c r="E20" s="983">
        <f>SUM(F20:I20)</f>
        <v>119516</v>
      </c>
      <c r="F20" s="150">
        <v>68788</v>
      </c>
      <c r="G20" s="153">
        <v>21493</v>
      </c>
      <c r="H20" s="150">
        <v>17388</v>
      </c>
      <c r="I20" s="153">
        <v>11847</v>
      </c>
      <c r="J20" s="983">
        <f>SUM(K20:P20)</f>
        <v>171347</v>
      </c>
      <c r="K20" s="150">
        <v>86062</v>
      </c>
      <c r="L20" s="153">
        <v>17945</v>
      </c>
      <c r="M20" s="150">
        <v>16827</v>
      </c>
      <c r="N20" s="153">
        <v>7794</v>
      </c>
      <c r="O20" s="150">
        <v>27119</v>
      </c>
      <c r="P20" s="150">
        <v>15600</v>
      </c>
      <c r="R20" s="154"/>
    </row>
    <row r="21" spans="1:18">
      <c r="A21" s="995"/>
      <c r="B21" s="996"/>
      <c r="C21" s="997"/>
      <c r="D21" s="989"/>
      <c r="E21" s="985"/>
      <c r="F21" s="158"/>
      <c r="G21" s="159"/>
      <c r="H21" s="158"/>
      <c r="I21" s="159"/>
      <c r="J21" s="984"/>
      <c r="K21" s="158"/>
      <c r="L21" s="159"/>
      <c r="M21" s="158"/>
      <c r="N21" s="159"/>
      <c r="O21" s="158"/>
      <c r="P21" s="158"/>
    </row>
    <row r="22" spans="1:18">
      <c r="B22" s="163"/>
      <c r="C22" s="161"/>
      <c r="D22" s="161"/>
      <c r="E22" s="161"/>
      <c r="F22" s="161"/>
      <c r="G22" s="161"/>
      <c r="H22" s="161"/>
      <c r="I22" s="161"/>
      <c r="J22" s="161"/>
      <c r="K22" s="161"/>
      <c r="L22" s="161"/>
      <c r="M22" s="161"/>
      <c r="N22" s="161"/>
      <c r="O22" s="161"/>
      <c r="P22" s="161"/>
    </row>
    <row r="23" spans="1:18">
      <c r="A23" s="161"/>
      <c r="B23" s="164"/>
      <c r="C23" s="165"/>
      <c r="D23" s="161"/>
      <c r="E23" s="161"/>
      <c r="F23" s="161"/>
      <c r="G23" s="161"/>
      <c r="H23" s="161"/>
      <c r="I23" s="161"/>
      <c r="J23" s="161"/>
      <c r="K23" s="161"/>
      <c r="L23" s="161"/>
      <c r="M23" s="161"/>
      <c r="N23" s="161"/>
      <c r="O23" s="161"/>
      <c r="P23" s="161"/>
    </row>
    <row r="24" spans="1:18">
      <c r="A24" s="161"/>
      <c r="B24" s="161"/>
      <c r="C24" s="161"/>
      <c r="D24" s="161"/>
      <c r="E24" s="161"/>
      <c r="F24" s="161"/>
      <c r="G24" s="161"/>
      <c r="H24" s="161"/>
      <c r="I24" s="161"/>
      <c r="J24" s="161"/>
      <c r="K24" s="161"/>
      <c r="L24" s="161"/>
      <c r="M24" s="161"/>
      <c r="N24" s="161"/>
      <c r="O24" s="161"/>
      <c r="P24" s="161"/>
    </row>
    <row r="25" spans="1:18">
      <c r="A25" s="162" t="s">
        <v>1412</v>
      </c>
      <c r="B25" s="165"/>
      <c r="C25" s="165"/>
      <c r="D25" s="165"/>
      <c r="E25" s="165"/>
      <c r="F25" s="165"/>
      <c r="G25" s="165"/>
      <c r="H25" s="165"/>
      <c r="I25" s="165"/>
      <c r="J25" s="165"/>
      <c r="K25" s="165"/>
      <c r="L25" s="165"/>
      <c r="M25" s="165"/>
      <c r="N25" s="165"/>
      <c r="O25" s="165"/>
      <c r="P25" s="165"/>
    </row>
    <row r="26" spans="1:18">
      <c r="A26" s="165"/>
      <c r="B26" s="165"/>
      <c r="C26" s="165"/>
      <c r="D26" s="165"/>
      <c r="E26" s="165"/>
      <c r="F26" s="165"/>
      <c r="G26" s="165"/>
      <c r="H26" s="165"/>
      <c r="I26" s="165"/>
      <c r="J26" s="165"/>
      <c r="K26" s="165"/>
      <c r="L26" s="165"/>
      <c r="M26" s="165"/>
      <c r="N26" s="165"/>
      <c r="O26" s="165"/>
      <c r="P26" s="165"/>
    </row>
    <row r="27" spans="1:18">
      <c r="A27" s="165"/>
      <c r="B27" s="165"/>
      <c r="C27" s="165"/>
      <c r="D27" s="165"/>
      <c r="E27" s="165"/>
      <c r="F27" s="165"/>
      <c r="G27" s="165"/>
      <c r="H27" s="165"/>
      <c r="I27" s="165"/>
      <c r="J27" s="165"/>
      <c r="K27" s="165"/>
      <c r="L27" s="165"/>
      <c r="M27" s="165"/>
      <c r="N27" s="165"/>
      <c r="O27" s="165"/>
      <c r="P27" s="165"/>
    </row>
    <row r="28" spans="1:18">
      <c r="A28" s="165"/>
      <c r="B28" s="165"/>
      <c r="C28" s="165"/>
      <c r="D28" s="165"/>
      <c r="E28" s="165"/>
      <c r="F28" s="165"/>
      <c r="G28" s="165"/>
      <c r="H28" s="165"/>
      <c r="I28" s="165"/>
      <c r="J28" s="165"/>
      <c r="K28" s="165"/>
      <c r="L28" s="165"/>
      <c r="M28" s="165"/>
      <c r="N28" s="165"/>
      <c r="O28" s="165"/>
      <c r="P28" s="165"/>
    </row>
    <row r="29" spans="1:18">
      <c r="A29" s="165"/>
      <c r="B29" s="165"/>
      <c r="C29" s="165"/>
      <c r="D29" s="165"/>
      <c r="E29" s="165"/>
      <c r="F29" s="165"/>
      <c r="G29" s="165"/>
      <c r="H29" s="165"/>
      <c r="I29" s="165"/>
      <c r="J29" s="165"/>
      <c r="K29" s="165"/>
      <c r="L29" s="165"/>
      <c r="M29" s="165"/>
      <c r="N29" s="165"/>
      <c r="O29" s="165"/>
      <c r="P29" s="165"/>
    </row>
    <row r="30" spans="1:18">
      <c r="A30" s="165"/>
      <c r="B30" s="165"/>
      <c r="C30" s="165"/>
      <c r="D30" s="165"/>
      <c r="E30" s="165"/>
      <c r="F30" s="165"/>
      <c r="G30" s="165"/>
      <c r="H30" s="165"/>
      <c r="I30" s="165"/>
      <c r="J30" s="165"/>
      <c r="K30" s="165"/>
      <c r="L30" s="165"/>
      <c r="M30" s="165"/>
      <c r="N30" s="165"/>
      <c r="O30" s="165"/>
      <c r="P30" s="165"/>
    </row>
    <row r="31" spans="1:18">
      <c r="A31" s="165"/>
      <c r="B31" s="165"/>
      <c r="C31" s="165"/>
      <c r="D31" s="165"/>
      <c r="E31" s="165"/>
      <c r="F31" s="165"/>
      <c r="G31" s="165"/>
      <c r="H31" s="165"/>
      <c r="I31" s="165"/>
      <c r="J31" s="165"/>
      <c r="K31" s="165"/>
      <c r="L31" s="165"/>
      <c r="M31" s="165"/>
      <c r="N31" s="165"/>
      <c r="O31" s="165"/>
      <c r="P31" s="165"/>
    </row>
    <row r="32" spans="1:18">
      <c r="A32" s="165"/>
      <c r="B32" s="165"/>
      <c r="C32" s="165"/>
      <c r="D32" s="165"/>
      <c r="E32" s="165"/>
      <c r="F32" s="165"/>
      <c r="G32" s="165"/>
      <c r="H32" s="165"/>
      <c r="I32" s="165"/>
      <c r="J32" s="165"/>
      <c r="K32" s="165"/>
      <c r="L32" s="165"/>
      <c r="M32" s="165"/>
      <c r="N32" s="165"/>
      <c r="O32" s="165"/>
      <c r="P32" s="165"/>
    </row>
    <row r="33" spans="1:16">
      <c r="A33" s="165"/>
      <c r="B33" s="165"/>
      <c r="C33" s="165"/>
      <c r="D33" s="165"/>
      <c r="E33" s="165"/>
      <c r="F33" s="165"/>
      <c r="G33" s="165"/>
      <c r="H33" s="165"/>
      <c r="I33" s="165"/>
      <c r="J33" s="165"/>
      <c r="K33" s="165"/>
      <c r="L33" s="165"/>
      <c r="M33" s="165"/>
      <c r="N33" s="165"/>
      <c r="O33" s="165"/>
      <c r="P33" s="165"/>
    </row>
    <row r="34" spans="1:16">
      <c r="A34" s="165"/>
      <c r="B34" s="165"/>
      <c r="C34" s="165"/>
      <c r="D34" s="165"/>
      <c r="E34" s="165"/>
      <c r="F34" s="165"/>
      <c r="G34" s="165"/>
      <c r="H34" s="165"/>
      <c r="I34" s="165"/>
      <c r="J34" s="165"/>
      <c r="K34" s="165"/>
      <c r="L34" s="165"/>
      <c r="M34" s="165"/>
      <c r="N34" s="165"/>
      <c r="O34" s="165"/>
      <c r="P34" s="165"/>
    </row>
    <row r="35" spans="1:16">
      <c r="A35" s="165"/>
      <c r="B35" s="165"/>
      <c r="C35" s="165"/>
      <c r="D35" s="165"/>
      <c r="E35" s="165"/>
      <c r="F35" s="165"/>
      <c r="G35" s="165"/>
      <c r="H35" s="165"/>
      <c r="I35" s="165"/>
      <c r="J35" s="165"/>
      <c r="K35" s="165"/>
      <c r="L35" s="165"/>
      <c r="M35" s="165"/>
      <c r="N35" s="165"/>
      <c r="O35" s="165"/>
      <c r="P35" s="165"/>
    </row>
    <row r="36" spans="1:16">
      <c r="A36" s="165"/>
      <c r="B36" s="165"/>
      <c r="C36" s="165"/>
      <c r="D36" s="165"/>
      <c r="E36" s="165"/>
      <c r="F36" s="165"/>
      <c r="G36" s="165"/>
      <c r="H36" s="165"/>
      <c r="I36" s="165"/>
      <c r="J36" s="165"/>
      <c r="K36" s="165"/>
      <c r="L36" s="165"/>
      <c r="M36" s="165"/>
      <c r="N36" s="165"/>
      <c r="O36" s="165"/>
      <c r="P36" s="165"/>
    </row>
    <row r="37" spans="1:16">
      <c r="A37" s="165"/>
      <c r="B37" s="165"/>
      <c r="C37" s="165"/>
      <c r="D37" s="165"/>
      <c r="E37" s="165"/>
      <c r="F37" s="165"/>
      <c r="G37" s="165"/>
      <c r="H37" s="165"/>
      <c r="I37" s="165"/>
      <c r="J37" s="165"/>
      <c r="K37" s="165"/>
      <c r="L37" s="165"/>
      <c r="M37" s="165"/>
      <c r="N37" s="165"/>
      <c r="O37" s="165"/>
      <c r="P37" s="165"/>
    </row>
    <row r="38" spans="1:16">
      <c r="A38" s="165"/>
      <c r="B38" s="165"/>
      <c r="C38" s="165"/>
      <c r="D38" s="165"/>
      <c r="E38" s="165"/>
      <c r="F38" s="165"/>
      <c r="G38" s="165"/>
      <c r="H38" s="165"/>
      <c r="I38" s="165"/>
      <c r="J38" s="165"/>
      <c r="K38" s="165"/>
      <c r="L38" s="165"/>
      <c r="M38" s="165"/>
      <c r="N38" s="165"/>
      <c r="O38" s="165"/>
      <c r="P38" s="165"/>
    </row>
    <row r="39" spans="1:16">
      <c r="A39" s="165"/>
      <c r="B39" s="165"/>
      <c r="C39" s="165"/>
      <c r="D39" s="165"/>
      <c r="E39" s="165"/>
      <c r="F39" s="165"/>
      <c r="G39" s="165"/>
      <c r="H39" s="165"/>
      <c r="I39" s="165"/>
      <c r="J39" s="165"/>
      <c r="K39" s="165"/>
      <c r="L39" s="165"/>
      <c r="M39" s="165"/>
      <c r="N39" s="165"/>
      <c r="O39" s="165"/>
      <c r="P39" s="165"/>
    </row>
    <row r="40" spans="1:16">
      <c r="A40" s="165"/>
      <c r="B40" s="165"/>
      <c r="C40" s="165"/>
      <c r="D40" s="165"/>
      <c r="E40" s="165"/>
      <c r="F40" s="165"/>
      <c r="G40" s="165"/>
      <c r="H40" s="165"/>
      <c r="I40" s="165"/>
      <c r="J40" s="165"/>
      <c r="K40" s="165"/>
      <c r="L40" s="165"/>
      <c r="M40" s="165"/>
      <c r="N40" s="165"/>
      <c r="O40" s="165"/>
      <c r="P40" s="165"/>
    </row>
    <row r="41" spans="1:16">
      <c r="A41" s="165"/>
      <c r="B41" s="165"/>
      <c r="C41" s="165"/>
      <c r="D41" s="165"/>
      <c r="E41" s="165"/>
      <c r="F41" s="165"/>
      <c r="G41" s="165"/>
      <c r="H41" s="165"/>
      <c r="I41" s="165"/>
      <c r="J41" s="165"/>
      <c r="K41" s="165"/>
      <c r="L41" s="165"/>
      <c r="M41" s="165"/>
      <c r="N41" s="165"/>
      <c r="O41" s="165"/>
      <c r="P41" s="165"/>
    </row>
    <row r="42" spans="1:16">
      <c r="A42" s="165"/>
      <c r="B42" s="165"/>
      <c r="C42" s="165"/>
      <c r="D42" s="165"/>
      <c r="E42" s="165"/>
      <c r="F42" s="165"/>
      <c r="G42" s="165"/>
      <c r="H42" s="165"/>
      <c r="I42" s="165"/>
      <c r="J42" s="165"/>
      <c r="K42" s="165"/>
      <c r="L42" s="165"/>
      <c r="M42" s="165"/>
      <c r="N42" s="165"/>
      <c r="O42" s="165"/>
      <c r="P42" s="165"/>
    </row>
    <row r="43" spans="1:16">
      <c r="A43" s="165"/>
      <c r="B43" s="165"/>
      <c r="C43" s="165"/>
      <c r="D43" s="165"/>
      <c r="E43" s="165"/>
      <c r="F43" s="165"/>
      <c r="G43" s="165"/>
      <c r="H43" s="165"/>
      <c r="I43" s="165"/>
      <c r="J43" s="165"/>
      <c r="K43" s="165"/>
      <c r="L43" s="165"/>
      <c r="M43" s="165"/>
      <c r="N43" s="165"/>
      <c r="O43" s="165"/>
      <c r="P43" s="165"/>
    </row>
    <row r="44" spans="1:16">
      <c r="A44" s="165"/>
      <c r="B44" s="165"/>
      <c r="C44" s="165"/>
      <c r="D44" s="165"/>
      <c r="E44" s="165"/>
      <c r="F44" s="165"/>
      <c r="G44" s="165"/>
      <c r="H44" s="165"/>
      <c r="I44" s="165"/>
      <c r="J44" s="165"/>
      <c r="K44" s="165"/>
      <c r="L44" s="165"/>
      <c r="M44" s="165"/>
      <c r="N44" s="165"/>
      <c r="O44" s="165"/>
      <c r="P44" s="165"/>
    </row>
    <row r="45" spans="1:16">
      <c r="A45" s="165"/>
      <c r="B45" s="165"/>
      <c r="C45" s="165"/>
      <c r="D45" s="165"/>
      <c r="E45" s="165"/>
      <c r="F45" s="165"/>
      <c r="G45" s="165"/>
      <c r="H45" s="165"/>
      <c r="I45" s="165"/>
      <c r="J45" s="165"/>
      <c r="K45" s="165"/>
      <c r="L45" s="165"/>
      <c r="M45" s="165"/>
      <c r="N45" s="165"/>
      <c r="O45" s="165"/>
      <c r="P45" s="165"/>
    </row>
    <row r="46" spans="1:16">
      <c r="A46" s="165"/>
      <c r="B46" s="165"/>
      <c r="C46" s="165"/>
      <c r="D46" s="165"/>
      <c r="E46" s="165"/>
      <c r="F46" s="165"/>
      <c r="G46" s="165"/>
      <c r="H46" s="165"/>
      <c r="I46" s="165"/>
      <c r="J46" s="165"/>
      <c r="K46" s="165"/>
      <c r="L46" s="165"/>
      <c r="M46" s="165"/>
      <c r="N46" s="165"/>
      <c r="O46" s="165"/>
      <c r="P46" s="165"/>
    </row>
    <row r="47" spans="1:16">
      <c r="A47" s="165"/>
      <c r="B47" s="165"/>
      <c r="C47" s="165"/>
      <c r="D47" s="165"/>
      <c r="E47" s="165"/>
      <c r="F47" s="165"/>
      <c r="G47" s="165"/>
      <c r="H47" s="165"/>
      <c r="I47" s="165"/>
      <c r="J47" s="165"/>
      <c r="K47" s="165"/>
      <c r="L47" s="165"/>
      <c r="M47" s="165"/>
      <c r="N47" s="165"/>
      <c r="O47" s="165"/>
      <c r="P47" s="165"/>
    </row>
    <row r="48" spans="1:16">
      <c r="A48" s="165"/>
      <c r="B48" s="165"/>
      <c r="C48" s="165"/>
      <c r="D48" s="165"/>
      <c r="E48" s="165"/>
      <c r="F48" s="165"/>
      <c r="G48" s="165"/>
      <c r="H48" s="165"/>
      <c r="I48" s="165"/>
      <c r="J48" s="165"/>
      <c r="K48" s="165"/>
      <c r="L48" s="165"/>
      <c r="M48" s="165"/>
      <c r="N48" s="165"/>
      <c r="O48" s="165"/>
      <c r="P48" s="165"/>
    </row>
    <row r="49" spans="1:16">
      <c r="A49" s="165"/>
      <c r="B49" s="165"/>
      <c r="C49" s="165"/>
      <c r="D49" s="165"/>
      <c r="E49" s="165"/>
      <c r="F49" s="165"/>
      <c r="G49" s="165"/>
      <c r="H49" s="165"/>
      <c r="I49" s="165"/>
      <c r="J49" s="165"/>
      <c r="K49" s="165"/>
      <c r="L49" s="165"/>
      <c r="M49" s="165"/>
      <c r="N49" s="165"/>
      <c r="O49" s="165"/>
      <c r="P49" s="165"/>
    </row>
    <row r="50" spans="1:16">
      <c r="A50" s="165"/>
      <c r="B50" s="165"/>
      <c r="C50" s="165"/>
      <c r="D50" s="165"/>
      <c r="E50" s="165"/>
      <c r="F50" s="165"/>
      <c r="G50" s="165"/>
      <c r="H50" s="165"/>
      <c r="I50" s="165"/>
      <c r="J50" s="165"/>
      <c r="K50" s="165"/>
      <c r="L50" s="165"/>
      <c r="M50" s="165"/>
      <c r="N50" s="165"/>
      <c r="O50" s="165"/>
      <c r="P50" s="165"/>
    </row>
    <row r="51" spans="1:16">
      <c r="A51" s="165"/>
      <c r="B51" s="165"/>
      <c r="C51" s="165"/>
      <c r="D51" s="165"/>
      <c r="E51" s="165"/>
      <c r="F51" s="165"/>
      <c r="G51" s="165"/>
      <c r="H51" s="165"/>
      <c r="I51" s="165"/>
      <c r="J51" s="165"/>
      <c r="K51" s="165"/>
      <c r="L51" s="165"/>
      <c r="M51" s="165"/>
      <c r="N51" s="165"/>
      <c r="O51" s="165"/>
      <c r="P51" s="165"/>
    </row>
    <row r="52" spans="1:16">
      <c r="A52" s="165"/>
      <c r="B52" s="165"/>
      <c r="C52" s="165"/>
      <c r="D52" s="165"/>
      <c r="E52" s="165"/>
      <c r="F52" s="165"/>
      <c r="G52" s="165"/>
      <c r="H52" s="165"/>
      <c r="I52" s="165"/>
      <c r="J52" s="165"/>
      <c r="K52" s="165"/>
      <c r="L52" s="165"/>
      <c r="M52" s="165"/>
      <c r="N52" s="165"/>
      <c r="O52" s="165"/>
      <c r="P52" s="165"/>
    </row>
    <row r="53" spans="1:16">
      <c r="A53" s="165"/>
      <c r="B53" s="165"/>
      <c r="C53" s="165"/>
      <c r="D53" s="165"/>
      <c r="E53" s="165"/>
      <c r="F53" s="165"/>
      <c r="G53" s="165"/>
      <c r="H53" s="165"/>
      <c r="I53" s="165"/>
      <c r="J53" s="165"/>
      <c r="K53" s="165"/>
      <c r="L53" s="165"/>
      <c r="M53" s="165"/>
      <c r="N53" s="165"/>
      <c r="O53" s="165"/>
      <c r="P53" s="165"/>
    </row>
    <row r="54" spans="1:16">
      <c r="A54" s="165"/>
      <c r="B54" s="165"/>
      <c r="C54" s="165"/>
      <c r="D54" s="165"/>
      <c r="E54" s="165"/>
      <c r="F54" s="165"/>
      <c r="G54" s="165"/>
      <c r="H54" s="165"/>
      <c r="I54" s="165"/>
      <c r="J54" s="165"/>
      <c r="K54" s="165"/>
      <c r="L54" s="165"/>
      <c r="M54" s="165"/>
      <c r="N54" s="165"/>
      <c r="O54" s="165"/>
      <c r="P54" s="165"/>
    </row>
    <row r="55" spans="1:16">
      <c r="A55" s="165"/>
      <c r="B55" s="165"/>
      <c r="C55" s="165"/>
      <c r="D55" s="165"/>
      <c r="E55" s="165"/>
      <c r="F55" s="165"/>
      <c r="G55" s="165"/>
      <c r="H55" s="165"/>
      <c r="I55" s="165"/>
      <c r="J55" s="165"/>
      <c r="K55" s="165"/>
      <c r="L55" s="165"/>
      <c r="M55" s="165"/>
      <c r="N55" s="165"/>
      <c r="O55" s="165"/>
      <c r="P55" s="165"/>
    </row>
    <row r="56" spans="1:16">
      <c r="A56" s="165"/>
      <c r="B56" s="165"/>
      <c r="C56" s="165"/>
      <c r="D56" s="165"/>
      <c r="E56" s="165"/>
      <c r="F56" s="165"/>
      <c r="G56" s="165"/>
      <c r="H56" s="165"/>
      <c r="I56" s="165"/>
      <c r="J56" s="165"/>
      <c r="K56" s="165"/>
      <c r="L56" s="165"/>
      <c r="M56" s="165"/>
      <c r="N56" s="165"/>
      <c r="O56" s="165"/>
      <c r="P56" s="165"/>
    </row>
    <row r="57" spans="1:16">
      <c r="A57" s="165"/>
      <c r="B57" s="165"/>
      <c r="C57" s="165"/>
      <c r="D57" s="165"/>
      <c r="E57" s="165"/>
      <c r="F57" s="165"/>
      <c r="G57" s="165"/>
      <c r="H57" s="165"/>
      <c r="I57" s="165"/>
      <c r="J57" s="165"/>
      <c r="K57" s="165"/>
      <c r="L57" s="165"/>
      <c r="M57" s="165"/>
      <c r="N57" s="165"/>
      <c r="O57" s="165"/>
      <c r="P57" s="165"/>
    </row>
    <row r="58" spans="1:16">
      <c r="A58" s="165"/>
      <c r="B58" s="165"/>
      <c r="C58" s="165"/>
      <c r="D58" s="165"/>
      <c r="E58" s="165"/>
      <c r="F58" s="165"/>
      <c r="G58" s="165"/>
      <c r="H58" s="165"/>
      <c r="I58" s="165"/>
      <c r="J58" s="165"/>
      <c r="K58" s="165"/>
      <c r="L58" s="165"/>
      <c r="M58" s="165"/>
      <c r="N58" s="165"/>
      <c r="O58" s="165"/>
      <c r="P58" s="165"/>
    </row>
    <row r="59" spans="1:16">
      <c r="A59" s="165"/>
      <c r="B59" s="165"/>
      <c r="C59" s="165"/>
      <c r="D59" s="165"/>
      <c r="E59" s="165"/>
      <c r="F59" s="165"/>
      <c r="G59" s="165"/>
      <c r="H59" s="165"/>
      <c r="I59" s="165"/>
      <c r="J59" s="165"/>
      <c r="K59" s="165"/>
      <c r="L59" s="165"/>
      <c r="M59" s="165"/>
      <c r="N59" s="165"/>
      <c r="O59" s="165"/>
      <c r="P59" s="165"/>
    </row>
    <row r="60" spans="1:16">
      <c r="A60" s="165"/>
      <c r="B60" s="165"/>
      <c r="C60" s="165"/>
      <c r="D60" s="165"/>
      <c r="E60" s="165"/>
      <c r="F60" s="165"/>
      <c r="G60" s="165"/>
      <c r="H60" s="165"/>
      <c r="I60" s="165"/>
      <c r="J60" s="165"/>
      <c r="K60" s="165"/>
      <c r="L60" s="165"/>
      <c r="M60" s="165"/>
      <c r="N60" s="165"/>
      <c r="O60" s="165"/>
      <c r="P60" s="165"/>
    </row>
    <row r="61" spans="1:16">
      <c r="A61" s="165"/>
      <c r="B61" s="165"/>
      <c r="C61" s="165"/>
      <c r="D61" s="165"/>
      <c r="E61" s="165"/>
      <c r="F61" s="165"/>
      <c r="G61" s="165"/>
      <c r="H61" s="165"/>
      <c r="I61" s="165"/>
      <c r="J61" s="165"/>
      <c r="K61" s="165"/>
      <c r="L61" s="165"/>
      <c r="M61" s="165"/>
      <c r="N61" s="165"/>
      <c r="O61" s="165"/>
      <c r="P61" s="165"/>
    </row>
    <row r="62" spans="1:16">
      <c r="A62" s="165"/>
      <c r="B62" s="165"/>
      <c r="C62" s="165"/>
      <c r="D62" s="165"/>
      <c r="E62" s="165"/>
      <c r="F62" s="165"/>
      <c r="G62" s="165"/>
      <c r="H62" s="165"/>
      <c r="I62" s="165"/>
      <c r="J62" s="165"/>
      <c r="K62" s="165"/>
      <c r="L62" s="165"/>
      <c r="M62" s="165"/>
      <c r="N62" s="165"/>
      <c r="O62" s="165"/>
      <c r="P62" s="165"/>
    </row>
    <row r="63" spans="1:16">
      <c r="A63" s="165"/>
      <c r="B63" s="165"/>
      <c r="C63" s="165"/>
      <c r="D63" s="165"/>
      <c r="E63" s="165"/>
      <c r="F63" s="165"/>
      <c r="G63" s="165"/>
      <c r="H63" s="165"/>
      <c r="I63" s="165"/>
      <c r="J63" s="165"/>
      <c r="K63" s="165"/>
      <c r="L63" s="165"/>
      <c r="M63" s="165"/>
      <c r="N63" s="165"/>
      <c r="O63" s="165"/>
      <c r="P63" s="165"/>
    </row>
    <row r="64" spans="1:16">
      <c r="A64" s="165"/>
      <c r="B64" s="165"/>
      <c r="C64" s="165"/>
      <c r="D64" s="165"/>
      <c r="E64" s="165"/>
      <c r="F64" s="165"/>
      <c r="G64" s="165"/>
      <c r="H64" s="165"/>
      <c r="I64" s="165"/>
      <c r="J64" s="165"/>
      <c r="K64" s="165"/>
      <c r="L64" s="165"/>
      <c r="M64" s="165"/>
      <c r="N64" s="165"/>
      <c r="O64" s="165"/>
      <c r="P64" s="165"/>
    </row>
    <row r="65" spans="1:16">
      <c r="A65" s="165"/>
      <c r="B65" s="165"/>
      <c r="C65" s="165"/>
      <c r="D65" s="165"/>
      <c r="E65" s="165"/>
      <c r="F65" s="165"/>
      <c r="G65" s="165"/>
      <c r="H65" s="165"/>
      <c r="I65" s="165"/>
      <c r="J65" s="165"/>
      <c r="K65" s="165"/>
      <c r="L65" s="165"/>
      <c r="M65" s="165"/>
      <c r="N65" s="165"/>
      <c r="O65" s="165"/>
      <c r="P65" s="165"/>
    </row>
    <row r="66" spans="1:16">
      <c r="A66" s="165"/>
      <c r="B66" s="165"/>
      <c r="C66" s="165"/>
      <c r="D66" s="165"/>
      <c r="E66" s="165"/>
      <c r="F66" s="165"/>
      <c r="G66" s="165"/>
      <c r="H66" s="165"/>
      <c r="I66" s="165"/>
      <c r="J66" s="165"/>
      <c r="K66" s="165"/>
      <c r="L66" s="165"/>
      <c r="M66" s="165"/>
      <c r="N66" s="165"/>
      <c r="O66" s="165"/>
      <c r="P66" s="165"/>
    </row>
    <row r="67" spans="1:16">
      <c r="A67" s="165"/>
      <c r="B67" s="165"/>
      <c r="C67" s="165"/>
      <c r="D67" s="165"/>
      <c r="E67" s="165"/>
      <c r="F67" s="165"/>
      <c r="G67" s="165"/>
      <c r="H67" s="165"/>
      <c r="I67" s="165"/>
      <c r="J67" s="165"/>
      <c r="K67" s="165"/>
      <c r="L67" s="165"/>
      <c r="M67" s="165"/>
      <c r="N67" s="165"/>
      <c r="O67" s="165"/>
      <c r="P67" s="165"/>
    </row>
    <row r="68" spans="1:16">
      <c r="A68" s="165"/>
      <c r="B68" s="165"/>
      <c r="C68" s="165"/>
      <c r="D68" s="165"/>
      <c r="E68" s="165"/>
      <c r="F68" s="165"/>
      <c r="G68" s="165"/>
      <c r="H68" s="165"/>
      <c r="I68" s="165"/>
      <c r="J68" s="165"/>
      <c r="K68" s="165"/>
      <c r="L68" s="165"/>
      <c r="M68" s="165"/>
      <c r="N68" s="165"/>
      <c r="O68" s="165"/>
      <c r="P68" s="165"/>
    </row>
    <row r="69" spans="1:16">
      <c r="A69" s="165"/>
      <c r="B69" s="165"/>
      <c r="C69" s="165"/>
      <c r="D69" s="165"/>
      <c r="E69" s="165"/>
      <c r="F69" s="165"/>
      <c r="G69" s="165"/>
      <c r="H69" s="165"/>
      <c r="I69" s="165"/>
      <c r="J69" s="165"/>
      <c r="K69" s="165"/>
      <c r="L69" s="165"/>
      <c r="M69" s="165"/>
      <c r="N69" s="165"/>
      <c r="O69" s="165"/>
      <c r="P69" s="165"/>
    </row>
    <row r="70" spans="1:16">
      <c r="A70" s="165"/>
      <c r="B70" s="165"/>
      <c r="C70" s="165"/>
      <c r="D70" s="165"/>
      <c r="E70" s="165"/>
      <c r="F70" s="165"/>
      <c r="G70" s="165"/>
      <c r="H70" s="165"/>
      <c r="I70" s="165"/>
      <c r="J70" s="165"/>
      <c r="K70" s="165"/>
      <c r="L70" s="165"/>
      <c r="M70" s="165"/>
      <c r="N70" s="165"/>
      <c r="O70" s="165"/>
      <c r="P70" s="165"/>
    </row>
    <row r="71" spans="1:16">
      <c r="A71" s="165"/>
      <c r="B71" s="165"/>
      <c r="C71" s="165"/>
      <c r="D71" s="165"/>
      <c r="E71" s="165"/>
      <c r="F71" s="165"/>
      <c r="G71" s="165"/>
      <c r="H71" s="165"/>
      <c r="I71" s="165"/>
      <c r="J71" s="165"/>
      <c r="K71" s="165"/>
      <c r="L71" s="165"/>
      <c r="M71" s="165"/>
      <c r="N71" s="165"/>
      <c r="O71" s="165"/>
      <c r="P71" s="165"/>
    </row>
    <row r="72" spans="1:16">
      <c r="A72" s="165"/>
      <c r="B72" s="165"/>
      <c r="C72" s="165"/>
      <c r="D72" s="165"/>
      <c r="E72" s="165"/>
      <c r="F72" s="165"/>
      <c r="G72" s="165"/>
      <c r="H72" s="165"/>
      <c r="I72" s="165"/>
      <c r="J72" s="165"/>
      <c r="K72" s="165"/>
      <c r="L72" s="165"/>
      <c r="M72" s="165"/>
      <c r="N72" s="165"/>
      <c r="O72" s="165"/>
      <c r="P72" s="165"/>
    </row>
    <row r="73" spans="1:16">
      <c r="A73" s="165"/>
      <c r="B73" s="165"/>
      <c r="C73" s="165"/>
      <c r="D73" s="165"/>
      <c r="E73" s="165"/>
      <c r="F73" s="165"/>
      <c r="G73" s="165"/>
      <c r="H73" s="165"/>
      <c r="I73" s="165"/>
      <c r="J73" s="165"/>
      <c r="K73" s="165"/>
      <c r="L73" s="165"/>
      <c r="M73" s="165"/>
      <c r="N73" s="165"/>
      <c r="O73" s="165"/>
      <c r="P73" s="165"/>
    </row>
    <row r="74" spans="1:16">
      <c r="A74" s="165"/>
      <c r="B74" s="165"/>
      <c r="C74" s="165"/>
      <c r="D74" s="165"/>
      <c r="E74" s="165"/>
      <c r="F74" s="165"/>
      <c r="G74" s="165"/>
      <c r="H74" s="165"/>
      <c r="I74" s="165"/>
      <c r="J74" s="165"/>
      <c r="K74" s="165"/>
      <c r="L74" s="165"/>
      <c r="M74" s="165"/>
      <c r="N74" s="165"/>
      <c r="O74" s="165"/>
      <c r="P74" s="165"/>
    </row>
    <row r="75" spans="1:16">
      <c r="A75" s="165"/>
      <c r="B75" s="165"/>
      <c r="C75" s="165"/>
      <c r="D75" s="165"/>
      <c r="E75" s="165"/>
      <c r="F75" s="165"/>
      <c r="G75" s="165"/>
      <c r="H75" s="165"/>
      <c r="I75" s="165"/>
      <c r="J75" s="165"/>
      <c r="K75" s="165"/>
      <c r="L75" s="165"/>
      <c r="M75" s="165"/>
      <c r="N75" s="165"/>
      <c r="O75" s="165"/>
      <c r="P75" s="165"/>
    </row>
    <row r="76" spans="1:16">
      <c r="A76" s="165"/>
      <c r="B76" s="165"/>
      <c r="C76" s="165"/>
      <c r="D76" s="165"/>
      <c r="E76" s="165"/>
      <c r="F76" s="165"/>
      <c r="G76" s="165"/>
      <c r="H76" s="165"/>
      <c r="I76" s="165"/>
      <c r="J76" s="165"/>
      <c r="K76" s="165"/>
      <c r="L76" s="165"/>
      <c r="M76" s="165"/>
      <c r="N76" s="165"/>
      <c r="O76" s="165"/>
      <c r="P76" s="165"/>
    </row>
    <row r="77" spans="1:16">
      <c r="A77" s="165"/>
      <c r="B77" s="165"/>
      <c r="C77" s="165"/>
      <c r="D77" s="165"/>
      <c r="E77" s="165"/>
      <c r="F77" s="165"/>
      <c r="G77" s="165"/>
      <c r="H77" s="165"/>
      <c r="I77" s="165"/>
      <c r="J77" s="165"/>
      <c r="K77" s="165"/>
      <c r="L77" s="165"/>
      <c r="M77" s="165"/>
      <c r="N77" s="165"/>
      <c r="O77" s="165"/>
      <c r="P77" s="165"/>
    </row>
    <row r="78" spans="1:16">
      <c r="A78" s="165"/>
      <c r="B78" s="165"/>
      <c r="C78" s="165"/>
      <c r="D78" s="165"/>
      <c r="E78" s="165"/>
      <c r="F78" s="165"/>
      <c r="G78" s="165"/>
      <c r="H78" s="165"/>
      <c r="I78" s="165"/>
      <c r="J78" s="165"/>
      <c r="K78" s="165"/>
      <c r="L78" s="165"/>
      <c r="M78" s="165"/>
      <c r="N78" s="165"/>
      <c r="O78" s="165"/>
      <c r="P78" s="165"/>
    </row>
    <row r="79" spans="1:16">
      <c r="A79" s="165"/>
      <c r="B79" s="165"/>
      <c r="C79" s="165"/>
      <c r="D79" s="165"/>
      <c r="E79" s="165"/>
      <c r="F79" s="165"/>
      <c r="G79" s="165"/>
      <c r="H79" s="165"/>
      <c r="I79" s="165"/>
      <c r="J79" s="165"/>
      <c r="K79" s="165"/>
      <c r="L79" s="165"/>
      <c r="M79" s="165"/>
      <c r="N79" s="165"/>
      <c r="O79" s="165"/>
      <c r="P79" s="165"/>
    </row>
    <row r="80" spans="1:16">
      <c r="A80" s="165"/>
      <c r="B80" s="165"/>
      <c r="C80" s="165"/>
      <c r="D80" s="165"/>
      <c r="E80" s="165"/>
      <c r="F80" s="165"/>
      <c r="G80" s="165"/>
      <c r="H80" s="165"/>
      <c r="I80" s="165"/>
      <c r="J80" s="165"/>
      <c r="K80" s="165"/>
      <c r="L80" s="165"/>
      <c r="M80" s="165"/>
      <c r="N80" s="165"/>
      <c r="O80" s="165"/>
      <c r="P80" s="165"/>
    </row>
  </sheetData>
  <mergeCells count="2">
    <mergeCell ref="A1:P1"/>
    <mergeCell ref="A3:P3"/>
  </mergeCells>
  <phoneticPr fontId="18" type="noConversion"/>
  <pageMargins left="1.1811023622047245" right="0.59055118110236227" top="1.3779527559055118" bottom="0.59055118110236227" header="0.51181102362204722" footer="0.51181102362204722"/>
  <pageSetup paperSize="14" scale="95" orientation="landscape"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AG63"/>
  <sheetViews>
    <sheetView zoomScale="75" workbookViewId="0">
      <selection activeCell="A7" sqref="A7:AE9"/>
    </sheetView>
  </sheetViews>
  <sheetFormatPr baseColWidth="10" defaultColWidth="11.42578125" defaultRowHeight="12.75"/>
  <cols>
    <col min="1" max="1" width="9.42578125" style="534" customWidth="1"/>
    <col min="2" max="2" width="28.7109375" style="534" customWidth="1"/>
    <col min="3" max="4" width="11.42578125" style="534"/>
    <col min="5" max="6" width="9.7109375" style="534" customWidth="1"/>
    <col min="7" max="8" width="10.7109375" style="534" customWidth="1"/>
    <col min="9" max="10" width="9.28515625" style="534" customWidth="1"/>
    <col min="11" max="14" width="9.5703125" style="534" customWidth="1"/>
    <col min="15" max="18" width="9.28515625" style="534" customWidth="1"/>
    <col min="19" max="22" width="9.7109375" style="534" customWidth="1"/>
    <col min="23" max="24" width="10" style="534" customWidth="1"/>
    <col min="25" max="31" width="8.5703125" style="534" customWidth="1"/>
    <col min="32" max="39" width="8.28515625" style="534" customWidth="1"/>
    <col min="40" max="16384" width="11.42578125" style="534"/>
  </cols>
  <sheetData>
    <row r="1" spans="1:33">
      <c r="A1" s="559" t="s">
        <v>193</v>
      </c>
      <c r="B1" s="559"/>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row>
    <row r="2" spans="1:33">
      <c r="A2" s="559"/>
      <c r="B2" s="559"/>
      <c r="C2" s="549"/>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row>
    <row r="3" spans="1:33">
      <c r="A3" s="559" t="str">
        <f>+'89'!A3</f>
        <v>SERVICIO DE SALUD   ACONCAGUA   2023</v>
      </c>
      <c r="B3" s="559"/>
      <c r="C3" s="549"/>
      <c r="D3" s="549"/>
      <c r="E3" s="549"/>
      <c r="F3" s="549"/>
      <c r="G3" s="549"/>
      <c r="H3" s="549"/>
      <c r="I3" s="549"/>
      <c r="J3" s="549"/>
      <c r="K3" s="549"/>
      <c r="L3" s="549"/>
      <c r="M3" s="549"/>
      <c r="N3" s="549"/>
      <c r="O3" s="549"/>
      <c r="P3" s="549"/>
      <c r="Q3" s="549"/>
      <c r="R3" s="549"/>
      <c r="S3" s="549"/>
      <c r="T3" s="549"/>
      <c r="U3" s="549"/>
      <c r="V3" s="549"/>
      <c r="W3" s="549"/>
      <c r="X3" s="549"/>
      <c r="Y3" s="549"/>
      <c r="Z3" s="549"/>
      <c r="AA3" s="549"/>
      <c r="AB3" s="549"/>
      <c r="AC3" s="549"/>
      <c r="AD3" s="549"/>
      <c r="AE3" s="549"/>
    </row>
    <row r="4" spans="1:33">
      <c r="A4" s="559"/>
      <c r="B4" s="559"/>
      <c r="C4" s="549"/>
      <c r="D4" s="549"/>
      <c r="E4" s="549"/>
      <c r="F4" s="549"/>
      <c r="G4" s="549"/>
      <c r="H4" s="549"/>
      <c r="I4" s="549"/>
      <c r="J4" s="549"/>
      <c r="K4" s="549"/>
      <c r="L4" s="549"/>
      <c r="M4" s="549"/>
      <c r="N4" s="549"/>
      <c r="O4" s="549"/>
      <c r="P4" s="549"/>
      <c r="Q4" s="549"/>
      <c r="R4" s="549"/>
      <c r="S4" s="549"/>
      <c r="T4" s="549"/>
      <c r="U4" s="549"/>
      <c r="V4" s="549"/>
      <c r="W4" s="549"/>
      <c r="X4" s="549"/>
      <c r="Y4" s="549"/>
      <c r="Z4" s="549"/>
      <c r="AA4" s="549"/>
      <c r="AB4" s="549"/>
      <c r="AC4" s="549"/>
      <c r="AD4" s="549"/>
      <c r="AE4" s="549"/>
    </row>
    <row r="5" spans="1:33">
      <c r="A5" s="559" t="s">
        <v>213</v>
      </c>
      <c r="B5" s="559"/>
      <c r="C5" s="549"/>
      <c r="D5" s="549"/>
      <c r="E5" s="549"/>
      <c r="F5" s="549"/>
      <c r="G5" s="549"/>
      <c r="H5" s="549"/>
      <c r="I5" s="549"/>
      <c r="J5" s="549"/>
      <c r="K5" s="549"/>
      <c r="L5" s="549"/>
      <c r="M5" s="549"/>
      <c r="N5" s="549"/>
      <c r="O5" s="549"/>
      <c r="P5" s="549"/>
      <c r="Q5" s="549"/>
      <c r="R5" s="549"/>
      <c r="S5" s="549"/>
      <c r="T5" s="549"/>
      <c r="U5" s="549"/>
      <c r="V5" s="549"/>
      <c r="W5" s="549"/>
      <c r="X5" s="549"/>
      <c r="Y5" s="549"/>
      <c r="Z5" s="549"/>
      <c r="AA5" s="549"/>
      <c r="AB5" s="549"/>
      <c r="AC5" s="549"/>
      <c r="AD5" s="549"/>
      <c r="AE5" s="549"/>
    </row>
    <row r="6" spans="1:33">
      <c r="A6" s="560"/>
    </row>
    <row r="7" spans="1:33" ht="18.75" customHeight="1">
      <c r="A7" s="1454" t="s">
        <v>627</v>
      </c>
      <c r="B7" s="1455"/>
      <c r="C7" s="1473"/>
      <c r="D7" s="1473"/>
      <c r="E7" s="1473"/>
      <c r="F7" s="1465" t="s">
        <v>628</v>
      </c>
      <c r="G7" s="1465"/>
      <c r="H7" s="1465"/>
      <c r="I7" s="1465"/>
      <c r="J7" s="1465"/>
      <c r="K7" s="1465"/>
      <c r="L7" s="1465"/>
      <c r="M7" s="1465"/>
      <c r="N7" s="1465"/>
      <c r="O7" s="1465"/>
      <c r="P7" s="1465"/>
      <c r="Q7" s="1465"/>
      <c r="R7" s="1465"/>
      <c r="S7" s="1465"/>
      <c r="T7" s="1465"/>
      <c r="U7" s="1465"/>
      <c r="V7" s="1465"/>
      <c r="W7" s="1465"/>
      <c r="X7" s="1465"/>
      <c r="Y7" s="1465"/>
      <c r="Z7" s="1465"/>
      <c r="AA7" s="1465"/>
      <c r="AB7" s="1465"/>
      <c r="AC7" s="1465"/>
      <c r="AD7" s="1465"/>
      <c r="AE7" s="1474"/>
    </row>
    <row r="8" spans="1:33" ht="23.25" customHeight="1">
      <c r="A8" s="1459" t="s">
        <v>629</v>
      </c>
      <c r="B8" s="1460" t="s">
        <v>630</v>
      </c>
      <c r="C8" s="1636" t="s">
        <v>631</v>
      </c>
      <c r="D8" s="1637"/>
      <c r="E8" s="1638" t="s">
        <v>587</v>
      </c>
      <c r="F8" s="1632"/>
      <c r="G8" s="1475" t="s">
        <v>632</v>
      </c>
      <c r="H8" s="1475"/>
      <c r="I8" s="1475" t="s">
        <v>633</v>
      </c>
      <c r="J8" s="1475"/>
      <c r="K8" s="1475" t="s">
        <v>387</v>
      </c>
      <c r="L8" s="1475"/>
      <c r="M8" s="1639" t="s">
        <v>634</v>
      </c>
      <c r="N8" s="1640"/>
      <c r="O8" s="1475" t="s">
        <v>635</v>
      </c>
      <c r="P8" s="1475"/>
      <c r="Q8" s="1475" t="s">
        <v>351</v>
      </c>
      <c r="R8" s="1475"/>
      <c r="S8" s="1475" t="s">
        <v>369</v>
      </c>
      <c r="T8" s="1475"/>
      <c r="U8" s="1475" t="s">
        <v>374</v>
      </c>
      <c r="V8" s="1475"/>
      <c r="W8" s="1475" t="s">
        <v>636</v>
      </c>
      <c r="X8" s="1475"/>
      <c r="Y8" s="1475" t="s">
        <v>376</v>
      </c>
      <c r="Z8" s="1475"/>
      <c r="AA8" s="1475" t="s">
        <v>637</v>
      </c>
      <c r="AB8" s="1470"/>
      <c r="AC8" s="1641" t="s">
        <v>474</v>
      </c>
      <c r="AD8" s="1642"/>
      <c r="AE8" s="1638"/>
    </row>
    <row r="9" spans="1:33" ht="13.5" thickBot="1">
      <c r="A9" s="1461"/>
      <c r="B9" s="1462"/>
      <c r="C9" s="1456" t="s">
        <v>1301</v>
      </c>
      <c r="D9" s="1474" t="s">
        <v>1302</v>
      </c>
      <c r="E9" s="1082" t="s">
        <v>1301</v>
      </c>
      <c r="F9" s="1084" t="s">
        <v>1302</v>
      </c>
      <c r="G9" s="1083" t="s">
        <v>1301</v>
      </c>
      <c r="H9" s="1084" t="s">
        <v>1302</v>
      </c>
      <c r="I9" s="1082" t="s">
        <v>1301</v>
      </c>
      <c r="J9" s="1084" t="s">
        <v>1302</v>
      </c>
      <c r="K9" s="1082" t="s">
        <v>1301</v>
      </c>
      <c r="L9" s="1084" t="s">
        <v>1302</v>
      </c>
      <c r="M9" s="1456" t="s">
        <v>1301</v>
      </c>
      <c r="N9" s="1474" t="s">
        <v>1302</v>
      </c>
      <c r="O9" s="1083" t="s">
        <v>1301</v>
      </c>
      <c r="P9" s="1084" t="s">
        <v>1302</v>
      </c>
      <c r="Q9" s="1082" t="s">
        <v>1301</v>
      </c>
      <c r="R9" s="1082" t="s">
        <v>1302</v>
      </c>
      <c r="S9" s="1083" t="s">
        <v>1301</v>
      </c>
      <c r="T9" s="1084" t="s">
        <v>1302</v>
      </c>
      <c r="U9" s="1082" t="s">
        <v>1301</v>
      </c>
      <c r="V9" s="1084" t="s">
        <v>1302</v>
      </c>
      <c r="W9" s="1082" t="s">
        <v>1301</v>
      </c>
      <c r="X9" s="1082" t="s">
        <v>1302</v>
      </c>
      <c r="Y9" s="1083" t="s">
        <v>1301</v>
      </c>
      <c r="Z9" s="1084" t="s">
        <v>1302</v>
      </c>
      <c r="AA9" s="1082" t="s">
        <v>1301</v>
      </c>
      <c r="AB9" s="1084" t="s">
        <v>1302</v>
      </c>
      <c r="AC9" s="1456" t="s">
        <v>1301</v>
      </c>
      <c r="AD9" s="1474" t="s">
        <v>1302</v>
      </c>
      <c r="AE9" s="1476" t="s">
        <v>448</v>
      </c>
    </row>
    <row r="10" spans="1:33" ht="18" customHeight="1">
      <c r="A10" s="535" t="s">
        <v>651</v>
      </c>
      <c r="B10" s="536" t="s">
        <v>652</v>
      </c>
      <c r="C10" s="796">
        <f t="shared" ref="C10:D13" si="0">+E10+G10+I10+K10</f>
        <v>7</v>
      </c>
      <c r="D10" s="797">
        <f t="shared" si="0"/>
        <v>6</v>
      </c>
      <c r="E10" s="561">
        <v>5</v>
      </c>
      <c r="F10" s="561">
        <v>4</v>
      </c>
      <c r="G10" s="785">
        <v>2</v>
      </c>
      <c r="H10" s="531">
        <v>1</v>
      </c>
      <c r="I10" s="785"/>
      <c r="J10" s="531">
        <v>1</v>
      </c>
      <c r="K10" s="561"/>
      <c r="L10" s="561"/>
      <c r="M10" s="796">
        <f>+O10+Q10+S10+U10+W10+Y10</f>
        <v>69</v>
      </c>
      <c r="N10" s="797">
        <f>+P10+R10+T10+V10+X10+Z10</f>
        <v>86</v>
      </c>
      <c r="O10" s="561">
        <v>51</v>
      </c>
      <c r="P10" s="561">
        <v>52</v>
      </c>
      <c r="Q10" s="785">
        <v>4</v>
      </c>
      <c r="R10" s="531">
        <v>7</v>
      </c>
      <c r="S10" s="561">
        <v>7</v>
      </c>
      <c r="T10" s="561">
        <v>11</v>
      </c>
      <c r="U10" s="785">
        <v>1</v>
      </c>
      <c r="V10" s="531">
        <v>2</v>
      </c>
      <c r="W10" s="561">
        <v>5</v>
      </c>
      <c r="X10" s="561">
        <v>7</v>
      </c>
      <c r="Y10" s="785">
        <v>1</v>
      </c>
      <c r="Z10" s="531">
        <v>7</v>
      </c>
      <c r="AA10" s="561">
        <v>1</v>
      </c>
      <c r="AB10" s="561">
        <v>4</v>
      </c>
      <c r="AC10" s="796">
        <f t="shared" ref="AC10:AD13" si="1">+M10+C10+AA10</f>
        <v>77</v>
      </c>
      <c r="AD10" s="797">
        <f t="shared" si="1"/>
        <v>96</v>
      </c>
      <c r="AE10" s="1223">
        <f>SUM(AC10:AD10)</f>
        <v>173</v>
      </c>
    </row>
    <row r="11" spans="1:33" ht="20.25" customHeight="1">
      <c r="A11" s="535" t="s">
        <v>640</v>
      </c>
      <c r="B11" s="536" t="s">
        <v>641</v>
      </c>
      <c r="C11" s="798">
        <f t="shared" si="0"/>
        <v>23</v>
      </c>
      <c r="D11" s="799">
        <f t="shared" si="0"/>
        <v>25</v>
      </c>
      <c r="E11" s="561">
        <v>11</v>
      </c>
      <c r="F11" s="561">
        <v>15</v>
      </c>
      <c r="G11" s="572">
        <v>1</v>
      </c>
      <c r="H11" s="573">
        <v>8</v>
      </c>
      <c r="I11" s="572">
        <v>6</v>
      </c>
      <c r="J11" s="573"/>
      <c r="K11" s="561">
        <v>5</v>
      </c>
      <c r="L11" s="561">
        <v>2</v>
      </c>
      <c r="M11" s="798">
        <f t="shared" ref="M11:N26" si="2">+O11+Q11+S11+U11+W11+Y11</f>
        <v>193</v>
      </c>
      <c r="N11" s="799">
        <f t="shared" si="2"/>
        <v>442</v>
      </c>
      <c r="O11" s="561">
        <v>111</v>
      </c>
      <c r="P11" s="561">
        <v>249</v>
      </c>
      <c r="Q11" s="572">
        <v>13</v>
      </c>
      <c r="R11" s="573">
        <v>39</v>
      </c>
      <c r="S11" s="561">
        <v>19</v>
      </c>
      <c r="T11" s="561">
        <v>45</v>
      </c>
      <c r="U11" s="572">
        <v>8</v>
      </c>
      <c r="V11" s="573">
        <v>11</v>
      </c>
      <c r="W11" s="561">
        <v>26</v>
      </c>
      <c r="X11" s="561">
        <v>62</v>
      </c>
      <c r="Y11" s="572">
        <v>16</v>
      </c>
      <c r="Z11" s="573">
        <v>36</v>
      </c>
      <c r="AA11" s="561">
        <v>3</v>
      </c>
      <c r="AB11" s="561">
        <v>9</v>
      </c>
      <c r="AC11" s="798">
        <f t="shared" si="1"/>
        <v>219</v>
      </c>
      <c r="AD11" s="799">
        <f t="shared" si="1"/>
        <v>476</v>
      </c>
      <c r="AE11" s="1224">
        <f>SUM(AC11:AD11)</f>
        <v>695</v>
      </c>
      <c r="AF11" s="550"/>
      <c r="AG11" s="550"/>
    </row>
    <row r="12" spans="1:33" ht="19.5" customHeight="1">
      <c r="A12" s="535" t="s">
        <v>194</v>
      </c>
      <c r="B12" s="536" t="s">
        <v>195</v>
      </c>
      <c r="C12" s="798">
        <f t="shared" si="0"/>
        <v>3</v>
      </c>
      <c r="D12" s="799">
        <f t="shared" si="0"/>
        <v>2</v>
      </c>
      <c r="E12" s="561">
        <v>2</v>
      </c>
      <c r="F12" s="561"/>
      <c r="G12" s="572"/>
      <c r="H12" s="573">
        <v>1</v>
      </c>
      <c r="I12" s="572">
        <v>1</v>
      </c>
      <c r="J12" s="573">
        <v>1</v>
      </c>
      <c r="K12" s="561"/>
      <c r="L12" s="561"/>
      <c r="M12" s="798">
        <f t="shared" si="2"/>
        <v>31</v>
      </c>
      <c r="N12" s="799">
        <f t="shared" si="2"/>
        <v>50</v>
      </c>
      <c r="O12" s="561">
        <v>12</v>
      </c>
      <c r="P12" s="561">
        <v>25</v>
      </c>
      <c r="Q12" s="572">
        <v>4</v>
      </c>
      <c r="R12" s="573">
        <v>1</v>
      </c>
      <c r="S12" s="561">
        <v>2</v>
      </c>
      <c r="T12" s="561">
        <v>6</v>
      </c>
      <c r="U12" s="572">
        <v>5</v>
      </c>
      <c r="V12" s="573">
        <v>4</v>
      </c>
      <c r="W12" s="561">
        <v>7</v>
      </c>
      <c r="X12" s="561">
        <v>10</v>
      </c>
      <c r="Y12" s="572">
        <v>1</v>
      </c>
      <c r="Z12" s="573">
        <v>4</v>
      </c>
      <c r="AA12" s="561">
        <v>1</v>
      </c>
      <c r="AB12" s="561">
        <v>1</v>
      </c>
      <c r="AC12" s="798">
        <f t="shared" si="1"/>
        <v>35</v>
      </c>
      <c r="AD12" s="799">
        <f t="shared" si="1"/>
        <v>53</v>
      </c>
      <c r="AE12" s="1224">
        <f>SUM(AC12:AD12)</f>
        <v>88</v>
      </c>
      <c r="AF12" s="550"/>
    </row>
    <row r="13" spans="1:33" ht="20.25" customHeight="1">
      <c r="A13" s="535" t="s">
        <v>655</v>
      </c>
      <c r="B13" s="536" t="s">
        <v>656</v>
      </c>
      <c r="C13" s="798">
        <f t="shared" si="0"/>
        <v>8</v>
      </c>
      <c r="D13" s="799">
        <f t="shared" si="0"/>
        <v>4</v>
      </c>
      <c r="E13" s="561">
        <v>7</v>
      </c>
      <c r="F13" s="561">
        <v>2</v>
      </c>
      <c r="G13" s="572"/>
      <c r="H13" s="573"/>
      <c r="I13" s="572">
        <v>1</v>
      </c>
      <c r="J13" s="573">
        <v>2</v>
      </c>
      <c r="K13" s="561"/>
      <c r="L13" s="561"/>
      <c r="M13" s="798">
        <f t="shared" si="2"/>
        <v>117</v>
      </c>
      <c r="N13" s="799">
        <f t="shared" si="2"/>
        <v>107</v>
      </c>
      <c r="O13" s="561">
        <v>60</v>
      </c>
      <c r="P13" s="561">
        <v>59</v>
      </c>
      <c r="Q13" s="572">
        <v>14</v>
      </c>
      <c r="R13" s="573">
        <v>10</v>
      </c>
      <c r="S13" s="561">
        <v>9</v>
      </c>
      <c r="T13" s="561">
        <v>9</v>
      </c>
      <c r="U13" s="572">
        <v>7</v>
      </c>
      <c r="V13" s="573">
        <v>7</v>
      </c>
      <c r="W13" s="561">
        <v>17</v>
      </c>
      <c r="X13" s="561">
        <v>13</v>
      </c>
      <c r="Y13" s="572">
        <v>10</v>
      </c>
      <c r="Z13" s="573">
        <v>9</v>
      </c>
      <c r="AA13" s="561">
        <v>2</v>
      </c>
      <c r="AB13" s="561">
        <v>5</v>
      </c>
      <c r="AC13" s="798">
        <f t="shared" si="1"/>
        <v>127</v>
      </c>
      <c r="AD13" s="799">
        <f t="shared" si="1"/>
        <v>116</v>
      </c>
      <c r="AE13" s="1224">
        <f>SUM(AC13:AD13)</f>
        <v>243</v>
      </c>
      <c r="AF13" s="550"/>
    </row>
    <row r="14" spans="1:33" ht="19.5" customHeight="1">
      <c r="A14" s="535" t="s">
        <v>196</v>
      </c>
      <c r="B14" s="536" t="s">
        <v>197</v>
      </c>
      <c r="C14" s="798">
        <f>+E14+G14+I14+K14</f>
        <v>3</v>
      </c>
      <c r="D14" s="799">
        <f>+F14+H14+J14+L14</f>
        <v>4</v>
      </c>
      <c r="E14" s="561">
        <v>2</v>
      </c>
      <c r="F14" s="561">
        <v>4</v>
      </c>
      <c r="G14" s="572">
        <v>1</v>
      </c>
      <c r="H14" s="573"/>
      <c r="I14" s="572"/>
      <c r="J14" s="573"/>
      <c r="K14" s="561"/>
      <c r="L14" s="561"/>
      <c r="M14" s="798">
        <f t="shared" si="2"/>
        <v>13</v>
      </c>
      <c r="N14" s="799">
        <f t="shared" si="2"/>
        <v>36</v>
      </c>
      <c r="O14" s="561">
        <v>10</v>
      </c>
      <c r="P14" s="561">
        <v>15</v>
      </c>
      <c r="Q14" s="572"/>
      <c r="R14" s="573">
        <v>6</v>
      </c>
      <c r="S14" s="561"/>
      <c r="T14" s="561"/>
      <c r="U14" s="572"/>
      <c r="V14" s="573">
        <v>2</v>
      </c>
      <c r="W14" s="561">
        <v>3</v>
      </c>
      <c r="X14" s="561">
        <v>8</v>
      </c>
      <c r="Y14" s="572"/>
      <c r="Z14" s="573">
        <v>5</v>
      </c>
      <c r="AA14" s="561"/>
      <c r="AB14" s="561">
        <v>3</v>
      </c>
      <c r="AC14" s="798">
        <f>+M14+C14+AA14</f>
        <v>16</v>
      </c>
      <c r="AD14" s="799">
        <f>+N14+D14+AB14</f>
        <v>43</v>
      </c>
      <c r="AE14" s="1224">
        <f>SUM(AC14:AD14)</f>
        <v>59</v>
      </c>
      <c r="AF14" s="550"/>
    </row>
    <row r="15" spans="1:33" ht="19.5" customHeight="1">
      <c r="A15" s="535" t="s">
        <v>198</v>
      </c>
      <c r="B15" s="536" t="s">
        <v>199</v>
      </c>
      <c r="C15" s="798">
        <f t="shared" ref="C15:D29" si="3">+E15+G15+I15+K15</f>
        <v>23</v>
      </c>
      <c r="D15" s="799">
        <f t="shared" si="3"/>
        <v>34</v>
      </c>
      <c r="E15" s="561">
        <v>8</v>
      </c>
      <c r="F15" s="561">
        <v>19</v>
      </c>
      <c r="G15" s="572">
        <v>11</v>
      </c>
      <c r="H15" s="573">
        <v>11</v>
      </c>
      <c r="I15" s="572">
        <v>3</v>
      </c>
      <c r="J15" s="573">
        <v>2</v>
      </c>
      <c r="K15" s="561">
        <v>1</v>
      </c>
      <c r="L15" s="561">
        <v>2</v>
      </c>
      <c r="M15" s="798">
        <f t="shared" si="2"/>
        <v>89</v>
      </c>
      <c r="N15" s="799">
        <f t="shared" si="2"/>
        <v>94</v>
      </c>
      <c r="O15" s="561">
        <v>53</v>
      </c>
      <c r="P15" s="561">
        <v>44</v>
      </c>
      <c r="Q15" s="572">
        <v>13</v>
      </c>
      <c r="R15" s="573">
        <v>9</v>
      </c>
      <c r="S15" s="561">
        <v>5</v>
      </c>
      <c r="T15" s="561">
        <v>18</v>
      </c>
      <c r="U15" s="572">
        <v>3</v>
      </c>
      <c r="V15" s="573">
        <v>7</v>
      </c>
      <c r="W15" s="561">
        <v>12</v>
      </c>
      <c r="X15" s="561">
        <v>14</v>
      </c>
      <c r="Y15" s="572">
        <v>3</v>
      </c>
      <c r="Z15" s="573">
        <v>2</v>
      </c>
      <c r="AA15" s="561">
        <v>3</v>
      </c>
      <c r="AB15" s="561">
        <v>8</v>
      </c>
      <c r="AC15" s="798">
        <f t="shared" ref="AC15:AD29" si="4">+M15+C15+AA15</f>
        <v>115</v>
      </c>
      <c r="AD15" s="799">
        <f t="shared" si="4"/>
        <v>136</v>
      </c>
      <c r="AE15" s="1224">
        <f t="shared" ref="AE15:AE25" si="5">SUM(AC15:AD15)</f>
        <v>251</v>
      </c>
      <c r="AF15" s="550"/>
    </row>
    <row r="16" spans="1:33" ht="19.5" customHeight="1">
      <c r="A16" s="535" t="s">
        <v>200</v>
      </c>
      <c r="B16" s="536" t="s">
        <v>201</v>
      </c>
      <c r="C16" s="798">
        <f t="shared" si="3"/>
        <v>2</v>
      </c>
      <c r="D16" s="799">
        <f t="shared" si="3"/>
        <v>10</v>
      </c>
      <c r="E16" s="561">
        <v>2</v>
      </c>
      <c r="F16" s="561">
        <v>7</v>
      </c>
      <c r="G16" s="572"/>
      <c r="H16" s="573"/>
      <c r="I16" s="572"/>
      <c r="J16" s="573">
        <v>2</v>
      </c>
      <c r="K16" s="561"/>
      <c r="L16" s="561">
        <v>1</v>
      </c>
      <c r="M16" s="798">
        <f t="shared" si="2"/>
        <v>30</v>
      </c>
      <c r="N16" s="799">
        <f t="shared" si="2"/>
        <v>32</v>
      </c>
      <c r="O16" s="561">
        <v>15</v>
      </c>
      <c r="P16" s="561">
        <v>17</v>
      </c>
      <c r="Q16" s="572">
        <v>5</v>
      </c>
      <c r="R16" s="573">
        <v>3</v>
      </c>
      <c r="S16" s="561">
        <v>1</v>
      </c>
      <c r="T16" s="561"/>
      <c r="U16" s="572"/>
      <c r="V16" s="573">
        <v>5</v>
      </c>
      <c r="W16" s="561">
        <v>5</v>
      </c>
      <c r="X16" s="561">
        <v>4</v>
      </c>
      <c r="Y16" s="572">
        <v>4</v>
      </c>
      <c r="Z16" s="573">
        <v>3</v>
      </c>
      <c r="AA16" s="561"/>
      <c r="AB16" s="561"/>
      <c r="AC16" s="798">
        <f t="shared" si="4"/>
        <v>32</v>
      </c>
      <c r="AD16" s="799">
        <f t="shared" si="4"/>
        <v>42</v>
      </c>
      <c r="AE16" s="1224">
        <f t="shared" si="5"/>
        <v>74</v>
      </c>
      <c r="AF16" s="550"/>
    </row>
    <row r="17" spans="1:32" ht="20.25" customHeight="1">
      <c r="A17" s="535" t="s">
        <v>638</v>
      </c>
      <c r="B17" s="536" t="s">
        <v>639</v>
      </c>
      <c r="C17" s="798">
        <f t="shared" si="3"/>
        <v>42</v>
      </c>
      <c r="D17" s="799">
        <f t="shared" si="3"/>
        <v>32</v>
      </c>
      <c r="E17" s="561">
        <v>20</v>
      </c>
      <c r="F17" s="561">
        <v>18</v>
      </c>
      <c r="G17" s="572">
        <v>13</v>
      </c>
      <c r="H17" s="573">
        <v>7</v>
      </c>
      <c r="I17" s="572">
        <v>6</v>
      </c>
      <c r="J17" s="573">
        <v>4</v>
      </c>
      <c r="K17" s="561">
        <v>3</v>
      </c>
      <c r="L17" s="561">
        <v>3</v>
      </c>
      <c r="M17" s="798">
        <f t="shared" si="2"/>
        <v>513</v>
      </c>
      <c r="N17" s="799">
        <f t="shared" si="2"/>
        <v>417</v>
      </c>
      <c r="O17" s="561">
        <v>271</v>
      </c>
      <c r="P17" s="561">
        <v>233</v>
      </c>
      <c r="Q17" s="572">
        <v>69</v>
      </c>
      <c r="R17" s="573">
        <v>46</v>
      </c>
      <c r="S17" s="561">
        <v>54</v>
      </c>
      <c r="T17" s="561">
        <v>39</v>
      </c>
      <c r="U17" s="572">
        <v>19</v>
      </c>
      <c r="V17" s="573">
        <v>18</v>
      </c>
      <c r="W17" s="561">
        <v>67</v>
      </c>
      <c r="X17" s="561">
        <v>49</v>
      </c>
      <c r="Y17" s="572">
        <v>33</v>
      </c>
      <c r="Z17" s="573">
        <v>32</v>
      </c>
      <c r="AA17" s="561">
        <v>17</v>
      </c>
      <c r="AB17" s="561">
        <v>7</v>
      </c>
      <c r="AC17" s="798">
        <f t="shared" si="4"/>
        <v>572</v>
      </c>
      <c r="AD17" s="799">
        <f t="shared" si="4"/>
        <v>456</v>
      </c>
      <c r="AE17" s="1224">
        <f t="shared" si="5"/>
        <v>1028</v>
      </c>
      <c r="AF17" s="550"/>
    </row>
    <row r="18" spans="1:32" ht="19.5" customHeight="1">
      <c r="A18" s="535" t="s">
        <v>642</v>
      </c>
      <c r="B18" s="536" t="s">
        <v>643</v>
      </c>
      <c r="C18" s="798">
        <f t="shared" si="3"/>
        <v>98</v>
      </c>
      <c r="D18" s="799">
        <f t="shared" si="3"/>
        <v>79</v>
      </c>
      <c r="E18" s="561">
        <v>60</v>
      </c>
      <c r="F18" s="561">
        <v>50</v>
      </c>
      <c r="G18" s="572">
        <v>18</v>
      </c>
      <c r="H18" s="573">
        <v>9</v>
      </c>
      <c r="I18" s="572">
        <v>10</v>
      </c>
      <c r="J18" s="573">
        <v>13</v>
      </c>
      <c r="K18" s="561">
        <v>10</v>
      </c>
      <c r="L18" s="561">
        <v>7</v>
      </c>
      <c r="M18" s="798">
        <f t="shared" si="2"/>
        <v>548</v>
      </c>
      <c r="N18" s="799">
        <f t="shared" si="2"/>
        <v>501</v>
      </c>
      <c r="O18" s="561">
        <v>307</v>
      </c>
      <c r="P18" s="561">
        <v>276</v>
      </c>
      <c r="Q18" s="572">
        <v>62</v>
      </c>
      <c r="R18" s="573">
        <v>48</v>
      </c>
      <c r="S18" s="561">
        <v>53</v>
      </c>
      <c r="T18" s="561">
        <v>57</v>
      </c>
      <c r="U18" s="572">
        <v>35</v>
      </c>
      <c r="V18" s="573">
        <v>37</v>
      </c>
      <c r="W18" s="561">
        <v>55</v>
      </c>
      <c r="X18" s="561">
        <v>62</v>
      </c>
      <c r="Y18" s="572">
        <v>36</v>
      </c>
      <c r="Z18" s="573">
        <v>21</v>
      </c>
      <c r="AA18" s="561">
        <v>18</v>
      </c>
      <c r="AB18" s="561">
        <v>14</v>
      </c>
      <c r="AC18" s="798">
        <f t="shared" si="4"/>
        <v>664</v>
      </c>
      <c r="AD18" s="799">
        <f t="shared" si="4"/>
        <v>594</v>
      </c>
      <c r="AE18" s="1224">
        <f t="shared" si="5"/>
        <v>1258</v>
      </c>
      <c r="AF18" s="550"/>
    </row>
    <row r="19" spans="1:32" ht="19.5" customHeight="1">
      <c r="A19" s="535" t="s">
        <v>647</v>
      </c>
      <c r="B19" s="536" t="s">
        <v>648</v>
      </c>
      <c r="C19" s="798">
        <f t="shared" si="3"/>
        <v>89</v>
      </c>
      <c r="D19" s="799">
        <f t="shared" si="3"/>
        <v>63</v>
      </c>
      <c r="E19" s="561">
        <v>50</v>
      </c>
      <c r="F19" s="561">
        <v>32</v>
      </c>
      <c r="G19" s="572">
        <v>12</v>
      </c>
      <c r="H19" s="573">
        <v>9</v>
      </c>
      <c r="I19" s="572">
        <v>13</v>
      </c>
      <c r="J19" s="573">
        <v>12</v>
      </c>
      <c r="K19" s="561">
        <v>14</v>
      </c>
      <c r="L19" s="561">
        <v>10</v>
      </c>
      <c r="M19" s="798">
        <f t="shared" si="2"/>
        <v>722</v>
      </c>
      <c r="N19" s="799">
        <f t="shared" si="2"/>
        <v>805</v>
      </c>
      <c r="O19" s="561">
        <v>360</v>
      </c>
      <c r="P19" s="561">
        <v>410</v>
      </c>
      <c r="Q19" s="572">
        <v>64</v>
      </c>
      <c r="R19" s="573">
        <v>94</v>
      </c>
      <c r="S19" s="561">
        <v>65</v>
      </c>
      <c r="T19" s="561">
        <v>77</v>
      </c>
      <c r="U19" s="572">
        <v>35</v>
      </c>
      <c r="V19" s="573">
        <v>49</v>
      </c>
      <c r="W19" s="561">
        <v>142</v>
      </c>
      <c r="X19" s="561">
        <v>104</v>
      </c>
      <c r="Y19" s="572">
        <v>56</v>
      </c>
      <c r="Z19" s="573">
        <v>71</v>
      </c>
      <c r="AA19" s="561">
        <v>26</v>
      </c>
      <c r="AB19" s="561">
        <v>21</v>
      </c>
      <c r="AC19" s="798">
        <f t="shared" si="4"/>
        <v>837</v>
      </c>
      <c r="AD19" s="799">
        <f t="shared" si="4"/>
        <v>889</v>
      </c>
      <c r="AE19" s="1224">
        <f t="shared" si="5"/>
        <v>1726</v>
      </c>
      <c r="AF19" s="550"/>
    </row>
    <row r="20" spans="1:32" ht="18.75" customHeight="1">
      <c r="A20" s="535" t="s">
        <v>202</v>
      </c>
      <c r="B20" s="536" t="s">
        <v>203</v>
      </c>
      <c r="C20" s="798">
        <f t="shared" si="3"/>
        <v>3</v>
      </c>
      <c r="D20" s="799">
        <f t="shared" si="3"/>
        <v>5</v>
      </c>
      <c r="E20" s="561">
        <v>2</v>
      </c>
      <c r="F20" s="561">
        <v>3</v>
      </c>
      <c r="G20" s="572"/>
      <c r="H20" s="573">
        <v>2</v>
      </c>
      <c r="I20" s="572">
        <v>1</v>
      </c>
      <c r="J20" s="573"/>
      <c r="K20" s="561"/>
      <c r="L20" s="561"/>
      <c r="M20" s="798">
        <f t="shared" si="2"/>
        <v>38</v>
      </c>
      <c r="N20" s="799">
        <f t="shared" si="2"/>
        <v>59</v>
      </c>
      <c r="O20" s="561">
        <v>24</v>
      </c>
      <c r="P20" s="561">
        <v>34</v>
      </c>
      <c r="Q20" s="572">
        <v>1</v>
      </c>
      <c r="R20" s="573">
        <v>5</v>
      </c>
      <c r="S20" s="561">
        <v>3</v>
      </c>
      <c r="T20" s="561">
        <v>9</v>
      </c>
      <c r="U20" s="572"/>
      <c r="V20" s="573">
        <v>2</v>
      </c>
      <c r="W20" s="561">
        <v>8</v>
      </c>
      <c r="X20" s="561">
        <v>7</v>
      </c>
      <c r="Y20" s="572">
        <v>2</v>
      </c>
      <c r="Z20" s="573">
        <v>2</v>
      </c>
      <c r="AA20" s="561">
        <v>3</v>
      </c>
      <c r="AB20" s="561"/>
      <c r="AC20" s="798">
        <f t="shared" si="4"/>
        <v>44</v>
      </c>
      <c r="AD20" s="799">
        <f t="shared" si="4"/>
        <v>64</v>
      </c>
      <c r="AE20" s="1224">
        <f t="shared" si="5"/>
        <v>108</v>
      </c>
    </row>
    <row r="21" spans="1:32" ht="19.5" customHeight="1">
      <c r="A21" s="535" t="s">
        <v>204</v>
      </c>
      <c r="B21" s="536" t="s">
        <v>205</v>
      </c>
      <c r="C21" s="798">
        <f t="shared" si="3"/>
        <v>24</v>
      </c>
      <c r="D21" s="799">
        <f t="shared" si="3"/>
        <v>24</v>
      </c>
      <c r="E21" s="561">
        <v>17</v>
      </c>
      <c r="F21" s="561">
        <v>15</v>
      </c>
      <c r="G21" s="572">
        <v>5</v>
      </c>
      <c r="H21" s="573">
        <v>3</v>
      </c>
      <c r="I21" s="572">
        <v>1</v>
      </c>
      <c r="J21" s="573"/>
      <c r="K21" s="561">
        <v>1</v>
      </c>
      <c r="L21" s="561">
        <v>6</v>
      </c>
      <c r="M21" s="798">
        <f t="shared" si="2"/>
        <v>57</v>
      </c>
      <c r="N21" s="799">
        <f t="shared" si="2"/>
        <v>51</v>
      </c>
      <c r="O21" s="561">
        <v>25</v>
      </c>
      <c r="P21" s="561">
        <v>21</v>
      </c>
      <c r="Q21" s="572">
        <v>7</v>
      </c>
      <c r="R21" s="573">
        <v>3</v>
      </c>
      <c r="S21" s="561">
        <v>6</v>
      </c>
      <c r="T21" s="561">
        <v>6</v>
      </c>
      <c r="U21" s="572">
        <v>1</v>
      </c>
      <c r="V21" s="573">
        <v>2</v>
      </c>
      <c r="W21" s="561">
        <v>11</v>
      </c>
      <c r="X21" s="561">
        <v>13</v>
      </c>
      <c r="Y21" s="572">
        <v>7</v>
      </c>
      <c r="Z21" s="573">
        <v>6</v>
      </c>
      <c r="AA21" s="561">
        <v>2</v>
      </c>
      <c r="AB21" s="561">
        <v>1</v>
      </c>
      <c r="AC21" s="798">
        <f t="shared" si="4"/>
        <v>83</v>
      </c>
      <c r="AD21" s="799">
        <f t="shared" si="4"/>
        <v>76</v>
      </c>
      <c r="AE21" s="1224">
        <f t="shared" si="5"/>
        <v>159</v>
      </c>
    </row>
    <row r="22" spans="1:32" ht="19.5" customHeight="1">
      <c r="A22" s="535" t="s">
        <v>649</v>
      </c>
      <c r="B22" s="536" t="s">
        <v>650</v>
      </c>
      <c r="C22" s="798">
        <f t="shared" si="3"/>
        <v>23</v>
      </c>
      <c r="D22" s="799">
        <f t="shared" si="3"/>
        <v>12</v>
      </c>
      <c r="E22" s="561">
        <v>15</v>
      </c>
      <c r="F22" s="561">
        <v>6</v>
      </c>
      <c r="G22" s="572">
        <v>3</v>
      </c>
      <c r="H22" s="573">
        <v>1</v>
      </c>
      <c r="I22" s="572">
        <v>1</v>
      </c>
      <c r="J22" s="573">
        <v>1</v>
      </c>
      <c r="K22" s="561">
        <v>4</v>
      </c>
      <c r="L22" s="561">
        <v>4</v>
      </c>
      <c r="M22" s="798">
        <f t="shared" si="2"/>
        <v>227</v>
      </c>
      <c r="N22" s="799">
        <f t="shared" si="2"/>
        <v>422</v>
      </c>
      <c r="O22" s="561">
        <v>138</v>
      </c>
      <c r="P22" s="561">
        <v>229</v>
      </c>
      <c r="Q22" s="572">
        <v>14</v>
      </c>
      <c r="R22" s="573">
        <v>35</v>
      </c>
      <c r="S22" s="561">
        <v>20</v>
      </c>
      <c r="T22" s="561">
        <v>38</v>
      </c>
      <c r="U22" s="572">
        <v>11</v>
      </c>
      <c r="V22" s="573">
        <v>24</v>
      </c>
      <c r="W22" s="561">
        <v>30</v>
      </c>
      <c r="X22" s="561">
        <v>66</v>
      </c>
      <c r="Y22" s="572">
        <v>14</v>
      </c>
      <c r="Z22" s="573">
        <v>30</v>
      </c>
      <c r="AA22" s="561">
        <v>3</v>
      </c>
      <c r="AB22" s="561">
        <v>15</v>
      </c>
      <c r="AC22" s="798">
        <f t="shared" si="4"/>
        <v>253</v>
      </c>
      <c r="AD22" s="799">
        <f t="shared" si="4"/>
        <v>449</v>
      </c>
      <c r="AE22" s="1224">
        <f t="shared" si="5"/>
        <v>702</v>
      </c>
      <c r="AF22" s="550"/>
    </row>
    <row r="23" spans="1:32" ht="18.75" customHeight="1">
      <c r="A23" s="535" t="s">
        <v>206</v>
      </c>
      <c r="B23" s="536" t="s">
        <v>207</v>
      </c>
      <c r="C23" s="798">
        <f t="shared" si="3"/>
        <v>0</v>
      </c>
      <c r="D23" s="799">
        <f t="shared" si="3"/>
        <v>155</v>
      </c>
      <c r="E23" s="561"/>
      <c r="F23" s="561">
        <v>89</v>
      </c>
      <c r="G23" s="572"/>
      <c r="H23" s="573">
        <v>25</v>
      </c>
      <c r="I23" s="572"/>
      <c r="J23" s="573">
        <v>19</v>
      </c>
      <c r="K23" s="561"/>
      <c r="L23" s="561">
        <v>22</v>
      </c>
      <c r="M23" s="798">
        <f t="shared" si="2"/>
        <v>0</v>
      </c>
      <c r="N23" s="799">
        <f t="shared" si="2"/>
        <v>1619</v>
      </c>
      <c r="O23" s="561"/>
      <c r="P23" s="561">
        <v>880</v>
      </c>
      <c r="Q23" s="572"/>
      <c r="R23" s="573">
        <v>158</v>
      </c>
      <c r="S23" s="561"/>
      <c r="T23" s="561">
        <v>155</v>
      </c>
      <c r="U23" s="572"/>
      <c r="V23" s="573">
        <v>58</v>
      </c>
      <c r="W23" s="561"/>
      <c r="X23" s="561">
        <v>255</v>
      </c>
      <c r="Y23" s="572"/>
      <c r="Z23" s="573">
        <v>113</v>
      </c>
      <c r="AA23" s="561"/>
      <c r="AB23" s="561">
        <v>190</v>
      </c>
      <c r="AC23" s="798">
        <f t="shared" si="4"/>
        <v>0</v>
      </c>
      <c r="AD23" s="799">
        <f t="shared" si="4"/>
        <v>1964</v>
      </c>
      <c r="AE23" s="1224">
        <f t="shared" si="5"/>
        <v>1964</v>
      </c>
    </row>
    <row r="24" spans="1:32" ht="19.5" customHeight="1">
      <c r="A24" s="535" t="s">
        <v>657</v>
      </c>
      <c r="B24" s="536" t="s">
        <v>658</v>
      </c>
      <c r="C24" s="798">
        <f t="shared" si="3"/>
        <v>45</v>
      </c>
      <c r="D24" s="799">
        <f t="shared" si="3"/>
        <v>29</v>
      </c>
      <c r="E24" s="561">
        <v>25</v>
      </c>
      <c r="F24" s="561">
        <v>15</v>
      </c>
      <c r="G24" s="572">
        <v>6</v>
      </c>
      <c r="H24" s="573">
        <v>4</v>
      </c>
      <c r="I24" s="572">
        <v>6</v>
      </c>
      <c r="J24" s="573">
        <v>7</v>
      </c>
      <c r="K24" s="561">
        <v>8</v>
      </c>
      <c r="L24" s="561">
        <v>3</v>
      </c>
      <c r="M24" s="798">
        <f t="shared" si="2"/>
        <v>111</v>
      </c>
      <c r="N24" s="799">
        <f t="shared" si="2"/>
        <v>107</v>
      </c>
      <c r="O24" s="561">
        <v>66</v>
      </c>
      <c r="P24" s="561">
        <v>57</v>
      </c>
      <c r="Q24" s="572">
        <v>4</v>
      </c>
      <c r="R24" s="573">
        <v>14</v>
      </c>
      <c r="S24" s="561">
        <v>9</v>
      </c>
      <c r="T24" s="561">
        <v>12</v>
      </c>
      <c r="U24" s="572">
        <v>2</v>
      </c>
      <c r="V24" s="573">
        <v>5</v>
      </c>
      <c r="W24" s="561">
        <v>24</v>
      </c>
      <c r="X24" s="561">
        <v>16</v>
      </c>
      <c r="Y24" s="572">
        <v>6</v>
      </c>
      <c r="Z24" s="573">
        <v>3</v>
      </c>
      <c r="AA24" s="561">
        <v>4</v>
      </c>
      <c r="AB24" s="561">
        <v>4</v>
      </c>
      <c r="AC24" s="798">
        <f t="shared" si="4"/>
        <v>160</v>
      </c>
      <c r="AD24" s="799">
        <f t="shared" si="4"/>
        <v>140</v>
      </c>
      <c r="AE24" s="1224">
        <f t="shared" si="5"/>
        <v>300</v>
      </c>
    </row>
    <row r="25" spans="1:32" ht="20.25" customHeight="1">
      <c r="A25" s="535" t="s">
        <v>659</v>
      </c>
      <c r="B25" s="536" t="s">
        <v>660</v>
      </c>
      <c r="C25" s="798">
        <f t="shared" si="3"/>
        <v>22</v>
      </c>
      <c r="D25" s="799">
        <f t="shared" si="3"/>
        <v>11</v>
      </c>
      <c r="E25" s="561">
        <v>9</v>
      </c>
      <c r="F25" s="561">
        <v>5</v>
      </c>
      <c r="G25" s="572">
        <v>5</v>
      </c>
      <c r="H25" s="917">
        <v>2</v>
      </c>
      <c r="I25" s="572">
        <v>6</v>
      </c>
      <c r="J25" s="573">
        <v>2</v>
      </c>
      <c r="K25" s="561">
        <v>2</v>
      </c>
      <c r="L25" s="561">
        <v>2</v>
      </c>
      <c r="M25" s="798">
        <f t="shared" si="2"/>
        <v>45</v>
      </c>
      <c r="N25" s="799">
        <f t="shared" si="2"/>
        <v>19</v>
      </c>
      <c r="O25" s="561">
        <v>20</v>
      </c>
      <c r="P25" s="561">
        <v>10</v>
      </c>
      <c r="Q25" s="572">
        <v>6</v>
      </c>
      <c r="R25" s="573"/>
      <c r="S25" s="561">
        <v>3</v>
      </c>
      <c r="T25" s="561">
        <v>1</v>
      </c>
      <c r="U25" s="572">
        <v>4</v>
      </c>
      <c r="V25" s="573"/>
      <c r="W25" s="561">
        <v>9</v>
      </c>
      <c r="X25" s="561">
        <v>4</v>
      </c>
      <c r="Y25" s="572">
        <v>3</v>
      </c>
      <c r="Z25" s="573">
        <v>4</v>
      </c>
      <c r="AA25" s="561"/>
      <c r="AB25" s="561">
        <v>3</v>
      </c>
      <c r="AC25" s="798">
        <f t="shared" si="4"/>
        <v>67</v>
      </c>
      <c r="AD25" s="799">
        <f t="shared" si="4"/>
        <v>33</v>
      </c>
      <c r="AE25" s="1224">
        <f t="shared" si="5"/>
        <v>100</v>
      </c>
    </row>
    <row r="26" spans="1:32" ht="21.75" customHeight="1">
      <c r="A26" s="535" t="s">
        <v>653</v>
      </c>
      <c r="B26" s="536" t="s">
        <v>673</v>
      </c>
      <c r="C26" s="798">
        <f t="shared" si="3"/>
        <v>0</v>
      </c>
      <c r="D26" s="799">
        <f t="shared" si="3"/>
        <v>0</v>
      </c>
      <c r="E26" s="561"/>
      <c r="F26" s="561"/>
      <c r="G26" s="572"/>
      <c r="H26" s="573"/>
      <c r="I26" s="572"/>
      <c r="J26" s="573"/>
      <c r="K26" s="561"/>
      <c r="L26" s="561"/>
      <c r="M26" s="798">
        <f t="shared" si="2"/>
        <v>3</v>
      </c>
      <c r="N26" s="799">
        <f t="shared" si="2"/>
        <v>1</v>
      </c>
      <c r="O26" s="561">
        <v>2</v>
      </c>
      <c r="P26" s="561">
        <v>1</v>
      </c>
      <c r="Q26" s="572"/>
      <c r="R26" s="573"/>
      <c r="S26" s="561"/>
      <c r="T26" s="561"/>
      <c r="U26" s="572"/>
      <c r="V26" s="573"/>
      <c r="W26" s="561"/>
      <c r="X26" s="561"/>
      <c r="Y26" s="572">
        <v>1</v>
      </c>
      <c r="Z26" s="573"/>
      <c r="AA26" s="561"/>
      <c r="AB26" s="561"/>
      <c r="AC26" s="798">
        <f t="shared" si="4"/>
        <v>3</v>
      </c>
      <c r="AD26" s="799">
        <f t="shared" si="4"/>
        <v>1</v>
      </c>
      <c r="AE26" s="1224">
        <f>SUM(AC26:AD26)</f>
        <v>4</v>
      </c>
    </row>
    <row r="27" spans="1:32" ht="21.75" customHeight="1">
      <c r="A27" s="535" t="s">
        <v>645</v>
      </c>
      <c r="B27" s="539" t="s">
        <v>208</v>
      </c>
      <c r="C27" s="798">
        <f>+E27+G27+I27+K27</f>
        <v>80</v>
      </c>
      <c r="D27" s="799">
        <f>+F27+H27+J27+L27</f>
        <v>52</v>
      </c>
      <c r="E27" s="561">
        <v>48</v>
      </c>
      <c r="F27" s="561">
        <v>32</v>
      </c>
      <c r="G27" s="572">
        <v>14</v>
      </c>
      <c r="H27" s="573">
        <v>10</v>
      </c>
      <c r="I27" s="572">
        <v>10</v>
      </c>
      <c r="J27" s="573">
        <v>4</v>
      </c>
      <c r="K27" s="561">
        <v>8</v>
      </c>
      <c r="L27" s="561">
        <v>6</v>
      </c>
      <c r="M27" s="798">
        <f t="shared" ref="M27:N29" si="6">+O27+Q27+S27+U27+W27+Y27</f>
        <v>284</v>
      </c>
      <c r="N27" s="799">
        <f t="shared" si="6"/>
        <v>326</v>
      </c>
      <c r="O27" s="561">
        <v>160</v>
      </c>
      <c r="P27" s="561">
        <v>154</v>
      </c>
      <c r="Q27" s="572">
        <v>23</v>
      </c>
      <c r="R27" s="573">
        <v>40</v>
      </c>
      <c r="S27" s="561">
        <v>24</v>
      </c>
      <c r="T27" s="561">
        <v>35</v>
      </c>
      <c r="U27" s="572">
        <v>12</v>
      </c>
      <c r="V27" s="573">
        <v>22</v>
      </c>
      <c r="W27" s="561">
        <v>46</v>
      </c>
      <c r="X27" s="561">
        <v>53</v>
      </c>
      <c r="Y27" s="572">
        <v>19</v>
      </c>
      <c r="Z27" s="573">
        <v>22</v>
      </c>
      <c r="AA27" s="561">
        <v>25</v>
      </c>
      <c r="AB27" s="561">
        <v>13</v>
      </c>
      <c r="AC27" s="798">
        <f>+M27+C27+AA27</f>
        <v>389</v>
      </c>
      <c r="AD27" s="799">
        <f>+N27+D27+AB27</f>
        <v>391</v>
      </c>
      <c r="AE27" s="1224">
        <f>SUM(AC27:AD27)</f>
        <v>780</v>
      </c>
    </row>
    <row r="28" spans="1:32" ht="21.75" customHeight="1">
      <c r="A28" s="181" t="s">
        <v>1437</v>
      </c>
      <c r="B28" s="211" t="s">
        <v>1439</v>
      </c>
      <c r="C28" s="798">
        <f>+E28+G28+I28+K28</f>
        <v>4</v>
      </c>
      <c r="D28" s="799">
        <f>+F28+H28+J28+L28</f>
        <v>0</v>
      </c>
      <c r="E28" s="561">
        <v>2</v>
      </c>
      <c r="F28" s="561"/>
      <c r="G28" s="572">
        <v>1</v>
      </c>
      <c r="H28" s="573"/>
      <c r="I28" s="572"/>
      <c r="J28" s="573"/>
      <c r="K28" s="561">
        <v>1</v>
      </c>
      <c r="L28" s="561"/>
      <c r="M28" s="798">
        <f t="shared" si="6"/>
        <v>25</v>
      </c>
      <c r="N28" s="799">
        <f t="shared" si="6"/>
        <v>31</v>
      </c>
      <c r="O28" s="561">
        <v>13</v>
      </c>
      <c r="P28" s="561">
        <v>21</v>
      </c>
      <c r="Q28" s="572">
        <v>3</v>
      </c>
      <c r="R28" s="573">
        <v>3</v>
      </c>
      <c r="S28" s="561">
        <v>1</v>
      </c>
      <c r="T28" s="561">
        <v>2</v>
      </c>
      <c r="U28" s="572">
        <v>1</v>
      </c>
      <c r="V28" s="573">
        <v>1</v>
      </c>
      <c r="W28" s="561">
        <v>4</v>
      </c>
      <c r="X28" s="561">
        <v>3</v>
      </c>
      <c r="Y28" s="572">
        <v>3</v>
      </c>
      <c r="Z28" s="573">
        <v>1</v>
      </c>
      <c r="AA28" s="561"/>
      <c r="AB28" s="561">
        <v>1</v>
      </c>
      <c r="AC28" s="798">
        <f>+M28+C28+AA28</f>
        <v>29</v>
      </c>
      <c r="AD28" s="799">
        <f>+N28+D28+AB28</f>
        <v>32</v>
      </c>
      <c r="AE28" s="1224">
        <f>SUM(AC28:AD28)</f>
        <v>61</v>
      </c>
    </row>
    <row r="29" spans="1:32" ht="27.75" customHeight="1">
      <c r="A29" s="181" t="s">
        <v>1438</v>
      </c>
      <c r="B29" s="211" t="s">
        <v>1440</v>
      </c>
      <c r="C29" s="798">
        <f t="shared" si="3"/>
        <v>0</v>
      </c>
      <c r="D29" s="799">
        <f t="shared" si="3"/>
        <v>0</v>
      </c>
      <c r="E29" s="561"/>
      <c r="F29" s="561"/>
      <c r="G29" s="572"/>
      <c r="H29" s="573"/>
      <c r="I29" s="572"/>
      <c r="J29" s="573"/>
      <c r="K29" s="561"/>
      <c r="L29" s="561"/>
      <c r="M29" s="798">
        <f t="shared" si="6"/>
        <v>1</v>
      </c>
      <c r="N29" s="799">
        <f t="shared" si="6"/>
        <v>1</v>
      </c>
      <c r="O29" s="561">
        <v>1</v>
      </c>
      <c r="P29" s="561">
        <v>1</v>
      </c>
      <c r="Q29" s="572"/>
      <c r="R29" s="573"/>
      <c r="S29" s="561"/>
      <c r="T29" s="561"/>
      <c r="U29" s="572"/>
      <c r="V29" s="573"/>
      <c r="W29" s="561"/>
      <c r="X29" s="561"/>
      <c r="Y29" s="572"/>
      <c r="Z29" s="573"/>
      <c r="AA29" s="561"/>
      <c r="AB29" s="561"/>
      <c r="AC29" s="798">
        <f t="shared" si="4"/>
        <v>1</v>
      </c>
      <c r="AD29" s="799">
        <f t="shared" si="4"/>
        <v>1</v>
      </c>
      <c r="AE29" s="1224">
        <f>SUM(AC29:AD29)</f>
        <v>2</v>
      </c>
    </row>
    <row r="30" spans="1:32" ht="21.75" customHeight="1" thickBot="1">
      <c r="A30" s="540"/>
      <c r="B30" s="540" t="s">
        <v>767</v>
      </c>
      <c r="C30" s="1214">
        <f>SUM(C10:C29)</f>
        <v>499</v>
      </c>
      <c r="D30" s="1215">
        <f>SUM(D10:D29)</f>
        <v>547</v>
      </c>
      <c r="E30" s="1216">
        <f>SUM(E10:E29)</f>
        <v>285</v>
      </c>
      <c r="F30" s="1216">
        <f t="shared" ref="F30:AE30" si="7">SUM(F10:F29)</f>
        <v>316</v>
      </c>
      <c r="G30" s="1217">
        <f t="shared" si="7"/>
        <v>92</v>
      </c>
      <c r="H30" s="789">
        <f t="shared" si="7"/>
        <v>93</v>
      </c>
      <c r="I30" s="1217">
        <f t="shared" si="7"/>
        <v>65</v>
      </c>
      <c r="J30" s="789">
        <f t="shared" si="7"/>
        <v>70</v>
      </c>
      <c r="K30" s="1216">
        <f t="shared" si="7"/>
        <v>57</v>
      </c>
      <c r="L30" s="1216">
        <f t="shared" si="7"/>
        <v>68</v>
      </c>
      <c r="M30" s="1214">
        <f t="shared" si="7"/>
        <v>3116</v>
      </c>
      <c r="N30" s="1215">
        <f t="shared" si="7"/>
        <v>5206</v>
      </c>
      <c r="O30" s="1216">
        <f t="shared" si="7"/>
        <v>1699</v>
      </c>
      <c r="P30" s="1216">
        <f t="shared" si="7"/>
        <v>2788</v>
      </c>
      <c r="Q30" s="1217">
        <f t="shared" si="7"/>
        <v>306</v>
      </c>
      <c r="R30" s="789">
        <f t="shared" si="7"/>
        <v>521</v>
      </c>
      <c r="S30" s="1216">
        <f t="shared" si="7"/>
        <v>281</v>
      </c>
      <c r="T30" s="1216">
        <f t="shared" si="7"/>
        <v>520</v>
      </c>
      <c r="U30" s="1217">
        <f t="shared" si="7"/>
        <v>144</v>
      </c>
      <c r="V30" s="789">
        <f t="shared" si="7"/>
        <v>256</v>
      </c>
      <c r="W30" s="1216">
        <f t="shared" si="7"/>
        <v>471</v>
      </c>
      <c r="X30" s="1216">
        <f t="shared" si="7"/>
        <v>750</v>
      </c>
      <c r="Y30" s="1217">
        <f t="shared" si="7"/>
        <v>215</v>
      </c>
      <c r="Z30" s="789">
        <f t="shared" si="7"/>
        <v>371</v>
      </c>
      <c r="AA30" s="1216">
        <f t="shared" si="7"/>
        <v>108</v>
      </c>
      <c r="AB30" s="1216">
        <f t="shared" si="7"/>
        <v>299</v>
      </c>
      <c r="AC30" s="1214">
        <f t="shared" si="7"/>
        <v>3723</v>
      </c>
      <c r="AD30" s="1215">
        <f t="shared" si="7"/>
        <v>6052</v>
      </c>
      <c r="AE30" s="1218">
        <f t="shared" si="7"/>
        <v>9775</v>
      </c>
    </row>
    <row r="31" spans="1:32" ht="21.75" customHeight="1">
      <c r="A31" s="543"/>
      <c r="B31" s="543"/>
      <c r="C31" s="543"/>
      <c r="D31" s="543"/>
      <c r="E31" s="544"/>
      <c r="F31" s="544"/>
      <c r="G31" s="544"/>
      <c r="H31" s="544"/>
      <c r="I31" s="544"/>
      <c r="J31" s="544"/>
      <c r="K31" s="563"/>
      <c r="L31" s="563"/>
      <c r="M31" s="544"/>
      <c r="N31" s="544"/>
      <c r="O31" s="544"/>
      <c r="P31" s="544"/>
      <c r="Q31" s="544"/>
      <c r="R31" s="544"/>
      <c r="S31" s="563"/>
      <c r="T31" s="563"/>
      <c r="U31" s="544"/>
      <c r="V31" s="544"/>
      <c r="W31" s="544"/>
      <c r="X31" s="544"/>
      <c r="Y31" s="563"/>
      <c r="Z31" s="563"/>
      <c r="AA31" s="563"/>
      <c r="AB31" s="563"/>
      <c r="AC31" s="563"/>
      <c r="AD31" s="563"/>
      <c r="AE31" s="545"/>
    </row>
    <row r="32" spans="1:32" ht="18" customHeight="1">
      <c r="A32" s="559" t="s">
        <v>209</v>
      </c>
      <c r="B32" s="564"/>
      <c r="C32" s="544"/>
      <c r="D32" s="544"/>
      <c r="E32" s="544"/>
      <c r="F32" s="544"/>
      <c r="G32" s="544"/>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3"/>
    </row>
    <row r="33" spans="1:30">
      <c r="A33" s="565"/>
      <c r="B33" s="565"/>
      <c r="C33" s="549"/>
      <c r="D33" s="549"/>
      <c r="E33" s="549"/>
      <c r="F33" s="549"/>
      <c r="G33" s="549"/>
      <c r="H33" s="549"/>
      <c r="I33" s="549"/>
      <c r="J33" s="549"/>
      <c r="K33" s="549"/>
      <c r="L33" s="549"/>
      <c r="M33" s="549"/>
      <c r="N33" s="549"/>
      <c r="O33" s="549"/>
      <c r="P33" s="549"/>
      <c r="Q33" s="549"/>
      <c r="R33" s="549"/>
      <c r="S33" s="549"/>
      <c r="T33" s="549"/>
      <c r="U33" s="549"/>
      <c r="V33" s="549"/>
      <c r="W33" s="549"/>
      <c r="X33" s="549"/>
      <c r="Y33" s="549"/>
      <c r="Z33" s="549"/>
      <c r="AA33" s="549"/>
      <c r="AB33" s="549"/>
      <c r="AC33" s="549"/>
      <c r="AD33" s="549"/>
    </row>
    <row r="34" spans="1:30">
      <c r="A34" s="559" t="str">
        <f>+A3</f>
        <v>SERVICIO DE SALUD   ACONCAGUA   2023</v>
      </c>
      <c r="B34" s="565"/>
      <c r="C34" s="549"/>
      <c r="D34" s="549"/>
      <c r="E34" s="549"/>
      <c r="F34" s="549"/>
      <c r="G34" s="549"/>
      <c r="H34" s="549"/>
      <c r="I34" s="549"/>
      <c r="J34" s="549"/>
      <c r="K34" s="549"/>
      <c r="L34" s="549"/>
      <c r="M34" s="549"/>
      <c r="N34" s="549"/>
      <c r="O34" s="549"/>
      <c r="P34" s="549"/>
      <c r="Q34" s="549"/>
      <c r="R34" s="549"/>
      <c r="S34" s="549"/>
      <c r="T34" s="549"/>
      <c r="U34" s="549"/>
      <c r="V34" s="549"/>
      <c r="W34" s="549"/>
      <c r="X34" s="549"/>
      <c r="Y34" s="549"/>
      <c r="Z34" s="549"/>
      <c r="AA34" s="549"/>
      <c r="AB34" s="549"/>
      <c r="AC34" s="549"/>
      <c r="AD34" s="549"/>
    </row>
    <row r="35" spans="1:30">
      <c r="A35" s="565"/>
      <c r="B35" s="565"/>
      <c r="C35" s="549"/>
      <c r="D35" s="549"/>
      <c r="E35" s="549"/>
      <c r="F35" s="549"/>
      <c r="G35" s="549"/>
      <c r="H35" s="549"/>
      <c r="I35" s="549"/>
      <c r="J35" s="549"/>
      <c r="K35" s="549"/>
      <c r="L35" s="549"/>
      <c r="M35" s="549"/>
      <c r="N35" s="549"/>
      <c r="O35" s="549"/>
      <c r="P35" s="549"/>
      <c r="Q35" s="549"/>
      <c r="R35" s="549"/>
      <c r="S35" s="549"/>
      <c r="T35" s="549"/>
      <c r="U35" s="549"/>
      <c r="V35" s="549"/>
      <c r="W35" s="549"/>
      <c r="X35" s="549"/>
      <c r="Y35" s="549"/>
      <c r="Z35" s="549"/>
      <c r="AA35" s="549"/>
      <c r="AB35" s="549"/>
      <c r="AC35" s="549"/>
      <c r="AD35" s="549"/>
    </row>
    <row r="36" spans="1:30">
      <c r="A36" s="559" t="s">
        <v>213</v>
      </c>
      <c r="B36" s="565"/>
      <c r="C36" s="549"/>
      <c r="D36" s="549"/>
      <c r="E36" s="549"/>
      <c r="F36" s="549"/>
      <c r="G36" s="549"/>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row>
    <row r="38" spans="1:30" ht="21.75" customHeight="1">
      <c r="A38" s="786" t="s">
        <v>627</v>
      </c>
      <c r="B38" s="530"/>
      <c r="C38" s="1643" t="s">
        <v>661</v>
      </c>
      <c r="D38" s="1644"/>
      <c r="E38" s="1644"/>
      <c r="F38" s="1644"/>
      <c r="G38" s="1644"/>
      <c r="H38" s="1644"/>
      <c r="I38" s="1644"/>
      <c r="J38" s="1644"/>
      <c r="K38" s="1644"/>
      <c r="L38" s="1644"/>
      <c r="M38" s="1644"/>
      <c r="N38" s="1644"/>
      <c r="O38" s="1644"/>
      <c r="P38" s="1644"/>
      <c r="Q38" s="1644"/>
      <c r="R38" s="1644"/>
      <c r="S38" s="1644"/>
      <c r="T38" s="1644"/>
      <c r="U38" s="1644"/>
      <c r="V38" s="1644"/>
      <c r="W38" s="791"/>
      <c r="X38" s="791"/>
      <c r="Y38" s="551"/>
    </row>
    <row r="39" spans="1:30" ht="23.25" customHeight="1">
      <c r="A39" s="787" t="s">
        <v>629</v>
      </c>
      <c r="B39" s="809" t="s">
        <v>630</v>
      </c>
      <c r="C39" s="1633" t="s">
        <v>663</v>
      </c>
      <c r="D39" s="1633"/>
      <c r="E39" s="1633" t="s">
        <v>664</v>
      </c>
      <c r="F39" s="1633"/>
      <c r="G39" s="1633" t="s">
        <v>665</v>
      </c>
      <c r="H39" s="1633"/>
      <c r="I39" s="1633" t="s">
        <v>666</v>
      </c>
      <c r="J39" s="1633"/>
      <c r="K39" s="1633" t="s">
        <v>667</v>
      </c>
      <c r="L39" s="1633"/>
      <c r="M39" s="1633" t="s">
        <v>668</v>
      </c>
      <c r="N39" s="1633"/>
      <c r="O39" s="1633" t="s">
        <v>669</v>
      </c>
      <c r="P39" s="1633"/>
      <c r="Q39" s="1633" t="s">
        <v>670</v>
      </c>
      <c r="R39" s="1633"/>
      <c r="S39" s="1633" t="s">
        <v>671</v>
      </c>
      <c r="T39" s="1633"/>
      <c r="U39" s="1633" t="s">
        <v>672</v>
      </c>
      <c r="V39" s="1633"/>
      <c r="W39" s="1633" t="s">
        <v>474</v>
      </c>
      <c r="X39" s="1633"/>
      <c r="Y39" s="1633"/>
    </row>
    <row r="40" spans="1:30">
      <c r="A40" s="788"/>
      <c r="B40" s="810"/>
      <c r="C40" s="780" t="s">
        <v>1301</v>
      </c>
      <c r="D40" s="782" t="s">
        <v>1302</v>
      </c>
      <c r="E40" s="781" t="s">
        <v>1301</v>
      </c>
      <c r="F40" s="782" t="s">
        <v>1302</v>
      </c>
      <c r="G40" s="781" t="s">
        <v>1301</v>
      </c>
      <c r="H40" s="782" t="s">
        <v>1302</v>
      </c>
      <c r="I40" s="781" t="s">
        <v>1301</v>
      </c>
      <c r="J40" s="782" t="s">
        <v>1302</v>
      </c>
      <c r="K40" s="781" t="s">
        <v>1301</v>
      </c>
      <c r="L40" s="782" t="s">
        <v>1302</v>
      </c>
      <c r="M40" s="781" t="s">
        <v>1301</v>
      </c>
      <c r="N40" s="782" t="s">
        <v>1302</v>
      </c>
      <c r="O40" s="781" t="s">
        <v>1301</v>
      </c>
      <c r="P40" s="782" t="s">
        <v>1302</v>
      </c>
      <c r="Q40" s="781" t="s">
        <v>1301</v>
      </c>
      <c r="R40" s="782" t="s">
        <v>1302</v>
      </c>
      <c r="S40" s="781" t="s">
        <v>1301</v>
      </c>
      <c r="T40" s="782" t="s">
        <v>1302</v>
      </c>
      <c r="U40" s="781" t="s">
        <v>1301</v>
      </c>
      <c r="V40" s="782" t="s">
        <v>1302</v>
      </c>
      <c r="W40" s="781" t="s">
        <v>1301</v>
      </c>
      <c r="X40" s="782" t="s">
        <v>1302</v>
      </c>
      <c r="Y40" s="789" t="s">
        <v>448</v>
      </c>
    </row>
    <row r="41" spans="1:30" ht="20.25" customHeight="1">
      <c r="A41" s="535" t="s">
        <v>651</v>
      </c>
      <c r="B41" s="536" t="s">
        <v>652</v>
      </c>
      <c r="C41" s="606"/>
      <c r="D41" s="561"/>
      <c r="E41" s="785"/>
      <c r="F41" s="531">
        <v>1</v>
      </c>
      <c r="G41" s="561">
        <v>7</v>
      </c>
      <c r="H41" s="561">
        <v>9</v>
      </c>
      <c r="I41" s="785">
        <v>14</v>
      </c>
      <c r="J41" s="531">
        <v>9</v>
      </c>
      <c r="K41" s="561">
        <v>2</v>
      </c>
      <c r="L41" s="561">
        <v>1</v>
      </c>
      <c r="M41" s="785"/>
      <c r="N41" s="531">
        <v>4</v>
      </c>
      <c r="O41" s="561">
        <v>4</v>
      </c>
      <c r="P41" s="561">
        <v>1</v>
      </c>
      <c r="Q41" s="785">
        <v>11</v>
      </c>
      <c r="R41" s="531">
        <v>12</v>
      </c>
      <c r="S41" s="561">
        <v>16</v>
      </c>
      <c r="T41" s="561">
        <v>20</v>
      </c>
      <c r="U41" s="785">
        <v>23</v>
      </c>
      <c r="V41" s="531">
        <v>39</v>
      </c>
      <c r="W41" s="785">
        <f>+C41+E41+G41+I41+K41+M41+O41+Q41+S41+U41</f>
        <v>77</v>
      </c>
      <c r="X41" s="531">
        <f>+D41+F41+H41+J41+L41+N41+P41+R41+T41+V41</f>
        <v>96</v>
      </c>
      <c r="Y41" s="573">
        <f>SUM(W41:X41)</f>
        <v>173</v>
      </c>
    </row>
    <row r="42" spans="1:30" ht="19.5" customHeight="1">
      <c r="A42" s="535" t="s">
        <v>640</v>
      </c>
      <c r="B42" s="536" t="s">
        <v>641</v>
      </c>
      <c r="C42" s="561"/>
      <c r="D42" s="561"/>
      <c r="E42" s="572"/>
      <c r="F42" s="573"/>
      <c r="G42" s="561"/>
      <c r="H42" s="561"/>
      <c r="I42" s="572"/>
      <c r="J42" s="573"/>
      <c r="K42" s="561"/>
      <c r="L42" s="561">
        <v>1</v>
      </c>
      <c r="M42" s="572">
        <v>2</v>
      </c>
      <c r="N42" s="573">
        <v>5</v>
      </c>
      <c r="O42" s="561">
        <v>1</v>
      </c>
      <c r="P42" s="561">
        <v>2</v>
      </c>
      <c r="Q42" s="572">
        <v>21</v>
      </c>
      <c r="R42" s="573">
        <v>109</v>
      </c>
      <c r="S42" s="561">
        <v>70</v>
      </c>
      <c r="T42" s="561">
        <v>206</v>
      </c>
      <c r="U42" s="572">
        <v>125</v>
      </c>
      <c r="V42" s="573">
        <v>153</v>
      </c>
      <c r="W42" s="572">
        <f>+C42+E42+G42+I42+K42+M42+O42+Q42+S42+U42</f>
        <v>219</v>
      </c>
      <c r="X42" s="573">
        <f t="shared" ref="W42:X60" si="8">+D42+F42+H42+J42+L42+N42+P42+R42+T42+V42</f>
        <v>476</v>
      </c>
      <c r="Y42" s="573">
        <f>SUM(W42:X42)</f>
        <v>695</v>
      </c>
    </row>
    <row r="43" spans="1:30" ht="18" customHeight="1">
      <c r="A43" s="535" t="s">
        <v>194</v>
      </c>
      <c r="B43" s="536" t="s">
        <v>195</v>
      </c>
      <c r="C43" s="561"/>
      <c r="D43" s="561"/>
      <c r="E43" s="572"/>
      <c r="F43" s="573"/>
      <c r="G43" s="561">
        <v>5</v>
      </c>
      <c r="H43" s="561">
        <v>1</v>
      </c>
      <c r="I43" s="572"/>
      <c r="J43" s="573">
        <v>3</v>
      </c>
      <c r="K43" s="561">
        <v>1</v>
      </c>
      <c r="L43" s="561"/>
      <c r="M43" s="572">
        <v>1</v>
      </c>
      <c r="N43" s="573"/>
      <c r="O43" s="561"/>
      <c r="P43" s="561">
        <v>1</v>
      </c>
      <c r="Q43" s="572">
        <v>10</v>
      </c>
      <c r="R43" s="573">
        <v>14</v>
      </c>
      <c r="S43" s="561">
        <v>7</v>
      </c>
      <c r="T43" s="561">
        <v>14</v>
      </c>
      <c r="U43" s="572">
        <v>11</v>
      </c>
      <c r="V43" s="573">
        <v>20</v>
      </c>
      <c r="W43" s="572">
        <f t="shared" si="8"/>
        <v>35</v>
      </c>
      <c r="X43" s="573">
        <f t="shared" si="8"/>
        <v>53</v>
      </c>
      <c r="Y43" s="573">
        <f>SUM(W43:X43)</f>
        <v>88</v>
      </c>
    </row>
    <row r="44" spans="1:30" ht="19.5" customHeight="1">
      <c r="A44" s="535" t="s">
        <v>655</v>
      </c>
      <c r="B44" s="536" t="s">
        <v>656</v>
      </c>
      <c r="C44" s="561"/>
      <c r="D44" s="561"/>
      <c r="E44" s="572"/>
      <c r="F44" s="573"/>
      <c r="G44" s="561">
        <v>1</v>
      </c>
      <c r="H44" s="561"/>
      <c r="I44" s="572">
        <v>3</v>
      </c>
      <c r="J44" s="573">
        <v>2</v>
      </c>
      <c r="K44" s="561">
        <v>4</v>
      </c>
      <c r="L44" s="561">
        <v>1</v>
      </c>
      <c r="M44" s="572">
        <v>1</v>
      </c>
      <c r="N44" s="573">
        <v>5</v>
      </c>
      <c r="O44" s="561">
        <v>1</v>
      </c>
      <c r="P44" s="561">
        <v>3</v>
      </c>
      <c r="Q44" s="572">
        <v>21</v>
      </c>
      <c r="R44" s="573">
        <v>29</v>
      </c>
      <c r="S44" s="561">
        <v>47</v>
      </c>
      <c r="T44" s="561">
        <v>32</v>
      </c>
      <c r="U44" s="572">
        <v>49</v>
      </c>
      <c r="V44" s="573">
        <v>44</v>
      </c>
      <c r="W44" s="572">
        <f t="shared" si="8"/>
        <v>127</v>
      </c>
      <c r="X44" s="573">
        <f t="shared" si="8"/>
        <v>116</v>
      </c>
      <c r="Y44" s="573">
        <f>SUM(W44:X44)</f>
        <v>243</v>
      </c>
    </row>
    <row r="45" spans="1:30" ht="19.5" customHeight="1">
      <c r="A45" s="535" t="s">
        <v>196</v>
      </c>
      <c r="B45" s="536" t="s">
        <v>197</v>
      </c>
      <c r="C45" s="561"/>
      <c r="D45" s="561"/>
      <c r="E45" s="1225"/>
      <c r="F45" s="1226"/>
      <c r="G45" s="561"/>
      <c r="H45" s="561"/>
      <c r="I45" s="572"/>
      <c r="J45" s="573"/>
      <c r="K45" s="561"/>
      <c r="L45" s="561"/>
      <c r="M45" s="572">
        <v>4</v>
      </c>
      <c r="N45" s="573">
        <v>20</v>
      </c>
      <c r="O45" s="561">
        <v>1</v>
      </c>
      <c r="P45" s="561">
        <v>3</v>
      </c>
      <c r="Q45" s="572">
        <v>3</v>
      </c>
      <c r="R45" s="573">
        <v>7</v>
      </c>
      <c r="S45" s="561">
        <v>1</v>
      </c>
      <c r="T45" s="561">
        <v>5</v>
      </c>
      <c r="U45" s="572">
        <v>7</v>
      </c>
      <c r="V45" s="573">
        <v>8</v>
      </c>
      <c r="W45" s="572">
        <f t="shared" si="8"/>
        <v>16</v>
      </c>
      <c r="X45" s="573">
        <f t="shared" si="8"/>
        <v>43</v>
      </c>
      <c r="Y45" s="573">
        <f>SUM(W45:X45)</f>
        <v>59</v>
      </c>
      <c r="Z45" s="550"/>
    </row>
    <row r="46" spans="1:30" ht="19.5" customHeight="1">
      <c r="A46" s="535" t="s">
        <v>198</v>
      </c>
      <c r="B46" s="536" t="s">
        <v>199</v>
      </c>
      <c r="C46" s="561"/>
      <c r="D46" s="561"/>
      <c r="E46" s="1225"/>
      <c r="F46" s="573">
        <v>1</v>
      </c>
      <c r="G46" s="561">
        <v>7</v>
      </c>
      <c r="H46" s="561"/>
      <c r="I46" s="572">
        <v>9</v>
      </c>
      <c r="J46" s="573">
        <v>6</v>
      </c>
      <c r="K46" s="561">
        <v>4</v>
      </c>
      <c r="L46" s="561">
        <v>6</v>
      </c>
      <c r="M46" s="572">
        <v>4</v>
      </c>
      <c r="N46" s="573">
        <v>5</v>
      </c>
      <c r="O46" s="561">
        <v>2</v>
      </c>
      <c r="P46" s="561">
        <v>6</v>
      </c>
      <c r="Q46" s="572">
        <v>29</v>
      </c>
      <c r="R46" s="573">
        <v>44</v>
      </c>
      <c r="S46" s="561">
        <v>30</v>
      </c>
      <c r="T46" s="561">
        <v>36</v>
      </c>
      <c r="U46" s="572">
        <v>30</v>
      </c>
      <c r="V46" s="573">
        <v>32</v>
      </c>
      <c r="W46" s="572">
        <f t="shared" si="8"/>
        <v>115</v>
      </c>
      <c r="X46" s="573">
        <f t="shared" si="8"/>
        <v>136</v>
      </c>
      <c r="Y46" s="573">
        <f t="shared" ref="Y46:Y60" si="9">SUM(W46:X46)</f>
        <v>251</v>
      </c>
      <c r="Z46" s="550"/>
    </row>
    <row r="47" spans="1:30" ht="19.5" customHeight="1">
      <c r="A47" s="535" t="s">
        <v>200</v>
      </c>
      <c r="B47" s="536" t="s">
        <v>201</v>
      </c>
      <c r="C47" s="561"/>
      <c r="D47" s="561"/>
      <c r="E47" s="1225"/>
      <c r="F47" s="1226"/>
      <c r="G47" s="561"/>
      <c r="H47" s="561">
        <v>1</v>
      </c>
      <c r="I47" s="572">
        <v>1</v>
      </c>
      <c r="J47" s="573"/>
      <c r="K47" s="561"/>
      <c r="L47" s="561"/>
      <c r="M47" s="572">
        <v>1</v>
      </c>
      <c r="N47" s="573">
        <v>2</v>
      </c>
      <c r="O47" s="561">
        <v>1</v>
      </c>
      <c r="P47" s="561">
        <v>2</v>
      </c>
      <c r="Q47" s="572">
        <v>3</v>
      </c>
      <c r="R47" s="573">
        <v>8</v>
      </c>
      <c r="S47" s="561">
        <v>11</v>
      </c>
      <c r="T47" s="561">
        <v>15</v>
      </c>
      <c r="U47" s="572">
        <v>15</v>
      </c>
      <c r="V47" s="573">
        <v>14</v>
      </c>
      <c r="W47" s="572">
        <f t="shared" si="8"/>
        <v>32</v>
      </c>
      <c r="X47" s="573">
        <f t="shared" si="8"/>
        <v>42</v>
      </c>
      <c r="Y47" s="573">
        <f t="shared" si="9"/>
        <v>74</v>
      </c>
      <c r="Z47" s="550"/>
    </row>
    <row r="48" spans="1:30" ht="18" customHeight="1">
      <c r="A48" s="535" t="s">
        <v>638</v>
      </c>
      <c r="B48" s="536" t="s">
        <v>639</v>
      </c>
      <c r="C48" s="561"/>
      <c r="D48" s="561"/>
      <c r="E48" s="1225"/>
      <c r="F48" s="1226"/>
      <c r="G48" s="561"/>
      <c r="H48" s="561">
        <v>1</v>
      </c>
      <c r="I48" s="572"/>
      <c r="J48" s="573"/>
      <c r="K48" s="561">
        <v>2</v>
      </c>
      <c r="L48" s="561">
        <v>2</v>
      </c>
      <c r="M48" s="572">
        <v>1</v>
      </c>
      <c r="N48" s="573"/>
      <c r="O48" s="561">
        <v>2</v>
      </c>
      <c r="P48" s="561">
        <v>1</v>
      </c>
      <c r="Q48" s="572">
        <v>46</v>
      </c>
      <c r="R48" s="573">
        <v>31</v>
      </c>
      <c r="S48" s="561">
        <v>195</v>
      </c>
      <c r="T48" s="561">
        <v>107</v>
      </c>
      <c r="U48" s="572">
        <v>326</v>
      </c>
      <c r="V48" s="573">
        <v>314</v>
      </c>
      <c r="W48" s="572">
        <f t="shared" si="8"/>
        <v>572</v>
      </c>
      <c r="X48" s="573">
        <f t="shared" si="8"/>
        <v>456</v>
      </c>
      <c r="Y48" s="573">
        <f t="shared" si="9"/>
        <v>1028</v>
      </c>
      <c r="Z48" s="550"/>
    </row>
    <row r="49" spans="1:30" ht="18.75" customHeight="1">
      <c r="A49" s="535" t="s">
        <v>642</v>
      </c>
      <c r="B49" s="536" t="s">
        <v>643</v>
      </c>
      <c r="C49" s="561">
        <v>1</v>
      </c>
      <c r="D49" s="561"/>
      <c r="E49" s="1227">
        <v>3</v>
      </c>
      <c r="F49" s="1228">
        <v>2</v>
      </c>
      <c r="G49" s="561">
        <v>126</v>
      </c>
      <c r="H49" s="561">
        <v>75</v>
      </c>
      <c r="I49" s="572">
        <v>115</v>
      </c>
      <c r="J49" s="573">
        <v>121</v>
      </c>
      <c r="K49" s="561">
        <v>74</v>
      </c>
      <c r="L49" s="561">
        <v>58</v>
      </c>
      <c r="M49" s="572">
        <v>6</v>
      </c>
      <c r="N49" s="573">
        <v>20</v>
      </c>
      <c r="O49" s="561">
        <v>14</v>
      </c>
      <c r="P49" s="561">
        <v>10</v>
      </c>
      <c r="Q49" s="572">
        <v>62</v>
      </c>
      <c r="R49" s="573">
        <v>45</v>
      </c>
      <c r="S49" s="561">
        <v>72</v>
      </c>
      <c r="T49" s="561">
        <v>73</v>
      </c>
      <c r="U49" s="572">
        <v>191</v>
      </c>
      <c r="V49" s="573">
        <v>190</v>
      </c>
      <c r="W49" s="572">
        <f t="shared" si="8"/>
        <v>664</v>
      </c>
      <c r="X49" s="573">
        <f t="shared" si="8"/>
        <v>594</v>
      </c>
      <c r="Y49" s="573">
        <f t="shared" si="9"/>
        <v>1258</v>
      </c>
      <c r="Z49" s="550"/>
    </row>
    <row r="50" spans="1:30" ht="19.5" customHeight="1">
      <c r="A50" s="535" t="s">
        <v>647</v>
      </c>
      <c r="B50" s="536" t="s">
        <v>648</v>
      </c>
      <c r="C50" s="561"/>
      <c r="D50" s="561"/>
      <c r="E50" s="1227"/>
      <c r="F50" s="1228"/>
      <c r="G50" s="561">
        <v>5</v>
      </c>
      <c r="H50" s="561">
        <v>5</v>
      </c>
      <c r="I50" s="572">
        <v>11</v>
      </c>
      <c r="J50" s="573">
        <v>7</v>
      </c>
      <c r="K50" s="561">
        <v>54</v>
      </c>
      <c r="L50" s="561">
        <v>36</v>
      </c>
      <c r="M50" s="572">
        <v>65</v>
      </c>
      <c r="N50" s="573">
        <v>40</v>
      </c>
      <c r="O50" s="561">
        <v>26</v>
      </c>
      <c r="P50" s="561">
        <v>32</v>
      </c>
      <c r="Q50" s="572">
        <v>176</v>
      </c>
      <c r="R50" s="573">
        <v>243</v>
      </c>
      <c r="S50" s="561">
        <v>236</v>
      </c>
      <c r="T50" s="561">
        <v>256</v>
      </c>
      <c r="U50" s="572">
        <v>264</v>
      </c>
      <c r="V50" s="573">
        <v>270</v>
      </c>
      <c r="W50" s="572">
        <f t="shared" si="8"/>
        <v>837</v>
      </c>
      <c r="X50" s="573">
        <f t="shared" si="8"/>
        <v>889</v>
      </c>
      <c r="Y50" s="573">
        <f t="shared" si="9"/>
        <v>1726</v>
      </c>
      <c r="Z50" s="550"/>
    </row>
    <row r="51" spans="1:30" ht="18" customHeight="1">
      <c r="A51" s="535" t="s">
        <v>202</v>
      </c>
      <c r="B51" s="536" t="s">
        <v>203</v>
      </c>
      <c r="C51" s="561"/>
      <c r="D51" s="561"/>
      <c r="E51" s="1225"/>
      <c r="F51" s="1226"/>
      <c r="G51" s="561"/>
      <c r="H51" s="561">
        <v>1</v>
      </c>
      <c r="I51" s="572">
        <v>3</v>
      </c>
      <c r="J51" s="573">
        <v>1</v>
      </c>
      <c r="K51" s="561">
        <v>1</v>
      </c>
      <c r="L51" s="561">
        <v>1</v>
      </c>
      <c r="M51" s="572">
        <v>2</v>
      </c>
      <c r="N51" s="573">
        <v>5</v>
      </c>
      <c r="O51" s="561">
        <v>1</v>
      </c>
      <c r="P51" s="561">
        <v>7</v>
      </c>
      <c r="Q51" s="572">
        <v>13</v>
      </c>
      <c r="R51" s="573">
        <v>15</v>
      </c>
      <c r="S51" s="561">
        <v>14</v>
      </c>
      <c r="T51" s="561">
        <v>19</v>
      </c>
      <c r="U51" s="572">
        <v>10</v>
      </c>
      <c r="V51" s="573">
        <v>15</v>
      </c>
      <c r="W51" s="572">
        <f t="shared" si="8"/>
        <v>44</v>
      </c>
      <c r="X51" s="573">
        <f t="shared" si="8"/>
        <v>64</v>
      </c>
      <c r="Y51" s="573">
        <f t="shared" si="9"/>
        <v>108</v>
      </c>
      <c r="Z51" s="550"/>
    </row>
    <row r="52" spans="1:30" ht="19.5" customHeight="1">
      <c r="A52" s="535" t="s">
        <v>204</v>
      </c>
      <c r="B52" s="536" t="s">
        <v>205</v>
      </c>
      <c r="C52" s="561"/>
      <c r="D52" s="561"/>
      <c r="E52" s="1225"/>
      <c r="F52" s="1226"/>
      <c r="G52" s="561">
        <v>3</v>
      </c>
      <c r="H52" s="561"/>
      <c r="I52" s="572">
        <v>1</v>
      </c>
      <c r="J52" s="573">
        <v>1</v>
      </c>
      <c r="K52" s="561">
        <v>1</v>
      </c>
      <c r="L52" s="561"/>
      <c r="M52" s="572"/>
      <c r="N52" s="573"/>
      <c r="O52" s="561">
        <v>1</v>
      </c>
      <c r="P52" s="561"/>
      <c r="Q52" s="572">
        <v>21</v>
      </c>
      <c r="R52" s="573">
        <v>13</v>
      </c>
      <c r="S52" s="561">
        <v>38</v>
      </c>
      <c r="T52" s="561">
        <v>38</v>
      </c>
      <c r="U52" s="572">
        <v>18</v>
      </c>
      <c r="V52" s="573">
        <v>24</v>
      </c>
      <c r="W52" s="572">
        <f t="shared" si="8"/>
        <v>83</v>
      </c>
      <c r="X52" s="573">
        <f t="shared" si="8"/>
        <v>76</v>
      </c>
      <c r="Y52" s="573">
        <f t="shared" si="9"/>
        <v>159</v>
      </c>
      <c r="Z52" s="550"/>
    </row>
    <row r="53" spans="1:30" ht="18.75" customHeight="1">
      <c r="A53" s="535" t="s">
        <v>649</v>
      </c>
      <c r="B53" s="536" t="s">
        <v>650</v>
      </c>
      <c r="C53" s="561"/>
      <c r="D53" s="561"/>
      <c r="E53" s="572"/>
      <c r="F53" s="1226"/>
      <c r="G53" s="561">
        <v>3</v>
      </c>
      <c r="H53" s="561">
        <v>4</v>
      </c>
      <c r="I53" s="572">
        <v>6</v>
      </c>
      <c r="J53" s="573">
        <v>5</v>
      </c>
      <c r="K53" s="561">
        <v>19</v>
      </c>
      <c r="L53" s="561">
        <v>2</v>
      </c>
      <c r="M53" s="572">
        <v>22</v>
      </c>
      <c r="N53" s="573">
        <v>6</v>
      </c>
      <c r="O53" s="561">
        <v>2</v>
      </c>
      <c r="P53" s="561">
        <v>15</v>
      </c>
      <c r="Q53" s="572">
        <v>42</v>
      </c>
      <c r="R53" s="573">
        <v>147</v>
      </c>
      <c r="S53" s="561">
        <v>59</v>
      </c>
      <c r="T53" s="561">
        <v>142</v>
      </c>
      <c r="U53" s="572">
        <v>100</v>
      </c>
      <c r="V53" s="573">
        <v>128</v>
      </c>
      <c r="W53" s="572">
        <f t="shared" si="8"/>
        <v>253</v>
      </c>
      <c r="X53" s="573">
        <f t="shared" si="8"/>
        <v>449</v>
      </c>
      <c r="Y53" s="573">
        <f t="shared" si="9"/>
        <v>702</v>
      </c>
      <c r="Z53" s="550"/>
    </row>
    <row r="54" spans="1:30" ht="18.75" customHeight="1">
      <c r="A54" s="535" t="s">
        <v>206</v>
      </c>
      <c r="B54" s="536" t="s">
        <v>207</v>
      </c>
      <c r="C54" s="1229"/>
      <c r="D54" s="1229"/>
      <c r="E54" s="1225"/>
      <c r="F54" s="1226"/>
      <c r="G54" s="1229"/>
      <c r="H54" s="1229"/>
      <c r="I54" s="1225"/>
      <c r="J54" s="1226"/>
      <c r="K54" s="1229"/>
      <c r="L54" s="1229"/>
      <c r="M54" s="572"/>
      <c r="N54" s="573">
        <v>3</v>
      </c>
      <c r="O54" s="561"/>
      <c r="P54" s="561">
        <v>89</v>
      </c>
      <c r="Q54" s="908"/>
      <c r="R54" s="573">
        <v>1864</v>
      </c>
      <c r="S54" s="561"/>
      <c r="T54" s="561">
        <v>8</v>
      </c>
      <c r="U54" s="1225"/>
      <c r="V54" s="1226"/>
      <c r="W54" s="572">
        <f t="shared" si="8"/>
        <v>0</v>
      </c>
      <c r="X54" s="573">
        <f t="shared" si="8"/>
        <v>1964</v>
      </c>
      <c r="Y54" s="573">
        <f t="shared" si="9"/>
        <v>1964</v>
      </c>
      <c r="Z54" s="550"/>
    </row>
    <row r="55" spans="1:30" ht="18" customHeight="1">
      <c r="A55" s="535" t="s">
        <v>657</v>
      </c>
      <c r="B55" s="536" t="s">
        <v>658</v>
      </c>
      <c r="C55" s="561">
        <v>130</v>
      </c>
      <c r="D55" s="561">
        <v>108</v>
      </c>
      <c r="E55" s="572">
        <v>23</v>
      </c>
      <c r="F55" s="573">
        <v>17</v>
      </c>
      <c r="G55" s="606">
        <v>7</v>
      </c>
      <c r="H55" s="606">
        <v>15</v>
      </c>
      <c r="I55" s="1225"/>
      <c r="J55" s="1226"/>
      <c r="K55" s="1229"/>
      <c r="L55" s="1229"/>
      <c r="M55" s="1225"/>
      <c r="N55" s="1226"/>
      <c r="O55" s="1229"/>
      <c r="P55" s="1229"/>
      <c r="Q55" s="1225"/>
      <c r="R55" s="1226"/>
      <c r="S55" s="1229"/>
      <c r="T55" s="1229"/>
      <c r="U55" s="1225"/>
      <c r="V55" s="1226"/>
      <c r="W55" s="572">
        <f t="shared" si="8"/>
        <v>160</v>
      </c>
      <c r="X55" s="573">
        <f t="shared" si="8"/>
        <v>140</v>
      </c>
      <c r="Y55" s="573">
        <f t="shared" si="9"/>
        <v>300</v>
      </c>
      <c r="Z55" s="550"/>
    </row>
    <row r="56" spans="1:30" ht="20.25" customHeight="1">
      <c r="A56" s="535" t="s">
        <v>659</v>
      </c>
      <c r="B56" s="536" t="s">
        <v>660</v>
      </c>
      <c r="C56" s="561">
        <v>20</v>
      </c>
      <c r="D56" s="561">
        <v>18</v>
      </c>
      <c r="E56" s="572">
        <v>2</v>
      </c>
      <c r="F56" s="573">
        <v>1</v>
      </c>
      <c r="G56" s="561">
        <v>6</v>
      </c>
      <c r="H56" s="561">
        <v>4</v>
      </c>
      <c r="I56" s="572">
        <v>10</v>
      </c>
      <c r="J56" s="917">
        <v>3</v>
      </c>
      <c r="K56" s="561">
        <v>12</v>
      </c>
      <c r="L56" s="561">
        <v>2</v>
      </c>
      <c r="M56" s="572">
        <v>13</v>
      </c>
      <c r="N56" s="573">
        <v>2</v>
      </c>
      <c r="O56" s="561">
        <v>1</v>
      </c>
      <c r="P56" s="561"/>
      <c r="Q56" s="572">
        <v>3</v>
      </c>
      <c r="R56" s="573">
        <v>1</v>
      </c>
      <c r="S56" s="561"/>
      <c r="T56" s="561">
        <v>2</v>
      </c>
      <c r="U56" s="572"/>
      <c r="V56" s="573"/>
      <c r="W56" s="572">
        <f t="shared" si="8"/>
        <v>67</v>
      </c>
      <c r="X56" s="573">
        <f t="shared" si="8"/>
        <v>33</v>
      </c>
      <c r="Y56" s="573">
        <f t="shared" si="9"/>
        <v>100</v>
      </c>
      <c r="Z56" s="550"/>
    </row>
    <row r="57" spans="1:30" ht="19.5" customHeight="1">
      <c r="A57" s="535" t="s">
        <v>653</v>
      </c>
      <c r="B57" s="536" t="s">
        <v>673</v>
      </c>
      <c r="C57" s="1230"/>
      <c r="D57" s="1230"/>
      <c r="E57" s="1227"/>
      <c r="F57" s="1228"/>
      <c r="G57" s="561"/>
      <c r="H57" s="561"/>
      <c r="I57" s="572"/>
      <c r="J57" s="573"/>
      <c r="K57" s="561"/>
      <c r="L57" s="561"/>
      <c r="M57" s="572"/>
      <c r="N57" s="573"/>
      <c r="O57" s="561"/>
      <c r="P57" s="561"/>
      <c r="Q57" s="572"/>
      <c r="R57" s="573"/>
      <c r="S57" s="561">
        <v>2</v>
      </c>
      <c r="T57" s="561">
        <v>1</v>
      </c>
      <c r="U57" s="572">
        <v>1</v>
      </c>
      <c r="V57" s="573"/>
      <c r="W57" s="572">
        <f t="shared" si="8"/>
        <v>3</v>
      </c>
      <c r="X57" s="573">
        <f t="shared" si="8"/>
        <v>1</v>
      </c>
      <c r="Y57" s="573">
        <f t="shared" si="9"/>
        <v>4</v>
      </c>
      <c r="Z57" s="550"/>
    </row>
    <row r="58" spans="1:30" ht="19.5" customHeight="1">
      <c r="A58" s="535" t="s">
        <v>645</v>
      </c>
      <c r="B58" s="539" t="s">
        <v>208</v>
      </c>
      <c r="C58" s="1230">
        <v>1</v>
      </c>
      <c r="D58" s="1230"/>
      <c r="E58" s="1227"/>
      <c r="F58" s="1228">
        <v>1</v>
      </c>
      <c r="G58" s="561">
        <v>3</v>
      </c>
      <c r="H58" s="561">
        <v>8</v>
      </c>
      <c r="I58" s="572">
        <v>44</v>
      </c>
      <c r="J58" s="573">
        <v>24</v>
      </c>
      <c r="K58" s="561">
        <v>22</v>
      </c>
      <c r="L58" s="561">
        <v>11</v>
      </c>
      <c r="M58" s="572">
        <v>11</v>
      </c>
      <c r="N58" s="573">
        <v>28</v>
      </c>
      <c r="O58" s="561">
        <v>21</v>
      </c>
      <c r="P58" s="561">
        <v>35</v>
      </c>
      <c r="Q58" s="572">
        <v>117</v>
      </c>
      <c r="R58" s="573">
        <v>190</v>
      </c>
      <c r="S58" s="561">
        <v>66</v>
      </c>
      <c r="T58" s="561">
        <v>43</v>
      </c>
      <c r="U58" s="572">
        <v>104</v>
      </c>
      <c r="V58" s="573">
        <v>51</v>
      </c>
      <c r="W58" s="572">
        <f>+C58+E58+G58+I58+K58+M58+O58+Q58+S58+U58</f>
        <v>389</v>
      </c>
      <c r="X58" s="573">
        <f>+D58+F58+H58+J58+L58+N58+P58+R58+T58+V58</f>
        <v>391</v>
      </c>
      <c r="Y58" s="573">
        <f>SUM(W58:X58)</f>
        <v>780</v>
      </c>
      <c r="Z58" s="550"/>
    </row>
    <row r="59" spans="1:30" ht="19.5" customHeight="1">
      <c r="A59" s="181" t="s">
        <v>1437</v>
      </c>
      <c r="B59" s="211" t="s">
        <v>1439</v>
      </c>
      <c r="C59" s="1230"/>
      <c r="D59" s="1230"/>
      <c r="E59" s="1227"/>
      <c r="F59" s="1228"/>
      <c r="G59" s="561"/>
      <c r="H59" s="561">
        <v>1</v>
      </c>
      <c r="I59" s="572"/>
      <c r="J59" s="573">
        <v>1</v>
      </c>
      <c r="K59" s="561"/>
      <c r="L59" s="561"/>
      <c r="M59" s="572"/>
      <c r="N59" s="573"/>
      <c r="O59" s="561"/>
      <c r="P59" s="561"/>
      <c r="Q59" s="572">
        <v>3</v>
      </c>
      <c r="R59" s="573">
        <v>5</v>
      </c>
      <c r="S59" s="561">
        <v>3</v>
      </c>
      <c r="T59" s="561">
        <v>6</v>
      </c>
      <c r="U59" s="572">
        <v>23</v>
      </c>
      <c r="V59" s="573">
        <v>19</v>
      </c>
      <c r="W59" s="572">
        <f>+C59+E59+G59+I59+K59+M59+O59+Q59+S59+U59</f>
        <v>29</v>
      </c>
      <c r="X59" s="573">
        <f>+D59+F59+H59+J59+L59+N59+P59+R59+T59+V59</f>
        <v>32</v>
      </c>
      <c r="Y59" s="573">
        <f>SUM(W59:X59)</f>
        <v>61</v>
      </c>
      <c r="Z59" s="550"/>
    </row>
    <row r="60" spans="1:30" ht="27.75" customHeight="1">
      <c r="A60" s="181" t="s">
        <v>1438</v>
      </c>
      <c r="B60" s="211" t="s">
        <v>1440</v>
      </c>
      <c r="C60" s="1230"/>
      <c r="D60" s="1230"/>
      <c r="E60" s="1227"/>
      <c r="F60" s="1228"/>
      <c r="G60" s="561"/>
      <c r="H60" s="561"/>
      <c r="I60" s="572"/>
      <c r="J60" s="573"/>
      <c r="K60" s="561"/>
      <c r="L60" s="561"/>
      <c r="M60" s="572"/>
      <c r="N60" s="573"/>
      <c r="O60" s="561"/>
      <c r="P60" s="561"/>
      <c r="Q60" s="572"/>
      <c r="R60" s="573"/>
      <c r="S60" s="561">
        <v>1</v>
      </c>
      <c r="T60" s="561"/>
      <c r="U60" s="572"/>
      <c r="V60" s="573">
        <v>1</v>
      </c>
      <c r="W60" s="572">
        <f t="shared" si="8"/>
        <v>1</v>
      </c>
      <c r="X60" s="573">
        <f t="shared" si="8"/>
        <v>1</v>
      </c>
      <c r="Y60" s="573">
        <f t="shared" si="9"/>
        <v>2</v>
      </c>
      <c r="Z60" s="550"/>
    </row>
    <row r="61" spans="1:30" ht="19.5" customHeight="1">
      <c r="A61" s="540"/>
      <c r="B61" s="540" t="s">
        <v>767</v>
      </c>
      <c r="C61" s="1219">
        <f>SUM(C41:C60)</f>
        <v>152</v>
      </c>
      <c r="D61" s="1220">
        <f>SUM(D41:D60)</f>
        <v>126</v>
      </c>
      <c r="E61" s="1219">
        <f>SUM(E41:E60)</f>
        <v>28</v>
      </c>
      <c r="F61" s="1221">
        <f t="shared" ref="F61:X61" si="10">SUM(F41:F60)</f>
        <v>23</v>
      </c>
      <c r="G61" s="1220">
        <f t="shared" si="10"/>
        <v>173</v>
      </c>
      <c r="H61" s="1220">
        <f t="shared" si="10"/>
        <v>125</v>
      </c>
      <c r="I61" s="1219">
        <f t="shared" si="10"/>
        <v>217</v>
      </c>
      <c r="J61" s="1221">
        <f t="shared" si="10"/>
        <v>183</v>
      </c>
      <c r="K61" s="1220">
        <f t="shared" si="10"/>
        <v>196</v>
      </c>
      <c r="L61" s="1220">
        <f t="shared" si="10"/>
        <v>121</v>
      </c>
      <c r="M61" s="1219">
        <f t="shared" si="10"/>
        <v>133</v>
      </c>
      <c r="N61" s="1221">
        <f t="shared" si="10"/>
        <v>145</v>
      </c>
      <c r="O61" s="1220">
        <f t="shared" si="10"/>
        <v>78</v>
      </c>
      <c r="P61" s="1220">
        <f t="shared" si="10"/>
        <v>207</v>
      </c>
      <c r="Q61" s="1219">
        <f t="shared" si="10"/>
        <v>581</v>
      </c>
      <c r="R61" s="1221">
        <f t="shared" si="10"/>
        <v>2777</v>
      </c>
      <c r="S61" s="1220">
        <f t="shared" si="10"/>
        <v>868</v>
      </c>
      <c r="T61" s="1220">
        <f t="shared" si="10"/>
        <v>1023</v>
      </c>
      <c r="U61" s="1219">
        <f t="shared" si="10"/>
        <v>1297</v>
      </c>
      <c r="V61" s="1221">
        <f t="shared" si="10"/>
        <v>1322</v>
      </c>
      <c r="W61" s="1219">
        <f t="shared" si="10"/>
        <v>3723</v>
      </c>
      <c r="X61" s="1221">
        <f t="shared" si="10"/>
        <v>6052</v>
      </c>
      <c r="Y61" s="1222">
        <f>SUM(Y41:Y60)</f>
        <v>9775</v>
      </c>
      <c r="AA61" s="550"/>
      <c r="AB61" s="550"/>
      <c r="AC61" s="550"/>
      <c r="AD61" s="550"/>
    </row>
    <row r="63" spans="1:30">
      <c r="U63" s="534" t="s">
        <v>214</v>
      </c>
    </row>
  </sheetData>
  <mergeCells count="16">
    <mergeCell ref="W39:Y39"/>
    <mergeCell ref="C8:D8"/>
    <mergeCell ref="E8:F8"/>
    <mergeCell ref="M8:N8"/>
    <mergeCell ref="AC8:AE8"/>
    <mergeCell ref="C38:V38"/>
    <mergeCell ref="C39:D39"/>
    <mergeCell ref="E39:F39"/>
    <mergeCell ref="G39:H39"/>
    <mergeCell ref="I39:J39"/>
    <mergeCell ref="K39:L39"/>
    <mergeCell ref="M39:N39"/>
    <mergeCell ref="O39:P39"/>
    <mergeCell ref="Q39:R39"/>
    <mergeCell ref="S39:T39"/>
    <mergeCell ref="U39:V39"/>
  </mergeCells>
  <phoneticPr fontId="18" type="noConversion"/>
  <pageMargins left="1.771653543307086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AE397"/>
  <sheetViews>
    <sheetView zoomScale="74" zoomScaleNormal="74" workbookViewId="0">
      <selection activeCell="A38" sqref="A38:Y40"/>
    </sheetView>
  </sheetViews>
  <sheetFormatPr baseColWidth="10" defaultColWidth="11.42578125" defaultRowHeight="12.75"/>
  <cols>
    <col min="1" max="1" width="9.42578125" style="534" customWidth="1"/>
    <col min="2" max="2" width="28" style="534" customWidth="1"/>
    <col min="3" max="4" width="10.5703125" style="534" customWidth="1"/>
    <col min="5" max="6" width="9.7109375" style="534" customWidth="1"/>
    <col min="7" max="8" width="9.28515625" style="534" customWidth="1"/>
    <col min="9" max="10" width="9.5703125" style="534" customWidth="1"/>
    <col min="11" max="12" width="9.7109375" style="534" customWidth="1"/>
    <col min="13" max="14" width="10.28515625" style="534" customWidth="1"/>
    <col min="15" max="18" width="9.7109375" style="534" customWidth="1"/>
    <col min="19" max="20" width="10" style="534" customWidth="1"/>
    <col min="21" max="22" width="10.28515625" style="534" customWidth="1"/>
    <col min="23" max="24" width="8.5703125" style="534" customWidth="1"/>
    <col min="25" max="26" width="9.28515625" style="534" customWidth="1"/>
    <col min="27" max="16384" width="11.42578125" style="534"/>
  </cols>
  <sheetData>
    <row r="1" spans="1:31">
      <c r="A1" s="1645" t="s">
        <v>193</v>
      </c>
      <c r="B1" s="1645"/>
      <c r="C1" s="1645"/>
      <c r="D1" s="1645"/>
      <c r="E1" s="1645"/>
      <c r="F1" s="1645"/>
      <c r="G1" s="1645"/>
      <c r="H1" s="1645"/>
      <c r="I1" s="1645"/>
      <c r="J1" s="1645"/>
      <c r="K1" s="1645"/>
      <c r="L1" s="1645"/>
      <c r="M1" s="1645"/>
      <c r="N1" s="1645"/>
      <c r="O1" s="1645"/>
      <c r="P1" s="1645"/>
      <c r="Q1" s="1645"/>
      <c r="R1" s="1645"/>
      <c r="S1" s="1645"/>
      <c r="T1" s="1645"/>
      <c r="U1" s="1645"/>
      <c r="V1" s="1645"/>
      <c r="W1" s="1645"/>
      <c r="X1" s="1645"/>
      <c r="Y1" s="1645"/>
      <c r="Z1" s="1645"/>
      <c r="AA1" s="1645"/>
      <c r="AB1" s="1645"/>
      <c r="AC1" s="1645"/>
      <c r="AD1" s="1645"/>
      <c r="AE1" s="1645"/>
    </row>
    <row r="2" spans="1:31">
      <c r="A2" s="559"/>
      <c r="B2" s="559"/>
      <c r="C2" s="565"/>
      <c r="D2" s="565"/>
      <c r="E2" s="565"/>
      <c r="F2" s="565"/>
      <c r="G2" s="565"/>
      <c r="H2" s="565"/>
      <c r="I2" s="565"/>
      <c r="J2" s="565"/>
      <c r="K2" s="565"/>
      <c r="L2" s="565"/>
      <c r="M2" s="565"/>
      <c r="N2" s="565"/>
      <c r="O2" s="565"/>
      <c r="P2" s="565"/>
      <c r="Q2" s="565"/>
      <c r="R2" s="565"/>
      <c r="S2" s="565"/>
      <c r="T2" s="565"/>
      <c r="U2" s="565"/>
      <c r="V2" s="565"/>
      <c r="W2" s="565"/>
      <c r="X2" s="565"/>
      <c r="Y2" s="565"/>
      <c r="Z2" s="565"/>
      <c r="AA2" s="567"/>
      <c r="AB2" s="567"/>
      <c r="AC2" s="567"/>
      <c r="AD2" s="567"/>
      <c r="AE2" s="567"/>
    </row>
    <row r="3" spans="1:31">
      <c r="A3" s="1645" t="str">
        <f>+'89'!A3</f>
        <v>SERVICIO DE SALUD   ACONCAGUA   2023</v>
      </c>
      <c r="B3" s="1645"/>
      <c r="C3" s="1645"/>
      <c r="D3" s="1645"/>
      <c r="E3" s="1645"/>
      <c r="F3" s="1645"/>
      <c r="G3" s="1645"/>
      <c r="H3" s="1645"/>
      <c r="I3" s="1645"/>
      <c r="J3" s="1645"/>
      <c r="K3" s="1645"/>
      <c r="L3" s="1645"/>
      <c r="M3" s="1645"/>
      <c r="N3" s="1645"/>
      <c r="O3" s="1645"/>
      <c r="P3" s="1645"/>
      <c r="Q3" s="1645"/>
      <c r="R3" s="1645"/>
      <c r="S3" s="1645"/>
      <c r="T3" s="1645"/>
      <c r="U3" s="1645"/>
      <c r="V3" s="1645"/>
      <c r="W3" s="1645"/>
      <c r="X3" s="1645"/>
      <c r="Y3" s="1645"/>
      <c r="Z3" s="1645"/>
      <c r="AA3" s="1645"/>
      <c r="AB3" s="1645"/>
      <c r="AC3" s="1645"/>
      <c r="AD3" s="1645"/>
      <c r="AE3" s="1645"/>
    </row>
    <row r="4" spans="1:31">
      <c r="A4" s="559"/>
      <c r="B4" s="559"/>
      <c r="C4" s="565"/>
      <c r="D4" s="565"/>
      <c r="E4" s="565"/>
      <c r="F4" s="565"/>
      <c r="G4" s="565"/>
      <c r="H4" s="565"/>
      <c r="I4" s="565"/>
      <c r="J4" s="565"/>
      <c r="K4" s="565"/>
      <c r="L4" s="565"/>
      <c r="M4" s="565"/>
      <c r="N4" s="565"/>
      <c r="O4" s="565"/>
      <c r="P4" s="565"/>
      <c r="Q4" s="565"/>
      <c r="R4" s="565"/>
      <c r="S4" s="565"/>
      <c r="T4" s="565"/>
      <c r="U4" s="565"/>
      <c r="V4" s="565"/>
      <c r="W4" s="565"/>
      <c r="X4" s="565"/>
      <c r="Y4" s="565"/>
      <c r="Z4" s="565"/>
      <c r="AA4" s="567"/>
      <c r="AB4" s="567"/>
      <c r="AC4" s="567"/>
      <c r="AD4" s="567"/>
      <c r="AE4" s="567"/>
    </row>
    <row r="5" spans="1:31">
      <c r="A5" s="1645" t="s">
        <v>850</v>
      </c>
      <c r="B5" s="1645"/>
      <c r="C5" s="1645"/>
      <c r="D5" s="1645"/>
      <c r="E5" s="1645"/>
      <c r="F5" s="1645"/>
      <c r="G5" s="1645"/>
      <c r="H5" s="1645"/>
      <c r="I5" s="1645"/>
      <c r="J5" s="1645"/>
      <c r="K5" s="1645"/>
      <c r="L5" s="1645"/>
      <c r="M5" s="1645"/>
      <c r="N5" s="1645"/>
      <c r="O5" s="1645"/>
      <c r="P5" s="1645"/>
      <c r="Q5" s="1645"/>
      <c r="R5" s="1645"/>
      <c r="S5" s="1645"/>
      <c r="T5" s="1645"/>
      <c r="U5" s="1645"/>
      <c r="V5" s="1645"/>
      <c r="W5" s="1645"/>
      <c r="X5" s="1645"/>
      <c r="Y5" s="1645"/>
      <c r="Z5" s="1645"/>
      <c r="AA5" s="1645"/>
      <c r="AB5" s="1645"/>
      <c r="AC5" s="1645"/>
      <c r="AD5" s="1645"/>
      <c r="AE5" s="1645"/>
    </row>
    <row r="6" spans="1:31">
      <c r="A6" s="560"/>
    </row>
    <row r="7" spans="1:31" ht="18.75" customHeight="1">
      <c r="A7" s="1454" t="s">
        <v>627</v>
      </c>
      <c r="B7" s="1455"/>
      <c r="C7" s="1473"/>
      <c r="D7" s="1473"/>
      <c r="E7" s="1473"/>
      <c r="F7" s="1465" t="s">
        <v>628</v>
      </c>
      <c r="G7" s="1465"/>
      <c r="H7" s="1465"/>
      <c r="I7" s="1465"/>
      <c r="J7" s="1465"/>
      <c r="K7" s="1465"/>
      <c r="L7" s="1465"/>
      <c r="M7" s="1465"/>
      <c r="N7" s="1465"/>
      <c r="O7" s="1465"/>
      <c r="P7" s="1465"/>
      <c r="Q7" s="1465"/>
      <c r="R7" s="1465"/>
      <c r="S7" s="1465"/>
      <c r="T7" s="1465"/>
      <c r="U7" s="1465"/>
      <c r="V7" s="1465"/>
      <c r="W7" s="1465"/>
      <c r="X7" s="1465"/>
      <c r="Y7" s="1465"/>
      <c r="Z7" s="1465"/>
      <c r="AA7" s="1465"/>
      <c r="AB7" s="1465"/>
      <c r="AC7" s="1465"/>
      <c r="AD7" s="1465"/>
      <c r="AE7" s="1474"/>
    </row>
    <row r="8" spans="1:31" ht="23.25" customHeight="1">
      <c r="A8" s="1459" t="s">
        <v>629</v>
      </c>
      <c r="B8" s="1460" t="s">
        <v>630</v>
      </c>
      <c r="C8" s="1636" t="s">
        <v>631</v>
      </c>
      <c r="D8" s="1637"/>
      <c r="E8" s="1638" t="s">
        <v>587</v>
      </c>
      <c r="F8" s="1632"/>
      <c r="G8" s="1475" t="s">
        <v>632</v>
      </c>
      <c r="H8" s="1475"/>
      <c r="I8" s="1475" t="s">
        <v>633</v>
      </c>
      <c r="J8" s="1475"/>
      <c r="K8" s="1475" t="s">
        <v>387</v>
      </c>
      <c r="L8" s="1475"/>
      <c r="M8" s="1639" t="s">
        <v>634</v>
      </c>
      <c r="N8" s="1640"/>
      <c r="O8" s="1475" t="s">
        <v>635</v>
      </c>
      <c r="P8" s="1475"/>
      <c r="Q8" s="1475" t="s">
        <v>351</v>
      </c>
      <c r="R8" s="1475"/>
      <c r="S8" s="1475" t="s">
        <v>369</v>
      </c>
      <c r="T8" s="1475"/>
      <c r="U8" s="1475" t="s">
        <v>374</v>
      </c>
      <c r="V8" s="1475"/>
      <c r="W8" s="1475" t="s">
        <v>636</v>
      </c>
      <c r="X8" s="1475"/>
      <c r="Y8" s="1475" t="s">
        <v>376</v>
      </c>
      <c r="Z8" s="1475"/>
      <c r="AA8" s="1475" t="s">
        <v>637</v>
      </c>
      <c r="AB8" s="1470"/>
      <c r="AC8" s="1641" t="s">
        <v>474</v>
      </c>
      <c r="AD8" s="1642"/>
      <c r="AE8" s="1638"/>
    </row>
    <row r="9" spans="1:31" ht="13.5" thickBot="1">
      <c r="A9" s="1461"/>
      <c r="B9" s="1462"/>
      <c r="C9" s="1456" t="s">
        <v>1301</v>
      </c>
      <c r="D9" s="1474" t="s">
        <v>1302</v>
      </c>
      <c r="E9" s="1082" t="s">
        <v>1301</v>
      </c>
      <c r="F9" s="1084" t="s">
        <v>1302</v>
      </c>
      <c r="G9" s="1083" t="s">
        <v>1301</v>
      </c>
      <c r="H9" s="1084" t="s">
        <v>1302</v>
      </c>
      <c r="I9" s="1082" t="s">
        <v>1301</v>
      </c>
      <c r="J9" s="1084" t="s">
        <v>1302</v>
      </c>
      <c r="K9" s="1082" t="s">
        <v>1301</v>
      </c>
      <c r="L9" s="1084" t="s">
        <v>1302</v>
      </c>
      <c r="M9" s="1456" t="s">
        <v>1301</v>
      </c>
      <c r="N9" s="1474" t="s">
        <v>1302</v>
      </c>
      <c r="O9" s="1083" t="s">
        <v>1301</v>
      </c>
      <c r="P9" s="1084" t="s">
        <v>1302</v>
      </c>
      <c r="Q9" s="1082" t="s">
        <v>1301</v>
      </c>
      <c r="R9" s="1082" t="s">
        <v>1302</v>
      </c>
      <c r="S9" s="1083" t="s">
        <v>1301</v>
      </c>
      <c r="T9" s="1084" t="s">
        <v>1302</v>
      </c>
      <c r="U9" s="1082" t="s">
        <v>1301</v>
      </c>
      <c r="V9" s="1084" t="s">
        <v>1302</v>
      </c>
      <c r="W9" s="1082" t="s">
        <v>1301</v>
      </c>
      <c r="X9" s="1082" t="s">
        <v>1302</v>
      </c>
      <c r="Y9" s="1083" t="s">
        <v>1301</v>
      </c>
      <c r="Z9" s="1084" t="s">
        <v>1302</v>
      </c>
      <c r="AA9" s="1082" t="s">
        <v>1301</v>
      </c>
      <c r="AB9" s="1084" t="s">
        <v>1302</v>
      </c>
      <c r="AC9" s="1456" t="s">
        <v>1301</v>
      </c>
      <c r="AD9" s="1474" t="s">
        <v>1302</v>
      </c>
      <c r="AE9" s="1476" t="s">
        <v>448</v>
      </c>
    </row>
    <row r="10" spans="1:31" ht="18" customHeight="1">
      <c r="A10" s="535" t="s">
        <v>651</v>
      </c>
      <c r="B10" s="536" t="s">
        <v>652</v>
      </c>
      <c r="C10" s="796">
        <f t="shared" ref="C10:D13" si="0">+E10+G10+I10+K10</f>
        <v>84</v>
      </c>
      <c r="D10" s="797">
        <f t="shared" si="0"/>
        <v>77</v>
      </c>
      <c r="E10" s="561">
        <v>59</v>
      </c>
      <c r="F10" s="561">
        <v>47</v>
      </c>
      <c r="G10" s="785">
        <v>12</v>
      </c>
      <c r="H10" s="531">
        <v>8</v>
      </c>
      <c r="I10" s="785">
        <v>11</v>
      </c>
      <c r="J10" s="531">
        <v>16</v>
      </c>
      <c r="K10" s="561">
        <v>2</v>
      </c>
      <c r="L10" s="561">
        <v>6</v>
      </c>
      <c r="M10" s="796">
        <f>+O10+Q10+S10+U10+W10+Y10</f>
        <v>11</v>
      </c>
      <c r="N10" s="797">
        <f>+P10+R10+T10+V10+X10+Z10</f>
        <v>5</v>
      </c>
      <c r="O10" s="561">
        <v>7</v>
      </c>
      <c r="P10" s="561">
        <v>3</v>
      </c>
      <c r="Q10" s="785"/>
      <c r="R10" s="531"/>
      <c r="S10" s="561">
        <v>2</v>
      </c>
      <c r="T10" s="561">
        <v>1</v>
      </c>
      <c r="U10" s="785"/>
      <c r="V10" s="531"/>
      <c r="W10" s="561">
        <v>1</v>
      </c>
      <c r="X10" s="561">
        <v>1</v>
      </c>
      <c r="Y10" s="785">
        <v>1</v>
      </c>
      <c r="Z10" s="531"/>
      <c r="AA10" s="561">
        <v>8</v>
      </c>
      <c r="AB10" s="561">
        <v>3</v>
      </c>
      <c r="AC10" s="796">
        <f t="shared" ref="AC10:AD13" si="1">+M10+C10+AA10</f>
        <v>103</v>
      </c>
      <c r="AD10" s="797">
        <f t="shared" si="1"/>
        <v>85</v>
      </c>
      <c r="AE10" s="1223">
        <f>SUM(AC10:AD10)</f>
        <v>188</v>
      </c>
    </row>
    <row r="11" spans="1:31" ht="20.25" customHeight="1">
      <c r="A11" s="535" t="s">
        <v>640</v>
      </c>
      <c r="B11" s="536" t="s">
        <v>641</v>
      </c>
      <c r="C11" s="798">
        <f t="shared" si="0"/>
        <v>133</v>
      </c>
      <c r="D11" s="799">
        <f t="shared" si="0"/>
        <v>260</v>
      </c>
      <c r="E11" s="561">
        <v>81</v>
      </c>
      <c r="F11" s="561">
        <v>151</v>
      </c>
      <c r="G11" s="572">
        <v>24</v>
      </c>
      <c r="H11" s="573">
        <v>41</v>
      </c>
      <c r="I11" s="572">
        <v>13</v>
      </c>
      <c r="J11" s="573">
        <v>37</v>
      </c>
      <c r="K11" s="561">
        <v>15</v>
      </c>
      <c r="L11" s="561">
        <v>31</v>
      </c>
      <c r="M11" s="798">
        <f t="shared" ref="M11:N26" si="2">+O11+Q11+S11+U11+W11+Y11</f>
        <v>66</v>
      </c>
      <c r="N11" s="799">
        <f t="shared" si="2"/>
        <v>40</v>
      </c>
      <c r="O11" s="561">
        <v>26</v>
      </c>
      <c r="P11" s="561">
        <v>23</v>
      </c>
      <c r="Q11" s="572">
        <v>11</v>
      </c>
      <c r="R11" s="573">
        <v>1</v>
      </c>
      <c r="S11" s="561">
        <v>7</v>
      </c>
      <c r="T11" s="561">
        <v>9</v>
      </c>
      <c r="U11" s="572">
        <v>4</v>
      </c>
      <c r="V11" s="573"/>
      <c r="W11" s="561">
        <v>10</v>
      </c>
      <c r="X11" s="561">
        <v>5</v>
      </c>
      <c r="Y11" s="572">
        <v>8</v>
      </c>
      <c r="Z11" s="573">
        <v>2</v>
      </c>
      <c r="AA11" s="561">
        <v>6</v>
      </c>
      <c r="AB11" s="561">
        <v>9</v>
      </c>
      <c r="AC11" s="798">
        <f t="shared" si="1"/>
        <v>205</v>
      </c>
      <c r="AD11" s="799">
        <f t="shared" si="1"/>
        <v>309</v>
      </c>
      <c r="AE11" s="1224">
        <f>SUM(AC11:AD11)</f>
        <v>514</v>
      </c>
    </row>
    <row r="12" spans="1:31" ht="19.5" customHeight="1">
      <c r="A12" s="535" t="s">
        <v>194</v>
      </c>
      <c r="B12" s="536" t="s">
        <v>195</v>
      </c>
      <c r="C12" s="798">
        <f t="shared" si="0"/>
        <v>11</v>
      </c>
      <c r="D12" s="799">
        <f t="shared" si="0"/>
        <v>10</v>
      </c>
      <c r="E12" s="561">
        <v>5</v>
      </c>
      <c r="F12" s="561">
        <v>6</v>
      </c>
      <c r="G12" s="572"/>
      <c r="H12" s="573"/>
      <c r="I12" s="572">
        <v>3</v>
      </c>
      <c r="J12" s="573">
        <v>2</v>
      </c>
      <c r="K12" s="561">
        <v>3</v>
      </c>
      <c r="L12" s="561">
        <v>2</v>
      </c>
      <c r="M12" s="798">
        <f t="shared" si="2"/>
        <v>0</v>
      </c>
      <c r="N12" s="799">
        <f t="shared" si="2"/>
        <v>1</v>
      </c>
      <c r="O12" s="561"/>
      <c r="P12" s="561"/>
      <c r="Q12" s="572"/>
      <c r="R12" s="573"/>
      <c r="S12" s="561"/>
      <c r="T12" s="561">
        <v>1</v>
      </c>
      <c r="U12" s="572"/>
      <c r="V12" s="573"/>
      <c r="W12" s="561"/>
      <c r="X12" s="561"/>
      <c r="Y12" s="572"/>
      <c r="Z12" s="573"/>
      <c r="AA12" s="561"/>
      <c r="AB12" s="561"/>
      <c r="AC12" s="798">
        <f t="shared" si="1"/>
        <v>11</v>
      </c>
      <c r="AD12" s="799">
        <f t="shared" si="1"/>
        <v>11</v>
      </c>
      <c r="AE12" s="1224">
        <f>SUM(AC12:AD12)</f>
        <v>22</v>
      </c>
    </row>
    <row r="13" spans="1:31" ht="20.25" customHeight="1">
      <c r="A13" s="535" t="s">
        <v>655</v>
      </c>
      <c r="B13" s="536" t="s">
        <v>656</v>
      </c>
      <c r="C13" s="798">
        <f t="shared" si="0"/>
        <v>82</v>
      </c>
      <c r="D13" s="799">
        <f t="shared" si="0"/>
        <v>81</v>
      </c>
      <c r="E13" s="561">
        <v>46</v>
      </c>
      <c r="F13" s="561">
        <v>46</v>
      </c>
      <c r="G13" s="572">
        <v>12</v>
      </c>
      <c r="H13" s="573">
        <v>10</v>
      </c>
      <c r="I13" s="572">
        <v>14</v>
      </c>
      <c r="J13" s="573">
        <v>19</v>
      </c>
      <c r="K13" s="561">
        <v>10</v>
      </c>
      <c r="L13" s="561">
        <v>6</v>
      </c>
      <c r="M13" s="798">
        <f t="shared" si="2"/>
        <v>6</v>
      </c>
      <c r="N13" s="799">
        <f t="shared" si="2"/>
        <v>13</v>
      </c>
      <c r="O13" s="561">
        <v>1</v>
      </c>
      <c r="P13" s="561">
        <v>5</v>
      </c>
      <c r="Q13" s="572"/>
      <c r="R13" s="573">
        <v>1</v>
      </c>
      <c r="S13" s="561">
        <v>3</v>
      </c>
      <c r="T13" s="561">
        <v>4</v>
      </c>
      <c r="U13" s="572"/>
      <c r="V13" s="573">
        <v>1</v>
      </c>
      <c r="W13" s="561">
        <v>1</v>
      </c>
      <c r="X13" s="561">
        <v>2</v>
      </c>
      <c r="Y13" s="572">
        <v>1</v>
      </c>
      <c r="Z13" s="573"/>
      <c r="AA13" s="561">
        <v>2</v>
      </c>
      <c r="AB13" s="561">
        <v>2</v>
      </c>
      <c r="AC13" s="798">
        <f t="shared" si="1"/>
        <v>90</v>
      </c>
      <c r="AD13" s="799">
        <f t="shared" si="1"/>
        <v>96</v>
      </c>
      <c r="AE13" s="1224">
        <f>SUM(AC13:AD13)</f>
        <v>186</v>
      </c>
    </row>
    <row r="14" spans="1:31" ht="19.5" customHeight="1">
      <c r="A14" s="535" t="s">
        <v>196</v>
      </c>
      <c r="B14" s="536" t="s">
        <v>197</v>
      </c>
      <c r="C14" s="798">
        <f>+E14+G14+I14+K14</f>
        <v>7</v>
      </c>
      <c r="D14" s="799">
        <f>+F14+H14+J14+L14</f>
        <v>10</v>
      </c>
      <c r="E14" s="561">
        <v>2</v>
      </c>
      <c r="F14" s="561">
        <v>7</v>
      </c>
      <c r="G14" s="572">
        <v>2</v>
      </c>
      <c r="H14" s="573">
        <v>3</v>
      </c>
      <c r="I14" s="572">
        <v>1</v>
      </c>
      <c r="J14" s="573"/>
      <c r="K14" s="561">
        <v>2</v>
      </c>
      <c r="L14" s="561"/>
      <c r="M14" s="798">
        <f t="shared" si="2"/>
        <v>1</v>
      </c>
      <c r="N14" s="799">
        <f t="shared" si="2"/>
        <v>1</v>
      </c>
      <c r="O14" s="561">
        <v>1</v>
      </c>
      <c r="P14" s="561">
        <v>1</v>
      </c>
      <c r="Q14" s="572"/>
      <c r="R14" s="573"/>
      <c r="S14" s="561"/>
      <c r="T14" s="561"/>
      <c r="U14" s="572"/>
      <c r="V14" s="573"/>
      <c r="W14" s="561"/>
      <c r="X14" s="561"/>
      <c r="Y14" s="572"/>
      <c r="Z14" s="573"/>
      <c r="AA14" s="561"/>
      <c r="AB14" s="561"/>
      <c r="AC14" s="798">
        <f>+M14+C14+AA14</f>
        <v>8</v>
      </c>
      <c r="AD14" s="799">
        <f>+N14+D14+AB14</f>
        <v>11</v>
      </c>
      <c r="AE14" s="1224">
        <f>SUM(AC14:AD14)</f>
        <v>19</v>
      </c>
    </row>
    <row r="15" spans="1:31" ht="19.5" customHeight="1">
      <c r="A15" s="535" t="s">
        <v>198</v>
      </c>
      <c r="B15" s="536" t="s">
        <v>199</v>
      </c>
      <c r="C15" s="798">
        <f t="shared" ref="C15:D29" si="3">+E15+G15+I15+K15</f>
        <v>14</v>
      </c>
      <c r="D15" s="799">
        <f t="shared" si="3"/>
        <v>17</v>
      </c>
      <c r="E15" s="561">
        <v>8</v>
      </c>
      <c r="F15" s="561">
        <v>12</v>
      </c>
      <c r="G15" s="572">
        <v>2</v>
      </c>
      <c r="H15" s="573">
        <v>1</v>
      </c>
      <c r="I15" s="572">
        <v>4</v>
      </c>
      <c r="J15" s="573">
        <v>4</v>
      </c>
      <c r="K15" s="561"/>
      <c r="L15" s="561"/>
      <c r="M15" s="798">
        <f t="shared" si="2"/>
        <v>2</v>
      </c>
      <c r="N15" s="799">
        <f t="shared" si="2"/>
        <v>4</v>
      </c>
      <c r="O15" s="561"/>
      <c r="P15" s="561">
        <v>3</v>
      </c>
      <c r="Q15" s="572">
        <v>1</v>
      </c>
      <c r="R15" s="573"/>
      <c r="S15" s="561">
        <v>1</v>
      </c>
      <c r="T15" s="561"/>
      <c r="U15" s="572"/>
      <c r="V15" s="573"/>
      <c r="W15" s="561"/>
      <c r="X15" s="561">
        <v>1</v>
      </c>
      <c r="Y15" s="572"/>
      <c r="Z15" s="573"/>
      <c r="AA15" s="561">
        <v>2</v>
      </c>
      <c r="AB15" s="561"/>
      <c r="AC15" s="798">
        <f t="shared" ref="AC15:AD29" si="4">+M15+C15+AA15</f>
        <v>18</v>
      </c>
      <c r="AD15" s="799">
        <f t="shared" si="4"/>
        <v>21</v>
      </c>
      <c r="AE15" s="1224">
        <f t="shared" ref="AE15:AE25" si="5">SUM(AC15:AD15)</f>
        <v>39</v>
      </c>
    </row>
    <row r="16" spans="1:31" ht="19.5" customHeight="1">
      <c r="A16" s="535" t="s">
        <v>200</v>
      </c>
      <c r="B16" s="536" t="s">
        <v>201</v>
      </c>
      <c r="C16" s="798">
        <f t="shared" si="3"/>
        <v>2</v>
      </c>
      <c r="D16" s="799">
        <f t="shared" si="3"/>
        <v>1</v>
      </c>
      <c r="E16" s="561">
        <v>1</v>
      </c>
      <c r="F16" s="561"/>
      <c r="G16" s="572"/>
      <c r="H16" s="573">
        <v>1</v>
      </c>
      <c r="I16" s="572">
        <v>1</v>
      </c>
      <c r="J16" s="573"/>
      <c r="K16" s="561"/>
      <c r="L16" s="561"/>
      <c r="M16" s="798">
        <f t="shared" si="2"/>
        <v>0</v>
      </c>
      <c r="N16" s="799">
        <f t="shared" si="2"/>
        <v>2</v>
      </c>
      <c r="O16" s="561"/>
      <c r="P16" s="561">
        <v>2</v>
      </c>
      <c r="Q16" s="572"/>
      <c r="R16" s="573"/>
      <c r="S16" s="561"/>
      <c r="T16" s="561"/>
      <c r="U16" s="572"/>
      <c r="V16" s="573"/>
      <c r="W16" s="561"/>
      <c r="X16" s="561"/>
      <c r="Y16" s="572"/>
      <c r="Z16" s="573"/>
      <c r="AA16" s="561"/>
      <c r="AB16" s="561">
        <v>1</v>
      </c>
      <c r="AC16" s="798">
        <f t="shared" si="4"/>
        <v>2</v>
      </c>
      <c r="AD16" s="799">
        <f t="shared" si="4"/>
        <v>4</v>
      </c>
      <c r="AE16" s="1224">
        <f t="shared" si="5"/>
        <v>6</v>
      </c>
    </row>
    <row r="17" spans="1:31" ht="20.25" customHeight="1">
      <c r="A17" s="535" t="s">
        <v>638</v>
      </c>
      <c r="B17" s="536" t="s">
        <v>639</v>
      </c>
      <c r="C17" s="798">
        <f t="shared" si="3"/>
        <v>325</v>
      </c>
      <c r="D17" s="799">
        <f t="shared" si="3"/>
        <v>265</v>
      </c>
      <c r="E17" s="561">
        <v>211</v>
      </c>
      <c r="F17" s="561">
        <v>163</v>
      </c>
      <c r="G17" s="572">
        <v>51</v>
      </c>
      <c r="H17" s="573">
        <v>54</v>
      </c>
      <c r="I17" s="572">
        <v>33</v>
      </c>
      <c r="J17" s="573">
        <v>22</v>
      </c>
      <c r="K17" s="561">
        <v>30</v>
      </c>
      <c r="L17" s="561">
        <v>26</v>
      </c>
      <c r="M17" s="798">
        <f t="shared" si="2"/>
        <v>52</v>
      </c>
      <c r="N17" s="799">
        <f t="shared" si="2"/>
        <v>28</v>
      </c>
      <c r="O17" s="561">
        <v>17</v>
      </c>
      <c r="P17" s="561">
        <v>11</v>
      </c>
      <c r="Q17" s="572">
        <v>11</v>
      </c>
      <c r="R17" s="573">
        <v>3</v>
      </c>
      <c r="S17" s="561">
        <v>5</v>
      </c>
      <c r="T17" s="561">
        <v>5</v>
      </c>
      <c r="U17" s="572">
        <v>2</v>
      </c>
      <c r="V17" s="573"/>
      <c r="W17" s="561">
        <v>9</v>
      </c>
      <c r="X17" s="561">
        <v>4</v>
      </c>
      <c r="Y17" s="572">
        <v>8</v>
      </c>
      <c r="Z17" s="573">
        <v>5</v>
      </c>
      <c r="AA17" s="561">
        <v>17</v>
      </c>
      <c r="AB17" s="561">
        <v>9</v>
      </c>
      <c r="AC17" s="798">
        <f t="shared" si="4"/>
        <v>394</v>
      </c>
      <c r="AD17" s="799">
        <f t="shared" si="4"/>
        <v>302</v>
      </c>
      <c r="AE17" s="1224">
        <f t="shared" si="5"/>
        <v>696</v>
      </c>
    </row>
    <row r="18" spans="1:31" ht="19.5" customHeight="1">
      <c r="A18" s="535" t="s">
        <v>642</v>
      </c>
      <c r="B18" s="536" t="s">
        <v>643</v>
      </c>
      <c r="C18" s="798">
        <f t="shared" si="3"/>
        <v>290</v>
      </c>
      <c r="D18" s="799">
        <f t="shared" si="3"/>
        <v>264</v>
      </c>
      <c r="E18" s="561">
        <v>202</v>
      </c>
      <c r="F18" s="561">
        <v>176</v>
      </c>
      <c r="G18" s="572">
        <v>42</v>
      </c>
      <c r="H18" s="573">
        <v>33</v>
      </c>
      <c r="I18" s="572">
        <v>31</v>
      </c>
      <c r="J18" s="573">
        <v>31</v>
      </c>
      <c r="K18" s="561">
        <v>15</v>
      </c>
      <c r="L18" s="561">
        <v>24</v>
      </c>
      <c r="M18" s="798">
        <f t="shared" si="2"/>
        <v>16</v>
      </c>
      <c r="N18" s="799">
        <f t="shared" si="2"/>
        <v>17</v>
      </c>
      <c r="O18" s="561">
        <v>11</v>
      </c>
      <c r="P18" s="561">
        <v>8</v>
      </c>
      <c r="Q18" s="572">
        <v>2</v>
      </c>
      <c r="R18" s="573">
        <v>1</v>
      </c>
      <c r="S18" s="561">
        <v>1</v>
      </c>
      <c r="T18" s="561">
        <v>3</v>
      </c>
      <c r="U18" s="572"/>
      <c r="V18" s="573">
        <v>1</v>
      </c>
      <c r="W18" s="561"/>
      <c r="X18" s="561">
        <v>1</v>
      </c>
      <c r="Y18" s="572">
        <v>2</v>
      </c>
      <c r="Z18" s="573">
        <v>3</v>
      </c>
      <c r="AA18" s="561">
        <v>10</v>
      </c>
      <c r="AB18" s="561">
        <v>8</v>
      </c>
      <c r="AC18" s="798">
        <f t="shared" si="4"/>
        <v>316</v>
      </c>
      <c r="AD18" s="799">
        <f t="shared" si="4"/>
        <v>289</v>
      </c>
      <c r="AE18" s="1224">
        <f t="shared" si="5"/>
        <v>605</v>
      </c>
    </row>
    <row r="19" spans="1:31" ht="19.5" customHeight="1">
      <c r="A19" s="535" t="s">
        <v>647</v>
      </c>
      <c r="B19" s="536" t="s">
        <v>648</v>
      </c>
      <c r="C19" s="798">
        <f t="shared" si="3"/>
        <v>470</v>
      </c>
      <c r="D19" s="799">
        <f t="shared" si="3"/>
        <v>573</v>
      </c>
      <c r="E19" s="561">
        <v>302</v>
      </c>
      <c r="F19" s="561">
        <v>354</v>
      </c>
      <c r="G19" s="572">
        <v>82</v>
      </c>
      <c r="H19" s="573">
        <v>100</v>
      </c>
      <c r="I19" s="572">
        <v>57</v>
      </c>
      <c r="J19" s="573">
        <v>72</v>
      </c>
      <c r="K19" s="561">
        <v>29</v>
      </c>
      <c r="L19" s="561">
        <v>47</v>
      </c>
      <c r="M19" s="798">
        <f t="shared" si="2"/>
        <v>25</v>
      </c>
      <c r="N19" s="799">
        <f t="shared" si="2"/>
        <v>31</v>
      </c>
      <c r="O19" s="561">
        <v>11</v>
      </c>
      <c r="P19" s="561">
        <v>20</v>
      </c>
      <c r="Q19" s="572">
        <v>5</v>
      </c>
      <c r="R19" s="573"/>
      <c r="S19" s="561">
        <v>2</v>
      </c>
      <c r="T19" s="561">
        <v>6</v>
      </c>
      <c r="U19" s="572"/>
      <c r="V19" s="573"/>
      <c r="W19" s="561">
        <v>5</v>
      </c>
      <c r="X19" s="561">
        <v>4</v>
      </c>
      <c r="Y19" s="572">
        <v>2</v>
      </c>
      <c r="Z19" s="573">
        <v>1</v>
      </c>
      <c r="AA19" s="561">
        <v>25</v>
      </c>
      <c r="AB19" s="561">
        <v>26</v>
      </c>
      <c r="AC19" s="798">
        <f t="shared" si="4"/>
        <v>520</v>
      </c>
      <c r="AD19" s="799">
        <f t="shared" si="4"/>
        <v>630</v>
      </c>
      <c r="AE19" s="1224">
        <f t="shared" si="5"/>
        <v>1150</v>
      </c>
    </row>
    <row r="20" spans="1:31" ht="18.75" customHeight="1">
      <c r="A20" s="535" t="s">
        <v>202</v>
      </c>
      <c r="B20" s="536" t="s">
        <v>203</v>
      </c>
      <c r="C20" s="798">
        <f t="shared" si="3"/>
        <v>28</v>
      </c>
      <c r="D20" s="799">
        <f t="shared" si="3"/>
        <v>39</v>
      </c>
      <c r="E20" s="561">
        <v>21</v>
      </c>
      <c r="F20" s="561">
        <v>18</v>
      </c>
      <c r="G20" s="572">
        <v>3</v>
      </c>
      <c r="H20" s="573">
        <v>8</v>
      </c>
      <c r="I20" s="572">
        <v>1</v>
      </c>
      <c r="J20" s="573">
        <v>4</v>
      </c>
      <c r="K20" s="561">
        <v>3</v>
      </c>
      <c r="L20" s="561">
        <v>9</v>
      </c>
      <c r="M20" s="798">
        <f t="shared" si="2"/>
        <v>8</v>
      </c>
      <c r="N20" s="799">
        <f t="shared" si="2"/>
        <v>5</v>
      </c>
      <c r="O20" s="561">
        <v>4</v>
      </c>
      <c r="P20" s="561">
        <v>4</v>
      </c>
      <c r="Q20" s="572"/>
      <c r="R20" s="573"/>
      <c r="S20" s="561">
        <v>1</v>
      </c>
      <c r="T20" s="561"/>
      <c r="U20" s="572">
        <v>2</v>
      </c>
      <c r="V20" s="573"/>
      <c r="W20" s="561"/>
      <c r="X20" s="561">
        <v>1</v>
      </c>
      <c r="Y20" s="572">
        <v>1</v>
      </c>
      <c r="Z20" s="573"/>
      <c r="AA20" s="561">
        <v>1</v>
      </c>
      <c r="AB20" s="561">
        <v>1</v>
      </c>
      <c r="AC20" s="798">
        <f t="shared" si="4"/>
        <v>37</v>
      </c>
      <c r="AD20" s="799">
        <f t="shared" si="4"/>
        <v>45</v>
      </c>
      <c r="AE20" s="1224">
        <f t="shared" si="5"/>
        <v>82</v>
      </c>
    </row>
    <row r="21" spans="1:31" ht="19.5" customHeight="1">
      <c r="A21" s="535" t="s">
        <v>204</v>
      </c>
      <c r="B21" s="536" t="s">
        <v>205</v>
      </c>
      <c r="C21" s="798">
        <f t="shared" si="3"/>
        <v>112</v>
      </c>
      <c r="D21" s="799">
        <f t="shared" si="3"/>
        <v>169</v>
      </c>
      <c r="E21" s="561">
        <v>63</v>
      </c>
      <c r="F21" s="561">
        <v>112</v>
      </c>
      <c r="G21" s="572">
        <v>24</v>
      </c>
      <c r="H21" s="573">
        <v>30</v>
      </c>
      <c r="I21" s="572">
        <v>11</v>
      </c>
      <c r="J21" s="573">
        <v>18</v>
      </c>
      <c r="K21" s="561">
        <v>14</v>
      </c>
      <c r="L21" s="561">
        <v>9</v>
      </c>
      <c r="M21" s="798">
        <f t="shared" si="2"/>
        <v>129</v>
      </c>
      <c r="N21" s="799">
        <f t="shared" si="2"/>
        <v>142</v>
      </c>
      <c r="O21" s="561">
        <v>55</v>
      </c>
      <c r="P21" s="561">
        <v>60</v>
      </c>
      <c r="Q21" s="572">
        <v>13</v>
      </c>
      <c r="R21" s="573">
        <v>25</v>
      </c>
      <c r="S21" s="561">
        <v>15</v>
      </c>
      <c r="T21" s="561">
        <v>14</v>
      </c>
      <c r="U21" s="572">
        <v>10</v>
      </c>
      <c r="V21" s="573">
        <v>12</v>
      </c>
      <c r="W21" s="561">
        <v>23</v>
      </c>
      <c r="X21" s="561">
        <v>19</v>
      </c>
      <c r="Y21" s="572">
        <v>13</v>
      </c>
      <c r="Z21" s="573">
        <v>12</v>
      </c>
      <c r="AA21" s="561">
        <v>8</v>
      </c>
      <c r="AB21" s="561">
        <v>8</v>
      </c>
      <c r="AC21" s="798">
        <f t="shared" si="4"/>
        <v>249</v>
      </c>
      <c r="AD21" s="799">
        <f t="shared" si="4"/>
        <v>319</v>
      </c>
      <c r="AE21" s="1224">
        <f t="shared" si="5"/>
        <v>568</v>
      </c>
    </row>
    <row r="22" spans="1:31" ht="19.5" customHeight="1">
      <c r="A22" s="535" t="s">
        <v>649</v>
      </c>
      <c r="B22" s="536" t="s">
        <v>650</v>
      </c>
      <c r="C22" s="798">
        <f t="shared" si="3"/>
        <v>254</v>
      </c>
      <c r="D22" s="799">
        <f t="shared" si="3"/>
        <v>439</v>
      </c>
      <c r="E22" s="561">
        <v>147</v>
      </c>
      <c r="F22" s="561">
        <v>260</v>
      </c>
      <c r="G22" s="572">
        <v>56</v>
      </c>
      <c r="H22" s="917">
        <v>77</v>
      </c>
      <c r="I22" s="572">
        <v>37</v>
      </c>
      <c r="J22" s="573">
        <v>63</v>
      </c>
      <c r="K22" s="561">
        <v>14</v>
      </c>
      <c r="L22" s="561">
        <v>39</v>
      </c>
      <c r="M22" s="798">
        <f t="shared" si="2"/>
        <v>159</v>
      </c>
      <c r="N22" s="799">
        <f t="shared" si="2"/>
        <v>99</v>
      </c>
      <c r="O22" s="561">
        <v>81</v>
      </c>
      <c r="P22" s="561">
        <v>48</v>
      </c>
      <c r="Q22" s="572">
        <v>28</v>
      </c>
      <c r="R22" s="573">
        <v>11</v>
      </c>
      <c r="S22" s="561">
        <v>14</v>
      </c>
      <c r="T22" s="561">
        <v>16</v>
      </c>
      <c r="U22" s="572">
        <v>1</v>
      </c>
      <c r="V22" s="573">
        <v>3</v>
      </c>
      <c r="W22" s="561">
        <v>22</v>
      </c>
      <c r="X22" s="561">
        <v>17</v>
      </c>
      <c r="Y22" s="572">
        <v>13</v>
      </c>
      <c r="Z22" s="573">
        <v>4</v>
      </c>
      <c r="AA22" s="561">
        <v>9</v>
      </c>
      <c r="AB22" s="561">
        <v>16</v>
      </c>
      <c r="AC22" s="798">
        <f t="shared" si="4"/>
        <v>422</v>
      </c>
      <c r="AD22" s="799">
        <f t="shared" si="4"/>
        <v>554</v>
      </c>
      <c r="AE22" s="1224">
        <f t="shared" si="5"/>
        <v>976</v>
      </c>
    </row>
    <row r="23" spans="1:31" ht="18.75" customHeight="1">
      <c r="A23" s="535" t="s">
        <v>206</v>
      </c>
      <c r="B23" s="536" t="s">
        <v>207</v>
      </c>
      <c r="C23" s="798">
        <f t="shared" si="3"/>
        <v>0</v>
      </c>
      <c r="D23" s="799">
        <f t="shared" si="3"/>
        <v>948</v>
      </c>
      <c r="E23" s="606"/>
      <c r="F23" s="561">
        <v>606</v>
      </c>
      <c r="G23" s="572"/>
      <c r="H23" s="573">
        <v>137</v>
      </c>
      <c r="I23" s="572"/>
      <c r="J23" s="573">
        <v>126</v>
      </c>
      <c r="K23" s="606"/>
      <c r="L23" s="561">
        <v>79</v>
      </c>
      <c r="M23" s="798">
        <f t="shared" si="2"/>
        <v>0</v>
      </c>
      <c r="N23" s="799">
        <f t="shared" si="2"/>
        <v>42</v>
      </c>
      <c r="O23" s="561"/>
      <c r="P23" s="561">
        <v>25</v>
      </c>
      <c r="Q23" s="572"/>
      <c r="R23" s="573">
        <v>2</v>
      </c>
      <c r="S23" s="561"/>
      <c r="T23" s="561">
        <v>6</v>
      </c>
      <c r="U23" s="572"/>
      <c r="V23" s="573">
        <v>1</v>
      </c>
      <c r="W23" s="561"/>
      <c r="X23" s="561">
        <v>6</v>
      </c>
      <c r="Y23" s="572"/>
      <c r="Z23" s="573">
        <v>2</v>
      </c>
      <c r="AA23" s="561"/>
      <c r="AB23" s="561">
        <v>115</v>
      </c>
      <c r="AC23" s="798">
        <f t="shared" si="4"/>
        <v>0</v>
      </c>
      <c r="AD23" s="799">
        <f t="shared" si="4"/>
        <v>1105</v>
      </c>
      <c r="AE23" s="1224">
        <f t="shared" si="5"/>
        <v>1105</v>
      </c>
    </row>
    <row r="24" spans="1:31" ht="19.5" customHeight="1">
      <c r="A24" s="535" t="s">
        <v>657</v>
      </c>
      <c r="B24" s="536" t="s">
        <v>658</v>
      </c>
      <c r="C24" s="798">
        <f t="shared" si="3"/>
        <v>71</v>
      </c>
      <c r="D24" s="799">
        <f t="shared" si="3"/>
        <v>58</v>
      </c>
      <c r="E24" s="561">
        <v>43</v>
      </c>
      <c r="F24" s="561">
        <v>40</v>
      </c>
      <c r="G24" s="572">
        <v>11</v>
      </c>
      <c r="H24" s="573">
        <v>9</v>
      </c>
      <c r="I24" s="572">
        <v>12</v>
      </c>
      <c r="J24" s="573">
        <v>7</v>
      </c>
      <c r="K24" s="561">
        <v>5</v>
      </c>
      <c r="L24" s="561">
        <v>2</v>
      </c>
      <c r="M24" s="798">
        <f t="shared" si="2"/>
        <v>4</v>
      </c>
      <c r="N24" s="799">
        <f t="shared" si="2"/>
        <v>2</v>
      </c>
      <c r="O24" s="561">
        <v>2</v>
      </c>
      <c r="P24" s="561">
        <v>1</v>
      </c>
      <c r="Q24" s="572"/>
      <c r="R24" s="573"/>
      <c r="S24" s="561">
        <v>1</v>
      </c>
      <c r="T24" s="561">
        <v>1</v>
      </c>
      <c r="U24" s="572"/>
      <c r="V24" s="573"/>
      <c r="W24" s="561"/>
      <c r="X24" s="561"/>
      <c r="Y24" s="572">
        <v>1</v>
      </c>
      <c r="Z24" s="573"/>
      <c r="AA24" s="561">
        <v>1</v>
      </c>
      <c r="AB24" s="561">
        <v>3</v>
      </c>
      <c r="AC24" s="798">
        <f t="shared" si="4"/>
        <v>76</v>
      </c>
      <c r="AD24" s="799">
        <f t="shared" si="4"/>
        <v>63</v>
      </c>
      <c r="AE24" s="1224">
        <f t="shared" si="5"/>
        <v>139</v>
      </c>
    </row>
    <row r="25" spans="1:31" ht="20.25" customHeight="1">
      <c r="A25" s="535" t="s">
        <v>659</v>
      </c>
      <c r="B25" s="536" t="s">
        <v>660</v>
      </c>
      <c r="C25" s="798">
        <f t="shared" si="3"/>
        <v>4</v>
      </c>
      <c r="D25" s="799">
        <f t="shared" si="3"/>
        <v>7</v>
      </c>
      <c r="E25" s="561">
        <v>2</v>
      </c>
      <c r="F25" s="561">
        <v>3</v>
      </c>
      <c r="G25" s="572"/>
      <c r="H25" s="573">
        <v>2</v>
      </c>
      <c r="I25" s="572">
        <v>1</v>
      </c>
      <c r="J25" s="573">
        <v>2</v>
      </c>
      <c r="K25" s="561">
        <v>1</v>
      </c>
      <c r="L25" s="561"/>
      <c r="M25" s="798">
        <f t="shared" si="2"/>
        <v>2</v>
      </c>
      <c r="N25" s="799">
        <f t="shared" si="2"/>
        <v>0</v>
      </c>
      <c r="O25" s="561">
        <v>2</v>
      </c>
      <c r="P25" s="561"/>
      <c r="Q25" s="572"/>
      <c r="R25" s="573"/>
      <c r="S25" s="561"/>
      <c r="T25" s="561"/>
      <c r="U25" s="572"/>
      <c r="V25" s="573"/>
      <c r="W25" s="561"/>
      <c r="X25" s="561"/>
      <c r="Y25" s="572"/>
      <c r="Z25" s="573"/>
      <c r="AA25" s="561"/>
      <c r="AB25" s="561"/>
      <c r="AC25" s="798">
        <f t="shared" si="4"/>
        <v>6</v>
      </c>
      <c r="AD25" s="799">
        <f t="shared" si="4"/>
        <v>7</v>
      </c>
      <c r="AE25" s="1224">
        <f t="shared" si="5"/>
        <v>13</v>
      </c>
    </row>
    <row r="26" spans="1:31" ht="21.75" customHeight="1">
      <c r="A26" s="535" t="s">
        <v>653</v>
      </c>
      <c r="B26" s="536" t="s">
        <v>673</v>
      </c>
      <c r="C26" s="798">
        <f t="shared" si="3"/>
        <v>21</v>
      </c>
      <c r="D26" s="799">
        <f t="shared" si="3"/>
        <v>19</v>
      </c>
      <c r="E26" s="561">
        <v>14</v>
      </c>
      <c r="F26" s="561">
        <v>13</v>
      </c>
      <c r="G26" s="572">
        <v>4</v>
      </c>
      <c r="H26" s="573"/>
      <c r="I26" s="572">
        <v>2</v>
      </c>
      <c r="J26" s="573">
        <v>3</v>
      </c>
      <c r="K26" s="561">
        <v>1</v>
      </c>
      <c r="L26" s="561">
        <v>3</v>
      </c>
      <c r="M26" s="798">
        <f t="shared" si="2"/>
        <v>5</v>
      </c>
      <c r="N26" s="799">
        <f t="shared" si="2"/>
        <v>1</v>
      </c>
      <c r="O26" s="561">
        <v>1</v>
      </c>
      <c r="P26" s="561"/>
      <c r="Q26" s="572">
        <v>1</v>
      </c>
      <c r="R26" s="573">
        <v>1</v>
      </c>
      <c r="S26" s="561"/>
      <c r="T26" s="561"/>
      <c r="U26" s="572"/>
      <c r="V26" s="573"/>
      <c r="W26" s="561">
        <v>1</v>
      </c>
      <c r="X26" s="561"/>
      <c r="Y26" s="572">
        <v>2</v>
      </c>
      <c r="Z26" s="573"/>
      <c r="AA26" s="561">
        <v>1</v>
      </c>
      <c r="AB26" s="561">
        <v>2</v>
      </c>
      <c r="AC26" s="798">
        <f t="shared" si="4"/>
        <v>27</v>
      </c>
      <c r="AD26" s="799">
        <f t="shared" si="4"/>
        <v>22</v>
      </c>
      <c r="AE26" s="1224">
        <f>SUM(AC26:AD26)</f>
        <v>49</v>
      </c>
    </row>
    <row r="27" spans="1:31" ht="21.75" customHeight="1">
      <c r="A27" s="535" t="s">
        <v>645</v>
      </c>
      <c r="B27" s="539" t="s">
        <v>208</v>
      </c>
      <c r="C27" s="798">
        <f>+E27+G27+I27+K27</f>
        <v>400</v>
      </c>
      <c r="D27" s="799">
        <f>+F27+H27+J27+L27</f>
        <v>330</v>
      </c>
      <c r="E27" s="561">
        <v>253</v>
      </c>
      <c r="F27" s="561">
        <v>201</v>
      </c>
      <c r="G27" s="572">
        <v>53</v>
      </c>
      <c r="H27" s="573">
        <v>60</v>
      </c>
      <c r="I27" s="572">
        <v>52</v>
      </c>
      <c r="J27" s="573">
        <v>36</v>
      </c>
      <c r="K27" s="561">
        <v>42</v>
      </c>
      <c r="L27" s="561">
        <v>33</v>
      </c>
      <c r="M27" s="798">
        <f t="shared" ref="M27:N29" si="6">+O27+Q27+S27+U27+W27+Y27</f>
        <v>381</v>
      </c>
      <c r="N27" s="799">
        <f t="shared" si="6"/>
        <v>269</v>
      </c>
      <c r="O27" s="561">
        <v>175</v>
      </c>
      <c r="P27" s="561">
        <v>141</v>
      </c>
      <c r="Q27" s="572">
        <v>44</v>
      </c>
      <c r="R27" s="573">
        <v>33</v>
      </c>
      <c r="S27" s="561">
        <v>39</v>
      </c>
      <c r="T27" s="561">
        <v>28</v>
      </c>
      <c r="U27" s="572">
        <v>20</v>
      </c>
      <c r="V27" s="573">
        <v>4</v>
      </c>
      <c r="W27" s="561">
        <v>77</v>
      </c>
      <c r="X27" s="561">
        <v>42</v>
      </c>
      <c r="Y27" s="572">
        <v>26</v>
      </c>
      <c r="Z27" s="573">
        <v>21</v>
      </c>
      <c r="AA27" s="561">
        <v>52</v>
      </c>
      <c r="AB27" s="561">
        <v>29</v>
      </c>
      <c r="AC27" s="798">
        <f>+M27+C27+AA27</f>
        <v>833</v>
      </c>
      <c r="AD27" s="799">
        <f>+N27+D27+AB27</f>
        <v>628</v>
      </c>
      <c r="AE27" s="1224">
        <f>SUM(AC27:AD27)</f>
        <v>1461</v>
      </c>
    </row>
    <row r="28" spans="1:31" ht="21.75" customHeight="1">
      <c r="A28" s="181" t="s">
        <v>1437</v>
      </c>
      <c r="B28" s="211" t="s">
        <v>1439</v>
      </c>
      <c r="C28" s="798">
        <f>+E28+G28+I28+K28</f>
        <v>20</v>
      </c>
      <c r="D28" s="799">
        <f>+F28+H28+J28+L28</f>
        <v>26</v>
      </c>
      <c r="E28" s="561">
        <v>14</v>
      </c>
      <c r="F28" s="561">
        <v>17</v>
      </c>
      <c r="G28" s="572">
        <v>3</v>
      </c>
      <c r="H28" s="573">
        <v>3</v>
      </c>
      <c r="I28" s="572">
        <v>2</v>
      </c>
      <c r="J28" s="573">
        <v>2</v>
      </c>
      <c r="K28" s="561">
        <v>1</v>
      </c>
      <c r="L28" s="561">
        <v>4</v>
      </c>
      <c r="M28" s="798">
        <f t="shared" si="6"/>
        <v>1</v>
      </c>
      <c r="N28" s="799">
        <f t="shared" si="6"/>
        <v>2</v>
      </c>
      <c r="O28" s="561">
        <v>1</v>
      </c>
      <c r="P28" s="561">
        <v>1</v>
      </c>
      <c r="Q28" s="572"/>
      <c r="R28" s="573"/>
      <c r="S28" s="561"/>
      <c r="T28" s="561">
        <v>1</v>
      </c>
      <c r="U28" s="572"/>
      <c r="V28" s="573"/>
      <c r="W28" s="561"/>
      <c r="X28" s="561"/>
      <c r="Y28" s="572"/>
      <c r="Z28" s="573"/>
      <c r="AA28" s="561"/>
      <c r="AB28" s="561"/>
      <c r="AC28" s="798">
        <f>+M28+C28+AA28</f>
        <v>21</v>
      </c>
      <c r="AD28" s="799">
        <f>+N28+D28+AB28</f>
        <v>28</v>
      </c>
      <c r="AE28" s="1224">
        <f>SUM(AC28:AD28)</f>
        <v>49</v>
      </c>
    </row>
    <row r="29" spans="1:31" ht="27.75" customHeight="1">
      <c r="A29" s="181" t="s">
        <v>1438</v>
      </c>
      <c r="B29" s="211" t="s">
        <v>1440</v>
      </c>
      <c r="C29" s="798">
        <f t="shared" si="3"/>
        <v>0</v>
      </c>
      <c r="D29" s="799">
        <f t="shared" si="3"/>
        <v>0</v>
      </c>
      <c r="E29" s="561"/>
      <c r="F29" s="561"/>
      <c r="G29" s="572"/>
      <c r="H29" s="573"/>
      <c r="I29" s="572"/>
      <c r="J29" s="573"/>
      <c r="K29" s="561"/>
      <c r="L29" s="561"/>
      <c r="M29" s="798">
        <f t="shared" si="6"/>
        <v>0</v>
      </c>
      <c r="N29" s="799">
        <f t="shared" si="6"/>
        <v>0</v>
      </c>
      <c r="O29" s="561"/>
      <c r="P29" s="561"/>
      <c r="Q29" s="572"/>
      <c r="R29" s="573"/>
      <c r="S29" s="561"/>
      <c r="T29" s="561"/>
      <c r="U29" s="572"/>
      <c r="V29" s="573"/>
      <c r="W29" s="561"/>
      <c r="X29" s="561"/>
      <c r="Y29" s="572"/>
      <c r="Z29" s="573"/>
      <c r="AA29" s="561"/>
      <c r="AB29" s="561"/>
      <c r="AC29" s="798">
        <f t="shared" si="4"/>
        <v>0</v>
      </c>
      <c r="AD29" s="799">
        <f t="shared" si="4"/>
        <v>0</v>
      </c>
      <c r="AE29" s="1224">
        <f>SUM(AC29:AD29)</f>
        <v>0</v>
      </c>
    </row>
    <row r="30" spans="1:31" ht="21.75" customHeight="1" thickBot="1">
      <c r="A30" s="540"/>
      <c r="B30" s="540" t="s">
        <v>767</v>
      </c>
      <c r="C30" s="1214">
        <f>SUM(C10:C29)</f>
        <v>2328</v>
      </c>
      <c r="D30" s="1215">
        <f>SUM(D10:D29)</f>
        <v>3593</v>
      </c>
      <c r="E30" s="1216">
        <f>SUM(E10:E29)</f>
        <v>1474</v>
      </c>
      <c r="F30" s="1216">
        <f t="shared" ref="F30:AE30" si="7">SUM(F10:F29)</f>
        <v>2232</v>
      </c>
      <c r="G30" s="1217">
        <f t="shared" si="7"/>
        <v>381</v>
      </c>
      <c r="H30" s="789">
        <f t="shared" si="7"/>
        <v>577</v>
      </c>
      <c r="I30" s="1217">
        <f t="shared" si="7"/>
        <v>286</v>
      </c>
      <c r="J30" s="789">
        <f t="shared" si="7"/>
        <v>464</v>
      </c>
      <c r="K30" s="1216">
        <f t="shared" si="7"/>
        <v>187</v>
      </c>
      <c r="L30" s="1216">
        <f t="shared" si="7"/>
        <v>320</v>
      </c>
      <c r="M30" s="1214">
        <f t="shared" si="7"/>
        <v>868</v>
      </c>
      <c r="N30" s="1215">
        <f t="shared" si="7"/>
        <v>704</v>
      </c>
      <c r="O30" s="1216">
        <f t="shared" si="7"/>
        <v>395</v>
      </c>
      <c r="P30" s="1216">
        <f t="shared" si="7"/>
        <v>356</v>
      </c>
      <c r="Q30" s="1217">
        <f t="shared" si="7"/>
        <v>116</v>
      </c>
      <c r="R30" s="789">
        <f t="shared" si="7"/>
        <v>78</v>
      </c>
      <c r="S30" s="1216">
        <f t="shared" si="7"/>
        <v>91</v>
      </c>
      <c r="T30" s="1216">
        <f t="shared" si="7"/>
        <v>95</v>
      </c>
      <c r="U30" s="1217">
        <f t="shared" si="7"/>
        <v>39</v>
      </c>
      <c r="V30" s="789">
        <f t="shared" si="7"/>
        <v>22</v>
      </c>
      <c r="W30" s="1216">
        <f t="shared" si="7"/>
        <v>149</v>
      </c>
      <c r="X30" s="1216">
        <f t="shared" si="7"/>
        <v>103</v>
      </c>
      <c r="Y30" s="1217">
        <f t="shared" si="7"/>
        <v>78</v>
      </c>
      <c r="Z30" s="789">
        <f t="shared" si="7"/>
        <v>50</v>
      </c>
      <c r="AA30" s="1216">
        <f t="shared" si="7"/>
        <v>142</v>
      </c>
      <c r="AB30" s="1216">
        <f t="shared" si="7"/>
        <v>232</v>
      </c>
      <c r="AC30" s="1214">
        <f t="shared" si="7"/>
        <v>3338</v>
      </c>
      <c r="AD30" s="1215">
        <f t="shared" si="7"/>
        <v>4529</v>
      </c>
      <c r="AE30" s="1218">
        <f t="shared" si="7"/>
        <v>7867</v>
      </c>
    </row>
    <row r="31" spans="1:31" ht="21.75" customHeight="1">
      <c r="A31" s="543"/>
      <c r="B31" s="543"/>
      <c r="C31" s="562"/>
      <c r="D31" s="562"/>
      <c r="E31" s="562"/>
      <c r="F31" s="562"/>
      <c r="G31" s="562"/>
      <c r="H31" s="562"/>
      <c r="I31" s="562"/>
      <c r="J31" s="562"/>
      <c r="K31" s="562"/>
      <c r="L31" s="562"/>
      <c r="M31" s="562"/>
      <c r="N31" s="562"/>
      <c r="O31" s="562"/>
      <c r="P31" s="562"/>
      <c r="Q31" s="562"/>
      <c r="R31" s="562"/>
      <c r="S31" s="562"/>
      <c r="T31" s="562"/>
      <c r="U31" s="562"/>
      <c r="V31" s="562"/>
      <c r="W31" s="562"/>
      <c r="X31" s="562"/>
      <c r="Y31" s="562"/>
      <c r="Z31" s="562"/>
      <c r="AA31" s="562"/>
      <c r="AB31" s="562"/>
      <c r="AC31" s="562"/>
      <c r="AD31" s="562"/>
      <c r="AE31" s="925"/>
    </row>
    <row r="32" spans="1:31" ht="19.5" customHeight="1">
      <c r="A32" s="1646" t="s">
        <v>209</v>
      </c>
      <c r="B32" s="1646"/>
      <c r="C32" s="1646"/>
      <c r="D32" s="1646"/>
      <c r="E32" s="1646"/>
      <c r="F32" s="1646"/>
      <c r="G32" s="1646"/>
      <c r="H32" s="1646"/>
      <c r="I32" s="1646"/>
      <c r="J32" s="1646"/>
      <c r="K32" s="1646"/>
      <c r="L32" s="1646"/>
      <c r="M32" s="1646"/>
      <c r="N32" s="1646"/>
      <c r="O32" s="1646"/>
      <c r="P32" s="1646"/>
      <c r="Q32" s="1646"/>
      <c r="R32" s="1646"/>
      <c r="S32" s="1646"/>
      <c r="T32" s="1646"/>
      <c r="U32" s="1646"/>
      <c r="V32" s="1646"/>
      <c r="W32" s="1646"/>
      <c r="X32" s="570"/>
      <c r="Y32" s="563"/>
      <c r="Z32" s="563"/>
      <c r="AA32" s="561"/>
      <c r="AB32" s="561"/>
      <c r="AC32" s="561"/>
      <c r="AD32" s="561"/>
    </row>
    <row r="33" spans="1:30">
      <c r="A33" s="570"/>
      <c r="B33" s="570"/>
      <c r="C33" s="571"/>
      <c r="D33" s="571"/>
      <c r="E33" s="571"/>
      <c r="F33" s="571"/>
      <c r="G33" s="571"/>
      <c r="H33" s="571"/>
      <c r="I33" s="571"/>
      <c r="J33" s="571"/>
      <c r="K33" s="561"/>
      <c r="L33" s="561"/>
      <c r="M33" s="561"/>
      <c r="N33" s="561"/>
      <c r="O33" s="561"/>
      <c r="P33" s="561"/>
      <c r="Q33" s="561"/>
      <c r="R33" s="561"/>
      <c r="S33" s="561"/>
      <c r="T33" s="561"/>
      <c r="U33" s="561"/>
      <c r="V33" s="561"/>
      <c r="W33" s="561"/>
      <c r="X33" s="561"/>
      <c r="Y33" s="561"/>
      <c r="Z33" s="561"/>
      <c r="AA33" s="561"/>
      <c r="AB33" s="561"/>
      <c r="AC33" s="561"/>
      <c r="AD33" s="561"/>
    </row>
    <row r="34" spans="1:30">
      <c r="A34" s="1646" t="str">
        <f>+A3</f>
        <v>SERVICIO DE SALUD   ACONCAGUA   2023</v>
      </c>
      <c r="B34" s="1646"/>
      <c r="C34" s="1646"/>
      <c r="D34" s="1646"/>
      <c r="E34" s="1646"/>
      <c r="F34" s="1646"/>
      <c r="G34" s="1646"/>
      <c r="H34" s="1646"/>
      <c r="I34" s="1646"/>
      <c r="J34" s="1646"/>
      <c r="K34" s="1646"/>
      <c r="L34" s="1646"/>
      <c r="M34" s="1646"/>
      <c r="N34" s="1646"/>
      <c r="O34" s="1646"/>
      <c r="P34" s="1646"/>
      <c r="Q34" s="1646"/>
      <c r="R34" s="1646"/>
      <c r="S34" s="1646"/>
      <c r="T34" s="1646"/>
      <c r="U34" s="1646"/>
      <c r="V34" s="1646"/>
      <c r="W34" s="1646"/>
      <c r="X34" s="570"/>
      <c r="Y34" s="561"/>
      <c r="Z34" s="561"/>
      <c r="AA34" s="561"/>
      <c r="AB34" s="561"/>
      <c r="AC34" s="561"/>
      <c r="AD34" s="561"/>
    </row>
    <row r="35" spans="1:30">
      <c r="A35" s="559"/>
      <c r="B35" s="559"/>
      <c r="C35" s="559"/>
      <c r="D35" s="559"/>
      <c r="E35" s="566"/>
      <c r="F35" s="566"/>
      <c r="G35" s="566"/>
      <c r="H35" s="566"/>
      <c r="I35" s="566"/>
      <c r="J35" s="566"/>
      <c r="K35" s="561"/>
      <c r="L35" s="561"/>
      <c r="M35" s="561"/>
      <c r="N35" s="561"/>
      <c r="O35" s="561"/>
      <c r="P35" s="561"/>
      <c r="Q35" s="561"/>
      <c r="R35" s="561"/>
      <c r="S35" s="561"/>
      <c r="T35" s="561"/>
      <c r="U35" s="561"/>
      <c r="V35" s="561"/>
      <c r="W35" s="561"/>
      <c r="X35" s="561"/>
      <c r="Y35" s="561"/>
      <c r="Z35" s="561"/>
      <c r="AA35" s="561"/>
      <c r="AB35" s="561"/>
      <c r="AC35" s="561"/>
      <c r="AD35" s="561"/>
    </row>
    <row r="36" spans="1:30">
      <c r="A36" s="1645" t="s">
        <v>850</v>
      </c>
      <c r="B36" s="1645"/>
      <c r="C36" s="1645"/>
      <c r="D36" s="1645"/>
      <c r="E36" s="1645"/>
      <c r="F36" s="1645"/>
      <c r="G36" s="1645"/>
      <c r="H36" s="1645"/>
      <c r="I36" s="1645"/>
      <c r="J36" s="1645"/>
      <c r="K36" s="1645"/>
      <c r="L36" s="1645"/>
      <c r="M36" s="1645"/>
      <c r="N36" s="1645"/>
      <c r="O36" s="1645"/>
      <c r="P36" s="1645"/>
      <c r="Q36" s="1645"/>
      <c r="R36" s="1645"/>
      <c r="S36" s="1645"/>
      <c r="T36" s="1645"/>
      <c r="U36" s="1645"/>
      <c r="V36" s="1645"/>
      <c r="W36" s="1645"/>
      <c r="X36" s="566"/>
      <c r="Y36" s="561"/>
      <c r="Z36" s="561"/>
      <c r="AA36" s="561"/>
      <c r="AB36" s="561"/>
      <c r="AC36" s="561"/>
      <c r="AD36" s="561"/>
    </row>
    <row r="37" spans="1:30">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row>
    <row r="38" spans="1:30" ht="21.75" customHeight="1">
      <c r="A38" s="1454" t="s">
        <v>627</v>
      </c>
      <c r="B38" s="1455"/>
      <c r="C38" s="1634" t="s">
        <v>661</v>
      </c>
      <c r="D38" s="1635"/>
      <c r="E38" s="1635"/>
      <c r="F38" s="1635"/>
      <c r="G38" s="1635"/>
      <c r="H38" s="1635"/>
      <c r="I38" s="1635"/>
      <c r="J38" s="1635"/>
      <c r="K38" s="1635"/>
      <c r="L38" s="1635"/>
      <c r="M38" s="1635"/>
      <c r="N38" s="1635"/>
      <c r="O38" s="1635"/>
      <c r="P38" s="1635"/>
      <c r="Q38" s="1635"/>
      <c r="R38" s="1635"/>
      <c r="S38" s="1635"/>
      <c r="T38" s="1635"/>
      <c r="U38" s="1635"/>
      <c r="V38" s="1635"/>
      <c r="W38" s="1457"/>
      <c r="X38" s="1457"/>
      <c r="Y38" s="1458"/>
      <c r="Z38" s="561"/>
      <c r="AA38" s="561"/>
      <c r="AB38" s="561"/>
      <c r="AC38" s="561"/>
      <c r="AD38" s="561"/>
    </row>
    <row r="39" spans="1:30" ht="23.25" customHeight="1">
      <c r="A39" s="1459" t="s">
        <v>629</v>
      </c>
      <c r="B39" s="1460" t="s">
        <v>630</v>
      </c>
      <c r="C39" s="1632" t="s">
        <v>663</v>
      </c>
      <c r="D39" s="1632"/>
      <c r="E39" s="1632" t="s">
        <v>664</v>
      </c>
      <c r="F39" s="1632"/>
      <c r="G39" s="1632" t="s">
        <v>665</v>
      </c>
      <c r="H39" s="1632"/>
      <c r="I39" s="1632" t="s">
        <v>666</v>
      </c>
      <c r="J39" s="1632"/>
      <c r="K39" s="1632" t="s">
        <v>667</v>
      </c>
      <c r="L39" s="1632"/>
      <c r="M39" s="1632" t="s">
        <v>668</v>
      </c>
      <c r="N39" s="1632"/>
      <c r="O39" s="1632" t="s">
        <v>669</v>
      </c>
      <c r="P39" s="1632"/>
      <c r="Q39" s="1632" t="s">
        <v>670</v>
      </c>
      <c r="R39" s="1632"/>
      <c r="S39" s="1632" t="s">
        <v>671</v>
      </c>
      <c r="T39" s="1632"/>
      <c r="U39" s="1632" t="s">
        <v>672</v>
      </c>
      <c r="V39" s="1632"/>
      <c r="W39" s="1632" t="s">
        <v>474</v>
      </c>
      <c r="X39" s="1632"/>
      <c r="Y39" s="1632"/>
      <c r="Z39" s="561"/>
      <c r="AA39" s="561"/>
      <c r="AB39" s="561"/>
      <c r="AC39" s="561"/>
      <c r="AD39" s="561"/>
    </row>
    <row r="40" spans="1:30">
      <c r="A40" s="1461"/>
      <c r="B40" s="1462"/>
      <c r="C40" s="1083" t="s">
        <v>1301</v>
      </c>
      <c r="D40" s="1084" t="s">
        <v>1302</v>
      </c>
      <c r="E40" s="1082" t="s">
        <v>1301</v>
      </c>
      <c r="F40" s="1084" t="s">
        <v>1302</v>
      </c>
      <c r="G40" s="1082" t="s">
        <v>1301</v>
      </c>
      <c r="H40" s="1084" t="s">
        <v>1302</v>
      </c>
      <c r="I40" s="1082" t="s">
        <v>1301</v>
      </c>
      <c r="J40" s="1084" t="s">
        <v>1302</v>
      </c>
      <c r="K40" s="1082" t="s">
        <v>1301</v>
      </c>
      <c r="L40" s="1084" t="s">
        <v>1302</v>
      </c>
      <c r="M40" s="1082" t="s">
        <v>1301</v>
      </c>
      <c r="N40" s="1084" t="s">
        <v>1302</v>
      </c>
      <c r="O40" s="1082" t="s">
        <v>1301</v>
      </c>
      <c r="P40" s="1084" t="s">
        <v>1302</v>
      </c>
      <c r="Q40" s="1082" t="s">
        <v>1301</v>
      </c>
      <c r="R40" s="1084" t="s">
        <v>1302</v>
      </c>
      <c r="S40" s="1082" t="s">
        <v>1301</v>
      </c>
      <c r="T40" s="1084" t="s">
        <v>1302</v>
      </c>
      <c r="U40" s="1082" t="s">
        <v>1301</v>
      </c>
      <c r="V40" s="1084" t="s">
        <v>1302</v>
      </c>
      <c r="W40" s="1082" t="s">
        <v>1301</v>
      </c>
      <c r="X40" s="1084" t="s">
        <v>1302</v>
      </c>
      <c r="Y40" s="1463" t="s">
        <v>448</v>
      </c>
      <c r="Z40" s="561"/>
      <c r="AA40" s="561"/>
      <c r="AB40" s="561"/>
      <c r="AC40" s="561"/>
      <c r="AD40" s="561"/>
    </row>
    <row r="41" spans="1:30" ht="20.25" customHeight="1">
      <c r="A41" s="535" t="s">
        <v>651</v>
      </c>
      <c r="B41" s="536" t="s">
        <v>652</v>
      </c>
      <c r="E41" s="785"/>
      <c r="F41" s="531"/>
      <c r="G41" s="561">
        <v>11</v>
      </c>
      <c r="H41" s="561">
        <v>1</v>
      </c>
      <c r="I41" s="785">
        <v>19</v>
      </c>
      <c r="J41" s="531">
        <v>17</v>
      </c>
      <c r="K41" s="561">
        <v>1</v>
      </c>
      <c r="L41" s="561">
        <v>1</v>
      </c>
      <c r="M41" s="785"/>
      <c r="N41" s="531"/>
      <c r="O41" s="561">
        <v>1</v>
      </c>
      <c r="P41" s="561">
        <v>1</v>
      </c>
      <c r="Q41" s="785">
        <v>16</v>
      </c>
      <c r="R41" s="531">
        <v>12</v>
      </c>
      <c r="S41" s="561">
        <v>15</v>
      </c>
      <c r="T41" s="561">
        <v>21</v>
      </c>
      <c r="U41" s="785">
        <v>40</v>
      </c>
      <c r="V41" s="531">
        <v>32</v>
      </c>
      <c r="W41" s="785">
        <f>+C41+E41+G41+I41+K41+M41+O41+Q41+S41+U41</f>
        <v>103</v>
      </c>
      <c r="X41" s="531">
        <f>+D41+F41+H41+J41+L41+N41+P41+R41+T41+V41</f>
        <v>85</v>
      </c>
      <c r="Y41" s="573">
        <f>SUM(W41:X41)</f>
        <v>188</v>
      </c>
      <c r="Z41" s="561"/>
      <c r="AA41" s="561"/>
      <c r="AB41" s="561"/>
      <c r="AC41" s="561"/>
      <c r="AD41" s="561"/>
    </row>
    <row r="42" spans="1:30" ht="19.5" customHeight="1">
      <c r="A42" s="535" t="s">
        <v>640</v>
      </c>
      <c r="B42" s="536" t="s">
        <v>641</v>
      </c>
      <c r="E42" s="572"/>
      <c r="F42" s="573"/>
      <c r="G42" s="561"/>
      <c r="H42" s="561"/>
      <c r="I42" s="572"/>
      <c r="J42" s="573"/>
      <c r="K42" s="561">
        <v>1</v>
      </c>
      <c r="L42" s="561"/>
      <c r="M42" s="572"/>
      <c r="N42" s="573"/>
      <c r="O42" s="561">
        <v>1</v>
      </c>
      <c r="P42" s="561">
        <v>4</v>
      </c>
      <c r="Q42" s="572">
        <v>16</v>
      </c>
      <c r="R42" s="573">
        <v>70</v>
      </c>
      <c r="S42" s="561">
        <v>59</v>
      </c>
      <c r="T42" s="561">
        <v>142</v>
      </c>
      <c r="U42" s="572">
        <v>128</v>
      </c>
      <c r="V42" s="573">
        <v>93</v>
      </c>
      <c r="W42" s="572">
        <f>+C42+E42+G42+I42+K42+M42+O42+Q42+S42+U42</f>
        <v>205</v>
      </c>
      <c r="X42" s="573">
        <f>+D42+F42+H42+J42+L42+N42+P42+R42+T42+V42</f>
        <v>309</v>
      </c>
      <c r="Y42" s="573">
        <f>SUM(W42:X42)</f>
        <v>514</v>
      </c>
      <c r="Z42" s="561"/>
      <c r="AA42" s="561"/>
      <c r="AB42" s="561"/>
      <c r="AC42" s="561"/>
      <c r="AD42" s="561"/>
    </row>
    <row r="43" spans="1:30" ht="18" customHeight="1">
      <c r="A43" s="535" t="s">
        <v>194</v>
      </c>
      <c r="B43" s="536" t="s">
        <v>195</v>
      </c>
      <c r="C43" s="561"/>
      <c r="D43" s="561"/>
      <c r="E43" s="572"/>
      <c r="F43" s="573"/>
      <c r="G43" s="561"/>
      <c r="H43" s="561"/>
      <c r="I43" s="572"/>
      <c r="J43" s="573"/>
      <c r="K43" s="561"/>
      <c r="L43" s="561"/>
      <c r="M43" s="572"/>
      <c r="N43" s="573"/>
      <c r="O43" s="561"/>
      <c r="P43" s="561">
        <v>1</v>
      </c>
      <c r="Q43" s="572">
        <v>2</v>
      </c>
      <c r="R43" s="573"/>
      <c r="S43" s="561">
        <v>1</v>
      </c>
      <c r="T43" s="561">
        <v>4</v>
      </c>
      <c r="U43" s="572">
        <v>8</v>
      </c>
      <c r="V43" s="573">
        <v>6</v>
      </c>
      <c r="W43" s="572">
        <f t="shared" ref="W43:X60" si="8">+C43+E43+G43+I43+K43+M43+O43+Q43+S43+U43</f>
        <v>11</v>
      </c>
      <c r="X43" s="573">
        <f t="shared" si="8"/>
        <v>11</v>
      </c>
      <c r="Y43" s="573">
        <f>SUM(W43:X43)</f>
        <v>22</v>
      </c>
      <c r="Z43" s="561"/>
      <c r="AA43" s="561"/>
      <c r="AB43" s="561"/>
      <c r="AC43" s="561"/>
      <c r="AD43" s="561"/>
    </row>
    <row r="44" spans="1:30" ht="17.25" customHeight="1">
      <c r="A44" s="535" t="s">
        <v>655</v>
      </c>
      <c r="B44" s="536" t="s">
        <v>656</v>
      </c>
      <c r="E44" s="572"/>
      <c r="F44" s="573"/>
      <c r="G44" s="561"/>
      <c r="H44" s="561"/>
      <c r="I44" s="572"/>
      <c r="J44" s="573"/>
      <c r="K44" s="561"/>
      <c r="L44" s="561"/>
      <c r="M44" s="572">
        <v>3</v>
      </c>
      <c r="N44" s="573"/>
      <c r="O44" s="561">
        <v>4</v>
      </c>
      <c r="P44" s="561">
        <v>3</v>
      </c>
      <c r="Q44" s="572">
        <v>29</v>
      </c>
      <c r="R44" s="573">
        <v>27</v>
      </c>
      <c r="S44" s="561">
        <v>27</v>
      </c>
      <c r="T44" s="561">
        <v>36</v>
      </c>
      <c r="U44" s="572">
        <v>27</v>
      </c>
      <c r="V44" s="573">
        <v>30</v>
      </c>
      <c r="W44" s="572">
        <f t="shared" si="8"/>
        <v>90</v>
      </c>
      <c r="X44" s="573">
        <f t="shared" si="8"/>
        <v>96</v>
      </c>
      <c r="Y44" s="573">
        <f>SUM(W44:X44)</f>
        <v>186</v>
      </c>
      <c r="Z44" s="561"/>
      <c r="AA44" s="561"/>
      <c r="AB44" s="561"/>
      <c r="AC44" s="561"/>
      <c r="AD44" s="561"/>
    </row>
    <row r="45" spans="1:30" ht="17.25" customHeight="1">
      <c r="A45" s="535" t="s">
        <v>196</v>
      </c>
      <c r="B45" s="536" t="s">
        <v>197</v>
      </c>
      <c r="E45" s="572"/>
      <c r="F45" s="573"/>
      <c r="G45" s="561"/>
      <c r="H45" s="561"/>
      <c r="I45" s="572">
        <v>1</v>
      </c>
      <c r="J45" s="573"/>
      <c r="K45" s="561"/>
      <c r="L45" s="561"/>
      <c r="M45" s="572">
        <v>2</v>
      </c>
      <c r="N45" s="573">
        <v>4</v>
      </c>
      <c r="O45" s="561">
        <v>1</v>
      </c>
      <c r="P45" s="561">
        <v>1</v>
      </c>
      <c r="Q45" s="572">
        <v>1</v>
      </c>
      <c r="R45" s="573">
        <v>4</v>
      </c>
      <c r="S45" s="561">
        <v>3</v>
      </c>
      <c r="T45" s="561">
        <v>1</v>
      </c>
      <c r="U45" s="572"/>
      <c r="V45" s="573">
        <v>1</v>
      </c>
      <c r="W45" s="572">
        <f t="shared" si="8"/>
        <v>8</v>
      </c>
      <c r="X45" s="573">
        <f t="shared" si="8"/>
        <v>11</v>
      </c>
      <c r="Y45" s="573">
        <f>SUM(W45:X45)</f>
        <v>19</v>
      </c>
      <c r="Z45" s="561"/>
      <c r="AA45" s="561"/>
      <c r="AB45" s="561"/>
      <c r="AC45" s="561"/>
      <c r="AD45" s="561"/>
    </row>
    <row r="46" spans="1:30" ht="17.25" customHeight="1">
      <c r="A46" s="535" t="s">
        <v>198</v>
      </c>
      <c r="B46" s="536" t="s">
        <v>199</v>
      </c>
      <c r="E46" s="572"/>
      <c r="F46" s="573"/>
      <c r="G46" s="561"/>
      <c r="H46" s="561"/>
      <c r="I46" s="572">
        <v>1</v>
      </c>
      <c r="J46" s="573"/>
      <c r="K46" s="561"/>
      <c r="L46" s="561"/>
      <c r="M46" s="572"/>
      <c r="N46" s="573"/>
      <c r="O46" s="561"/>
      <c r="P46" s="561"/>
      <c r="Q46" s="572">
        <v>4</v>
      </c>
      <c r="R46" s="573">
        <v>7</v>
      </c>
      <c r="S46" s="561">
        <v>2</v>
      </c>
      <c r="T46" s="561">
        <v>8</v>
      </c>
      <c r="U46" s="572">
        <v>11</v>
      </c>
      <c r="V46" s="573">
        <v>6</v>
      </c>
      <c r="W46" s="572">
        <f t="shared" si="8"/>
        <v>18</v>
      </c>
      <c r="X46" s="573">
        <f t="shared" si="8"/>
        <v>21</v>
      </c>
      <c r="Y46" s="573">
        <f t="shared" ref="Y46:Y60" si="9">SUM(W46:X46)</f>
        <v>39</v>
      </c>
      <c r="Z46" s="561"/>
      <c r="AA46" s="561"/>
      <c r="AB46" s="561"/>
      <c r="AC46" s="561"/>
      <c r="AD46" s="561"/>
    </row>
    <row r="47" spans="1:30" ht="17.25" customHeight="1">
      <c r="A47" s="535" t="s">
        <v>200</v>
      </c>
      <c r="B47" s="536" t="s">
        <v>201</v>
      </c>
      <c r="E47" s="572"/>
      <c r="F47" s="573"/>
      <c r="G47" s="561"/>
      <c r="H47" s="561"/>
      <c r="I47" s="572">
        <v>1</v>
      </c>
      <c r="J47" s="573"/>
      <c r="K47" s="561"/>
      <c r="L47" s="561"/>
      <c r="M47" s="572"/>
      <c r="N47" s="573"/>
      <c r="O47" s="561"/>
      <c r="P47" s="561"/>
      <c r="Q47" s="572">
        <v>1</v>
      </c>
      <c r="R47" s="573"/>
      <c r="S47" s="561"/>
      <c r="T47" s="561">
        <v>4</v>
      </c>
      <c r="U47" s="572"/>
      <c r="V47" s="573"/>
      <c r="W47" s="572">
        <f t="shared" si="8"/>
        <v>2</v>
      </c>
      <c r="X47" s="573">
        <f t="shared" si="8"/>
        <v>4</v>
      </c>
      <c r="Y47" s="573">
        <f t="shared" si="9"/>
        <v>6</v>
      </c>
      <c r="Z47" s="561"/>
      <c r="AA47" s="561"/>
      <c r="AB47" s="561"/>
      <c r="AC47" s="561"/>
      <c r="AD47" s="561"/>
    </row>
    <row r="48" spans="1:30" ht="21" customHeight="1">
      <c r="A48" s="535" t="s">
        <v>638</v>
      </c>
      <c r="B48" s="536" t="s">
        <v>639</v>
      </c>
      <c r="E48" s="572"/>
      <c r="F48" s="573"/>
      <c r="G48" s="561"/>
      <c r="H48" s="561"/>
      <c r="I48" s="572"/>
      <c r="J48" s="573"/>
      <c r="K48" s="561"/>
      <c r="L48" s="561"/>
      <c r="M48" s="572"/>
      <c r="N48" s="573"/>
      <c r="O48" s="561"/>
      <c r="P48" s="561">
        <v>3</v>
      </c>
      <c r="Q48" s="572">
        <v>24</v>
      </c>
      <c r="R48" s="573">
        <v>31</v>
      </c>
      <c r="S48" s="561">
        <v>136</v>
      </c>
      <c r="T48" s="561">
        <v>70</v>
      </c>
      <c r="U48" s="572">
        <v>234</v>
      </c>
      <c r="V48" s="573">
        <v>198</v>
      </c>
      <c r="W48" s="572">
        <f t="shared" si="8"/>
        <v>394</v>
      </c>
      <c r="X48" s="573">
        <f t="shared" si="8"/>
        <v>302</v>
      </c>
      <c r="Y48" s="573">
        <f t="shared" si="9"/>
        <v>696</v>
      </c>
      <c r="Z48" s="561"/>
      <c r="AA48" s="561"/>
      <c r="AB48" s="561"/>
      <c r="AC48" s="561"/>
      <c r="AD48" s="561"/>
    </row>
    <row r="49" spans="1:30" ht="23.25" customHeight="1">
      <c r="A49" s="535" t="s">
        <v>642</v>
      </c>
      <c r="B49" s="536" t="s">
        <v>643</v>
      </c>
      <c r="E49" s="572"/>
      <c r="F49" s="573"/>
      <c r="G49" s="561">
        <v>27</v>
      </c>
      <c r="H49" s="561">
        <v>17</v>
      </c>
      <c r="I49" s="572">
        <v>33</v>
      </c>
      <c r="J49" s="573">
        <v>35</v>
      </c>
      <c r="K49" s="561">
        <v>15</v>
      </c>
      <c r="L49" s="561">
        <v>15</v>
      </c>
      <c r="M49" s="572">
        <v>2</v>
      </c>
      <c r="N49" s="573">
        <v>5</v>
      </c>
      <c r="O49" s="561">
        <v>3</v>
      </c>
      <c r="P49" s="561">
        <v>3</v>
      </c>
      <c r="Q49" s="572">
        <v>26</v>
      </c>
      <c r="R49" s="573">
        <v>14</v>
      </c>
      <c r="S49" s="561">
        <v>53</v>
      </c>
      <c r="T49" s="561">
        <v>36</v>
      </c>
      <c r="U49" s="572">
        <v>157</v>
      </c>
      <c r="V49" s="573">
        <v>164</v>
      </c>
      <c r="W49" s="572">
        <f t="shared" si="8"/>
        <v>316</v>
      </c>
      <c r="X49" s="573">
        <f t="shared" si="8"/>
        <v>289</v>
      </c>
      <c r="Y49" s="573">
        <f t="shared" si="9"/>
        <v>605</v>
      </c>
      <c r="Z49" s="561"/>
      <c r="AA49" s="561"/>
      <c r="AB49" s="561"/>
      <c r="AC49" s="561"/>
      <c r="AD49" s="561"/>
    </row>
    <row r="50" spans="1:30" ht="19.5" customHeight="1">
      <c r="A50" s="535" t="s">
        <v>647</v>
      </c>
      <c r="B50" s="536" t="s">
        <v>648</v>
      </c>
      <c r="E50" s="572"/>
      <c r="F50" s="573"/>
      <c r="G50" s="561"/>
      <c r="H50" s="561"/>
      <c r="I50" s="572"/>
      <c r="J50" s="573">
        <v>2</v>
      </c>
      <c r="K50" s="561"/>
      <c r="L50" s="561"/>
      <c r="M50" s="572"/>
      <c r="N50" s="573"/>
      <c r="O50" s="561">
        <v>27</v>
      </c>
      <c r="P50" s="561">
        <v>20</v>
      </c>
      <c r="Q50" s="572">
        <v>140</v>
      </c>
      <c r="R50" s="573">
        <v>203</v>
      </c>
      <c r="S50" s="561">
        <v>156</v>
      </c>
      <c r="T50" s="561">
        <v>197</v>
      </c>
      <c r="U50" s="572">
        <v>197</v>
      </c>
      <c r="V50" s="573">
        <v>208</v>
      </c>
      <c r="W50" s="572">
        <f t="shared" si="8"/>
        <v>520</v>
      </c>
      <c r="X50" s="573">
        <f t="shared" si="8"/>
        <v>630</v>
      </c>
      <c r="Y50" s="573">
        <f t="shared" si="9"/>
        <v>1150</v>
      </c>
      <c r="Z50" s="561"/>
      <c r="AA50" s="561"/>
      <c r="AB50" s="561"/>
      <c r="AC50" s="561"/>
      <c r="AD50" s="561"/>
    </row>
    <row r="51" spans="1:30" ht="18" customHeight="1">
      <c r="A51" s="535" t="s">
        <v>202</v>
      </c>
      <c r="B51" s="536" t="s">
        <v>203</v>
      </c>
      <c r="E51" s="572"/>
      <c r="F51" s="573"/>
      <c r="G51" s="561"/>
      <c r="H51" s="561"/>
      <c r="I51" s="572">
        <v>1</v>
      </c>
      <c r="J51" s="573"/>
      <c r="K51" s="561"/>
      <c r="L51" s="561"/>
      <c r="M51" s="572"/>
      <c r="N51" s="573">
        <v>1</v>
      </c>
      <c r="O51" s="561">
        <v>4</v>
      </c>
      <c r="P51" s="561">
        <v>1</v>
      </c>
      <c r="Q51" s="572">
        <v>11</v>
      </c>
      <c r="R51" s="573">
        <v>17</v>
      </c>
      <c r="S51" s="561">
        <v>8</v>
      </c>
      <c r="T51" s="561">
        <v>9</v>
      </c>
      <c r="U51" s="572">
        <v>13</v>
      </c>
      <c r="V51" s="573">
        <v>17</v>
      </c>
      <c r="W51" s="572">
        <f t="shared" si="8"/>
        <v>37</v>
      </c>
      <c r="X51" s="573">
        <f t="shared" si="8"/>
        <v>45</v>
      </c>
      <c r="Y51" s="573">
        <f t="shared" si="9"/>
        <v>82</v>
      </c>
      <c r="Z51" s="561"/>
      <c r="AA51" s="561"/>
      <c r="AB51" s="561"/>
      <c r="AC51" s="561"/>
      <c r="AD51" s="561"/>
    </row>
    <row r="52" spans="1:30" ht="19.5" customHeight="1">
      <c r="A52" s="535" t="s">
        <v>204</v>
      </c>
      <c r="B52" s="536" t="s">
        <v>205</v>
      </c>
      <c r="E52" s="572"/>
      <c r="F52" s="573"/>
      <c r="G52" s="561">
        <v>2</v>
      </c>
      <c r="H52" s="561"/>
      <c r="I52" s="572">
        <v>1</v>
      </c>
      <c r="J52" s="573">
        <v>1</v>
      </c>
      <c r="K52" s="561">
        <v>1</v>
      </c>
      <c r="L52" s="561">
        <v>1</v>
      </c>
      <c r="M52" s="572">
        <v>8</v>
      </c>
      <c r="N52" s="573">
        <v>2</v>
      </c>
      <c r="O52" s="561">
        <v>9</v>
      </c>
      <c r="P52" s="561">
        <v>12</v>
      </c>
      <c r="Q52" s="572">
        <v>51</v>
      </c>
      <c r="R52" s="573">
        <v>56</v>
      </c>
      <c r="S52" s="561">
        <v>84</v>
      </c>
      <c r="T52" s="561">
        <v>136</v>
      </c>
      <c r="U52" s="572">
        <v>93</v>
      </c>
      <c r="V52" s="573">
        <v>111</v>
      </c>
      <c r="W52" s="572">
        <f t="shared" si="8"/>
        <v>249</v>
      </c>
      <c r="X52" s="573">
        <f t="shared" si="8"/>
        <v>319</v>
      </c>
      <c r="Y52" s="573">
        <f t="shared" si="9"/>
        <v>568</v>
      </c>
      <c r="Z52" s="561"/>
      <c r="AA52" s="561"/>
      <c r="AB52" s="561"/>
      <c r="AC52" s="561"/>
      <c r="AD52" s="561"/>
    </row>
    <row r="53" spans="1:30" ht="18.75" customHeight="1">
      <c r="A53" s="535" t="s">
        <v>649</v>
      </c>
      <c r="B53" s="536" t="s">
        <v>650</v>
      </c>
      <c r="E53" s="572"/>
      <c r="F53" s="573"/>
      <c r="G53" s="561">
        <v>1</v>
      </c>
      <c r="H53" s="561">
        <v>5</v>
      </c>
      <c r="I53" s="572"/>
      <c r="J53" s="573">
        <v>4</v>
      </c>
      <c r="K53" s="561"/>
      <c r="L53" s="561">
        <v>3</v>
      </c>
      <c r="M53" s="572">
        <v>3</v>
      </c>
      <c r="N53" s="573">
        <v>2</v>
      </c>
      <c r="O53" s="561">
        <v>5</v>
      </c>
      <c r="P53" s="561">
        <v>22</v>
      </c>
      <c r="Q53" s="572">
        <v>52</v>
      </c>
      <c r="R53" s="573">
        <v>184</v>
      </c>
      <c r="S53" s="561">
        <v>144</v>
      </c>
      <c r="T53" s="561">
        <v>194</v>
      </c>
      <c r="U53" s="572">
        <v>217</v>
      </c>
      <c r="V53" s="573">
        <v>140</v>
      </c>
      <c r="W53" s="572">
        <f t="shared" si="8"/>
        <v>422</v>
      </c>
      <c r="X53" s="573">
        <f t="shared" si="8"/>
        <v>554</v>
      </c>
      <c r="Y53" s="573">
        <f t="shared" si="9"/>
        <v>976</v>
      </c>
      <c r="Z53" s="561"/>
      <c r="AA53" s="561"/>
      <c r="AB53" s="561"/>
      <c r="AC53" s="561"/>
      <c r="AD53" s="561"/>
    </row>
    <row r="54" spans="1:30" ht="18.75" customHeight="1">
      <c r="A54" s="535" t="s">
        <v>206</v>
      </c>
      <c r="B54" s="536" t="s">
        <v>207</v>
      </c>
      <c r="E54" s="572"/>
      <c r="F54" s="573"/>
      <c r="G54" s="606"/>
      <c r="H54" s="606"/>
      <c r="I54" s="1225"/>
      <c r="J54" s="1226"/>
      <c r="K54" s="606"/>
      <c r="L54" s="606"/>
      <c r="M54" s="572"/>
      <c r="N54" s="573">
        <v>1</v>
      </c>
      <c r="O54" s="606"/>
      <c r="P54" s="561">
        <v>61</v>
      </c>
      <c r="Q54" s="812"/>
      <c r="R54" s="573">
        <v>1039</v>
      </c>
      <c r="S54" s="561"/>
      <c r="T54" s="561">
        <v>4</v>
      </c>
      <c r="U54" s="1225"/>
      <c r="V54" s="1226"/>
      <c r="W54" s="572">
        <f t="shared" si="8"/>
        <v>0</v>
      </c>
      <c r="X54" s="573">
        <f t="shared" si="8"/>
        <v>1105</v>
      </c>
      <c r="Y54" s="573">
        <f t="shared" si="9"/>
        <v>1105</v>
      </c>
      <c r="Z54" s="561"/>
      <c r="AA54" s="561"/>
      <c r="AB54" s="561"/>
      <c r="AC54" s="561"/>
      <c r="AD54" s="561"/>
    </row>
    <row r="55" spans="1:30" ht="18" customHeight="1">
      <c r="A55" s="535" t="s">
        <v>657</v>
      </c>
      <c r="B55" s="536" t="s">
        <v>658</v>
      </c>
      <c r="C55" s="561">
        <v>39</v>
      </c>
      <c r="D55" s="561">
        <v>36</v>
      </c>
      <c r="E55" s="572">
        <v>35</v>
      </c>
      <c r="F55" s="573">
        <v>27</v>
      </c>
      <c r="G55" s="606">
        <v>1</v>
      </c>
      <c r="H55" s="606"/>
      <c r="I55" s="1225">
        <v>1</v>
      </c>
      <c r="J55" s="1226"/>
      <c r="K55" s="606"/>
      <c r="L55" s="606"/>
      <c r="M55" s="1225"/>
      <c r="N55" s="1226"/>
      <c r="O55" s="1229"/>
      <c r="P55" s="1229"/>
      <c r="Q55" s="1225"/>
      <c r="R55" s="1226"/>
      <c r="S55" s="1229"/>
      <c r="T55" s="1229"/>
      <c r="U55" s="1225"/>
      <c r="V55" s="1226"/>
      <c r="W55" s="572">
        <f t="shared" si="8"/>
        <v>76</v>
      </c>
      <c r="X55" s="573">
        <f t="shared" si="8"/>
        <v>63</v>
      </c>
      <c r="Y55" s="573">
        <f t="shared" si="9"/>
        <v>139</v>
      </c>
      <c r="Z55" s="606"/>
      <c r="AA55" s="606"/>
      <c r="AB55" s="606"/>
      <c r="AC55" s="606"/>
      <c r="AD55" s="606"/>
    </row>
    <row r="56" spans="1:30" ht="20.25" customHeight="1">
      <c r="A56" s="535" t="s">
        <v>659</v>
      </c>
      <c r="B56" s="536" t="s">
        <v>660</v>
      </c>
      <c r="C56" s="561">
        <v>2</v>
      </c>
      <c r="D56" s="561"/>
      <c r="E56" s="572"/>
      <c r="F56" s="573"/>
      <c r="G56" s="561">
        <v>1</v>
      </c>
      <c r="H56" s="561">
        <v>1</v>
      </c>
      <c r="I56" s="572"/>
      <c r="J56" s="573"/>
      <c r="K56" s="561">
        <v>1</v>
      </c>
      <c r="L56" s="561">
        <v>2</v>
      </c>
      <c r="M56" s="572"/>
      <c r="N56" s="573"/>
      <c r="O56" s="561"/>
      <c r="P56" s="561"/>
      <c r="Q56" s="572"/>
      <c r="R56" s="573">
        <v>4</v>
      </c>
      <c r="S56" s="561">
        <v>2</v>
      </c>
      <c r="T56" s="561"/>
      <c r="U56" s="572"/>
      <c r="V56" s="573"/>
      <c r="W56" s="572">
        <f t="shared" si="8"/>
        <v>6</v>
      </c>
      <c r="X56" s="573">
        <f t="shared" si="8"/>
        <v>7</v>
      </c>
      <c r="Y56" s="573">
        <f t="shared" si="9"/>
        <v>13</v>
      </c>
      <c r="Z56" s="561"/>
      <c r="AA56" s="561"/>
      <c r="AB56" s="561"/>
      <c r="AC56" s="561"/>
      <c r="AD56" s="561"/>
    </row>
    <row r="57" spans="1:30" ht="19.5" customHeight="1">
      <c r="A57" s="535" t="s">
        <v>653</v>
      </c>
      <c r="B57" s="536" t="s">
        <v>673</v>
      </c>
      <c r="C57" s="561"/>
      <c r="D57" s="561"/>
      <c r="E57" s="572"/>
      <c r="F57" s="573"/>
      <c r="G57" s="561"/>
      <c r="H57" s="561"/>
      <c r="I57" s="572">
        <v>1</v>
      </c>
      <c r="J57" s="573"/>
      <c r="K57" s="561">
        <v>1</v>
      </c>
      <c r="L57" s="561"/>
      <c r="M57" s="572"/>
      <c r="N57" s="573">
        <v>1</v>
      </c>
      <c r="O57" s="561">
        <v>1</v>
      </c>
      <c r="P57" s="561">
        <v>1</v>
      </c>
      <c r="Q57" s="572">
        <v>4</v>
      </c>
      <c r="R57" s="573">
        <v>3</v>
      </c>
      <c r="S57" s="561">
        <v>8</v>
      </c>
      <c r="T57" s="561">
        <v>9</v>
      </c>
      <c r="U57" s="572">
        <v>12</v>
      </c>
      <c r="V57" s="573">
        <v>8</v>
      </c>
      <c r="W57" s="572">
        <f t="shared" si="8"/>
        <v>27</v>
      </c>
      <c r="X57" s="573">
        <f t="shared" si="8"/>
        <v>22</v>
      </c>
      <c r="Y57" s="573">
        <f t="shared" si="9"/>
        <v>49</v>
      </c>
      <c r="Z57" s="561"/>
      <c r="AA57" s="561"/>
      <c r="AB57" s="561"/>
      <c r="AC57" s="561"/>
      <c r="AD57" s="561"/>
    </row>
    <row r="58" spans="1:30" ht="19.5" customHeight="1">
      <c r="A58" s="535" t="s">
        <v>645</v>
      </c>
      <c r="B58" s="539" t="s">
        <v>208</v>
      </c>
      <c r="C58" s="561"/>
      <c r="D58" s="561">
        <v>2</v>
      </c>
      <c r="E58" s="572">
        <v>1</v>
      </c>
      <c r="F58" s="573">
        <v>0</v>
      </c>
      <c r="G58" s="561">
        <v>0</v>
      </c>
      <c r="H58" s="561">
        <v>0</v>
      </c>
      <c r="I58" s="572">
        <v>12</v>
      </c>
      <c r="J58" s="573">
        <v>13</v>
      </c>
      <c r="K58" s="561">
        <v>43</v>
      </c>
      <c r="L58" s="561">
        <v>17</v>
      </c>
      <c r="M58" s="572">
        <v>60</v>
      </c>
      <c r="N58" s="573">
        <v>13</v>
      </c>
      <c r="O58" s="561">
        <v>53</v>
      </c>
      <c r="P58" s="561">
        <v>21</v>
      </c>
      <c r="Q58" s="572">
        <v>347</v>
      </c>
      <c r="R58" s="573">
        <v>161</v>
      </c>
      <c r="S58" s="561">
        <v>190</v>
      </c>
      <c r="T58" s="561">
        <v>167</v>
      </c>
      <c r="U58" s="572">
        <v>127</v>
      </c>
      <c r="V58" s="573">
        <v>234</v>
      </c>
      <c r="W58" s="572">
        <f>+C58+E58+G58+I58+K58+M58+O58+Q58+S58+U58</f>
        <v>833</v>
      </c>
      <c r="X58" s="573">
        <f>+D58+F58+H58+J58+L58+N58+P58+R58+T58+V58</f>
        <v>628</v>
      </c>
      <c r="Y58" s="573">
        <f>SUM(W58:X58)</f>
        <v>1461</v>
      </c>
      <c r="Z58" s="561"/>
      <c r="AA58" s="561"/>
      <c r="AB58" s="561"/>
      <c r="AC58" s="561"/>
      <c r="AD58" s="561"/>
    </row>
    <row r="59" spans="1:30" ht="19.5" customHeight="1">
      <c r="A59" s="181" t="s">
        <v>1437</v>
      </c>
      <c r="B59" s="211" t="s">
        <v>1439</v>
      </c>
      <c r="C59" s="561"/>
      <c r="D59" s="561"/>
      <c r="E59" s="572"/>
      <c r="F59" s="573"/>
      <c r="G59" s="561"/>
      <c r="H59" s="561"/>
      <c r="I59" s="572"/>
      <c r="J59" s="573">
        <v>2</v>
      </c>
      <c r="K59" s="561"/>
      <c r="L59" s="561"/>
      <c r="M59" s="572"/>
      <c r="N59" s="573"/>
      <c r="O59" s="561"/>
      <c r="P59" s="561">
        <v>1</v>
      </c>
      <c r="Q59" s="572">
        <v>2</v>
      </c>
      <c r="R59" s="573">
        <v>2</v>
      </c>
      <c r="S59" s="561">
        <v>6</v>
      </c>
      <c r="T59" s="561">
        <v>5</v>
      </c>
      <c r="U59" s="572">
        <v>13</v>
      </c>
      <c r="V59" s="573">
        <v>18</v>
      </c>
      <c r="W59" s="572">
        <f>+C59+E59+G59+I59+K59+M59+O59+Q59+S59+U59</f>
        <v>21</v>
      </c>
      <c r="X59" s="573">
        <f>+D59+F59+H59+J59+L59+N59+P59+R59+T59+V59</f>
        <v>28</v>
      </c>
      <c r="Y59" s="573">
        <f>SUM(W59:X59)</f>
        <v>49</v>
      </c>
      <c r="Z59" s="561"/>
      <c r="AA59" s="561"/>
      <c r="AB59" s="561"/>
      <c r="AC59" s="561"/>
      <c r="AD59" s="561"/>
    </row>
    <row r="60" spans="1:30" ht="27.75" customHeight="1">
      <c r="A60" s="181" t="s">
        <v>1438</v>
      </c>
      <c r="B60" s="211" t="s">
        <v>1440</v>
      </c>
      <c r="C60" s="561"/>
      <c r="D60" s="561"/>
      <c r="E60" s="572"/>
      <c r="F60" s="573"/>
      <c r="G60" s="561"/>
      <c r="H60" s="561"/>
      <c r="I60" s="572"/>
      <c r="J60" s="573"/>
      <c r="K60" s="561"/>
      <c r="L60" s="561"/>
      <c r="M60" s="572"/>
      <c r="N60" s="573"/>
      <c r="O60" s="561"/>
      <c r="P60" s="561"/>
      <c r="Q60" s="572"/>
      <c r="R60" s="573"/>
      <c r="S60" s="561"/>
      <c r="T60" s="561"/>
      <c r="U60" s="572"/>
      <c r="V60" s="573"/>
      <c r="W60" s="572">
        <f t="shared" si="8"/>
        <v>0</v>
      </c>
      <c r="X60" s="573">
        <f t="shared" si="8"/>
        <v>0</v>
      </c>
      <c r="Y60" s="573">
        <f t="shared" si="9"/>
        <v>0</v>
      </c>
      <c r="Z60" s="561"/>
      <c r="AA60" s="561"/>
      <c r="AB60" s="561"/>
      <c r="AC60" s="561"/>
      <c r="AD60" s="561"/>
    </row>
    <row r="61" spans="1:30" ht="19.5" customHeight="1">
      <c r="A61" s="540"/>
      <c r="B61" s="540" t="s">
        <v>767</v>
      </c>
      <c r="C61" s="1219">
        <f>SUM(C41:C60)</f>
        <v>41</v>
      </c>
      <c r="D61" s="1220">
        <f>SUM(D41:D60)</f>
        <v>38</v>
      </c>
      <c r="E61" s="1219">
        <f>SUM(E41:E60)</f>
        <v>36</v>
      </c>
      <c r="F61" s="1221">
        <f t="shared" ref="F61:X61" si="10">SUM(F41:F60)</f>
        <v>27</v>
      </c>
      <c r="G61" s="1220">
        <f t="shared" si="10"/>
        <v>43</v>
      </c>
      <c r="H61" s="1220">
        <f t="shared" si="10"/>
        <v>24</v>
      </c>
      <c r="I61" s="1219">
        <f t="shared" si="10"/>
        <v>71</v>
      </c>
      <c r="J61" s="1221">
        <f t="shared" si="10"/>
        <v>74</v>
      </c>
      <c r="K61" s="1220">
        <f t="shared" si="10"/>
        <v>63</v>
      </c>
      <c r="L61" s="1220">
        <f t="shared" si="10"/>
        <v>39</v>
      </c>
      <c r="M61" s="1219">
        <f t="shared" si="10"/>
        <v>78</v>
      </c>
      <c r="N61" s="1221">
        <f t="shared" si="10"/>
        <v>29</v>
      </c>
      <c r="O61" s="1220">
        <f t="shared" si="10"/>
        <v>109</v>
      </c>
      <c r="P61" s="1220">
        <f t="shared" si="10"/>
        <v>155</v>
      </c>
      <c r="Q61" s="1219">
        <f t="shared" si="10"/>
        <v>726</v>
      </c>
      <c r="R61" s="1221">
        <f t="shared" si="10"/>
        <v>1834</v>
      </c>
      <c r="S61" s="1220">
        <f t="shared" si="10"/>
        <v>894</v>
      </c>
      <c r="T61" s="1220">
        <f t="shared" si="10"/>
        <v>1043</v>
      </c>
      <c r="U61" s="1219">
        <f t="shared" si="10"/>
        <v>1277</v>
      </c>
      <c r="V61" s="1221">
        <f t="shared" si="10"/>
        <v>1266</v>
      </c>
      <c r="W61" s="1219">
        <f t="shared" si="10"/>
        <v>3338</v>
      </c>
      <c r="X61" s="1221">
        <f t="shared" si="10"/>
        <v>4529</v>
      </c>
      <c r="Y61" s="1222">
        <f>SUM(Y41:Y60)</f>
        <v>7867</v>
      </c>
      <c r="Z61" s="561"/>
      <c r="AA61" s="561"/>
      <c r="AB61" s="561"/>
      <c r="AC61" s="561"/>
      <c r="AD61" s="561"/>
    </row>
    <row r="62" spans="1:30">
      <c r="E62" s="561"/>
      <c r="F62" s="561"/>
      <c r="G62" s="561"/>
      <c r="H62" s="561"/>
      <c r="I62" s="561"/>
      <c r="J62" s="561"/>
      <c r="K62" s="561"/>
      <c r="L62" s="561"/>
      <c r="M62" s="561"/>
      <c r="N62" s="561"/>
      <c r="O62" s="561"/>
      <c r="P62" s="561"/>
      <c r="Q62" s="561"/>
      <c r="R62" s="561"/>
      <c r="S62" s="561"/>
      <c r="T62" s="561"/>
      <c r="U62" s="561"/>
      <c r="V62" s="561"/>
      <c r="W62" s="620"/>
      <c r="X62" s="620"/>
      <c r="Y62" s="561"/>
      <c r="Z62" s="561"/>
      <c r="AA62" s="561"/>
      <c r="AB62" s="561"/>
      <c r="AC62" s="561"/>
      <c r="AD62" s="561"/>
    </row>
    <row r="63" spans="1:30">
      <c r="E63" s="561"/>
      <c r="F63" s="561"/>
      <c r="G63" s="561"/>
      <c r="H63" s="561"/>
      <c r="I63" s="561"/>
      <c r="J63" s="561"/>
      <c r="K63" s="561"/>
      <c r="L63" s="561"/>
      <c r="M63" s="561"/>
      <c r="N63" s="561"/>
      <c r="O63" s="561"/>
      <c r="P63" s="561"/>
      <c r="Q63" s="561"/>
      <c r="R63" s="561"/>
      <c r="S63" s="561"/>
      <c r="T63" s="561"/>
      <c r="U63" s="561"/>
      <c r="V63" s="561"/>
      <c r="W63" s="561"/>
      <c r="X63" s="561"/>
      <c r="Y63" s="561"/>
      <c r="Z63" s="561"/>
      <c r="AA63" s="561"/>
      <c r="AB63" s="561"/>
      <c r="AC63" s="561"/>
      <c r="AD63" s="561"/>
    </row>
    <row r="64" spans="1:30">
      <c r="E64" s="561"/>
      <c r="F64" s="561"/>
      <c r="G64" s="561"/>
      <c r="H64" s="561"/>
      <c r="I64" s="561"/>
      <c r="J64" s="561"/>
      <c r="K64" s="561"/>
      <c r="L64" s="561"/>
      <c r="M64" s="561"/>
      <c r="N64" s="561"/>
      <c r="O64" s="561"/>
      <c r="P64" s="561"/>
      <c r="Q64" s="561"/>
      <c r="R64" s="561"/>
      <c r="S64" s="561"/>
      <c r="T64" s="561"/>
      <c r="U64" s="561"/>
      <c r="V64" s="561"/>
      <c r="W64" s="561"/>
      <c r="X64" s="561"/>
      <c r="Y64" s="561"/>
      <c r="Z64" s="561"/>
      <c r="AA64" s="561"/>
      <c r="AB64" s="561"/>
      <c r="AC64" s="561"/>
      <c r="AD64" s="561"/>
    </row>
    <row r="65" spans="5:30">
      <c r="E65" s="561"/>
      <c r="F65" s="561"/>
      <c r="G65" s="561"/>
      <c r="H65" s="561"/>
      <c r="I65" s="561"/>
      <c r="J65" s="561"/>
      <c r="K65" s="561"/>
      <c r="L65" s="561"/>
      <c r="M65" s="561"/>
      <c r="N65" s="561"/>
      <c r="O65" s="561"/>
      <c r="P65" s="561"/>
      <c r="Q65" s="561"/>
      <c r="R65" s="561"/>
      <c r="S65" s="561"/>
      <c r="T65" s="561"/>
      <c r="U65" s="561"/>
      <c r="V65" s="561"/>
      <c r="W65" s="561"/>
      <c r="X65" s="561"/>
      <c r="Y65" s="561"/>
      <c r="Z65" s="561"/>
      <c r="AA65" s="561"/>
      <c r="AB65" s="561"/>
      <c r="AC65" s="561"/>
      <c r="AD65" s="561"/>
    </row>
    <row r="66" spans="5:30">
      <c r="E66" s="561"/>
      <c r="F66" s="561"/>
      <c r="G66" s="561"/>
      <c r="H66" s="561"/>
      <c r="I66" s="561"/>
      <c r="J66" s="561"/>
      <c r="K66" s="561"/>
      <c r="L66" s="561"/>
      <c r="M66" s="561"/>
      <c r="N66" s="561"/>
      <c r="O66" s="561"/>
      <c r="P66" s="561"/>
      <c r="Q66" s="561"/>
      <c r="R66" s="561"/>
      <c r="S66" s="561"/>
      <c r="T66" s="561"/>
      <c r="U66" s="561"/>
      <c r="V66" s="561"/>
      <c r="W66" s="620"/>
      <c r="X66" s="620"/>
      <c r="Y66" s="620"/>
      <c r="Z66" s="561"/>
      <c r="AA66" s="561"/>
      <c r="AB66" s="561"/>
      <c r="AC66" s="561"/>
      <c r="AD66" s="561"/>
    </row>
    <row r="67" spans="5:30">
      <c r="E67" s="561"/>
      <c r="F67" s="561"/>
      <c r="G67" s="561"/>
      <c r="H67" s="561"/>
      <c r="I67" s="561"/>
      <c r="J67" s="561"/>
      <c r="K67" s="561"/>
      <c r="L67" s="561"/>
      <c r="M67" s="561"/>
      <c r="N67" s="561"/>
      <c r="O67" s="561"/>
      <c r="P67" s="561"/>
      <c r="Q67" s="561"/>
      <c r="R67" s="561"/>
      <c r="S67" s="561"/>
      <c r="T67" s="561"/>
      <c r="U67" s="561"/>
      <c r="V67" s="561"/>
      <c r="W67" s="561"/>
      <c r="X67" s="561"/>
      <c r="Y67" s="561"/>
      <c r="Z67" s="561"/>
      <c r="AA67" s="561"/>
      <c r="AB67" s="561"/>
      <c r="AC67" s="561"/>
      <c r="AD67" s="561"/>
    </row>
    <row r="68" spans="5:30">
      <c r="E68" s="561"/>
      <c r="F68" s="561"/>
      <c r="G68" s="561"/>
      <c r="H68" s="561"/>
      <c r="I68" s="561"/>
      <c r="J68" s="561"/>
      <c r="K68" s="561"/>
      <c r="L68" s="561"/>
      <c r="M68" s="561"/>
      <c r="N68" s="561"/>
      <c r="O68" s="561"/>
      <c r="P68" s="561"/>
      <c r="Q68" s="561"/>
      <c r="R68" s="561"/>
      <c r="S68" s="561"/>
      <c r="T68" s="561"/>
      <c r="U68" s="561"/>
      <c r="V68" s="561"/>
      <c r="W68" s="561"/>
      <c r="X68" s="561"/>
      <c r="Y68" s="561"/>
      <c r="Z68" s="561"/>
      <c r="AA68" s="561"/>
      <c r="AB68" s="561"/>
      <c r="AC68" s="561"/>
      <c r="AD68" s="561"/>
    </row>
    <row r="69" spans="5:30">
      <c r="E69" s="561"/>
      <c r="F69" s="561"/>
      <c r="G69" s="561"/>
      <c r="H69" s="561"/>
      <c r="I69" s="561"/>
      <c r="J69" s="561"/>
      <c r="K69" s="561"/>
      <c r="L69" s="561"/>
      <c r="M69" s="561"/>
      <c r="N69" s="561"/>
      <c r="O69" s="561"/>
      <c r="P69" s="561"/>
      <c r="Q69" s="561"/>
      <c r="R69" s="561"/>
      <c r="S69" s="561"/>
      <c r="T69" s="561"/>
      <c r="U69" s="561"/>
      <c r="V69" s="561"/>
      <c r="W69" s="561"/>
      <c r="X69" s="561"/>
      <c r="Y69" s="561"/>
      <c r="Z69" s="561"/>
      <c r="AA69" s="561"/>
      <c r="AB69" s="561"/>
      <c r="AC69" s="561"/>
      <c r="AD69" s="561"/>
    </row>
    <row r="70" spans="5:30">
      <c r="E70" s="561"/>
      <c r="F70" s="561"/>
      <c r="G70" s="561"/>
      <c r="H70" s="561"/>
      <c r="I70" s="561"/>
      <c r="J70" s="561"/>
      <c r="K70" s="561"/>
      <c r="L70" s="561"/>
      <c r="M70" s="561"/>
      <c r="N70" s="561"/>
      <c r="O70" s="561"/>
      <c r="P70" s="561"/>
      <c r="Q70" s="561"/>
      <c r="R70" s="561"/>
      <c r="S70" s="561"/>
      <c r="T70" s="561"/>
      <c r="U70" s="561"/>
      <c r="V70" s="561"/>
      <c r="W70" s="561"/>
      <c r="X70" s="561"/>
      <c r="Y70" s="561"/>
      <c r="Z70" s="561"/>
      <c r="AA70" s="561"/>
      <c r="AB70" s="561"/>
      <c r="AC70" s="561"/>
      <c r="AD70" s="561"/>
    </row>
    <row r="71" spans="5:30">
      <c r="E71" s="561"/>
      <c r="F71" s="561"/>
      <c r="G71" s="561"/>
      <c r="H71" s="561"/>
      <c r="I71" s="561"/>
      <c r="J71" s="561"/>
      <c r="K71" s="561"/>
      <c r="L71" s="561"/>
      <c r="M71" s="561"/>
      <c r="N71" s="561"/>
      <c r="O71" s="561"/>
      <c r="P71" s="561"/>
      <c r="Q71" s="561"/>
      <c r="R71" s="561"/>
      <c r="S71" s="561"/>
      <c r="T71" s="561"/>
      <c r="U71" s="561"/>
      <c r="V71" s="561"/>
      <c r="W71" s="561"/>
      <c r="X71" s="561"/>
      <c r="Y71" s="561"/>
      <c r="Z71" s="561"/>
      <c r="AA71" s="561"/>
      <c r="AB71" s="561"/>
      <c r="AC71" s="561"/>
      <c r="AD71" s="561"/>
    </row>
    <row r="72" spans="5:30">
      <c r="E72" s="561"/>
      <c r="F72" s="561"/>
      <c r="G72" s="561"/>
      <c r="H72" s="561"/>
      <c r="I72" s="561"/>
      <c r="J72" s="561"/>
      <c r="K72" s="561"/>
      <c r="L72" s="561"/>
      <c r="M72" s="561"/>
      <c r="N72" s="561"/>
      <c r="O72" s="561"/>
      <c r="P72" s="561"/>
      <c r="Q72" s="561"/>
      <c r="R72" s="561"/>
      <c r="S72" s="561"/>
      <c r="T72" s="561"/>
      <c r="U72" s="561"/>
      <c r="V72" s="561"/>
      <c r="W72" s="561"/>
      <c r="X72" s="561"/>
      <c r="Y72" s="561"/>
      <c r="Z72" s="561"/>
      <c r="AA72" s="561"/>
      <c r="AB72" s="561"/>
      <c r="AC72" s="561"/>
      <c r="AD72" s="561"/>
    </row>
    <row r="73" spans="5:30">
      <c r="E73" s="561"/>
      <c r="F73" s="561"/>
      <c r="G73" s="561"/>
      <c r="H73" s="561"/>
      <c r="I73" s="561"/>
      <c r="J73" s="561"/>
      <c r="K73" s="561"/>
      <c r="L73" s="561"/>
      <c r="M73" s="561"/>
      <c r="N73" s="561"/>
      <c r="O73" s="561"/>
      <c r="P73" s="561"/>
      <c r="Q73" s="561"/>
      <c r="R73" s="561"/>
      <c r="S73" s="561"/>
      <c r="T73" s="561"/>
      <c r="U73" s="561"/>
      <c r="V73" s="561"/>
      <c r="W73" s="561"/>
      <c r="X73" s="561"/>
      <c r="Y73" s="561"/>
      <c r="Z73" s="561"/>
      <c r="AA73" s="561"/>
      <c r="AB73" s="561"/>
      <c r="AC73" s="561"/>
      <c r="AD73" s="561"/>
    </row>
    <row r="74" spans="5:30">
      <c r="E74" s="561"/>
      <c r="F74" s="561"/>
      <c r="G74" s="561"/>
      <c r="H74" s="561"/>
      <c r="I74" s="561"/>
      <c r="J74" s="561"/>
      <c r="K74" s="561"/>
      <c r="L74" s="561"/>
      <c r="M74" s="561"/>
      <c r="N74" s="561"/>
      <c r="O74" s="561"/>
      <c r="P74" s="561"/>
      <c r="Q74" s="561"/>
      <c r="R74" s="561"/>
      <c r="S74" s="561"/>
      <c r="T74" s="561"/>
      <c r="U74" s="561"/>
      <c r="V74" s="561"/>
      <c r="W74" s="561"/>
      <c r="X74" s="561"/>
      <c r="Y74" s="561"/>
      <c r="Z74" s="561"/>
      <c r="AA74" s="561"/>
      <c r="AB74" s="561"/>
      <c r="AC74" s="561"/>
      <c r="AD74" s="561"/>
    </row>
    <row r="75" spans="5:30">
      <c r="E75" s="561"/>
      <c r="F75" s="561"/>
      <c r="G75" s="561"/>
      <c r="H75" s="561"/>
      <c r="I75" s="561"/>
      <c r="J75" s="561"/>
      <c r="K75" s="561"/>
      <c r="L75" s="561"/>
      <c r="M75" s="561"/>
      <c r="N75" s="561"/>
      <c r="O75" s="561"/>
      <c r="P75" s="561"/>
      <c r="Q75" s="561"/>
      <c r="R75" s="561"/>
      <c r="S75" s="561"/>
      <c r="T75" s="561"/>
      <c r="U75" s="561"/>
      <c r="V75" s="561"/>
      <c r="W75" s="561"/>
      <c r="X75" s="561"/>
      <c r="Y75" s="561"/>
      <c r="Z75" s="561"/>
      <c r="AA75" s="561"/>
      <c r="AB75" s="561"/>
      <c r="AC75" s="561"/>
      <c r="AD75" s="561"/>
    </row>
    <row r="76" spans="5:30">
      <c r="E76" s="561"/>
      <c r="F76" s="561"/>
      <c r="G76" s="561"/>
      <c r="H76" s="561"/>
      <c r="I76" s="561"/>
      <c r="J76" s="561"/>
      <c r="K76" s="561"/>
      <c r="L76" s="561"/>
      <c r="M76" s="561"/>
      <c r="N76" s="561"/>
      <c r="O76" s="561"/>
      <c r="P76" s="561"/>
      <c r="Q76" s="561"/>
      <c r="R76" s="561"/>
      <c r="S76" s="561"/>
      <c r="T76" s="561"/>
      <c r="U76" s="561"/>
      <c r="V76" s="561"/>
      <c r="W76" s="561"/>
      <c r="X76" s="561"/>
      <c r="Y76" s="561"/>
      <c r="Z76" s="561"/>
      <c r="AA76" s="561"/>
      <c r="AB76" s="561"/>
      <c r="AC76" s="561"/>
      <c r="AD76" s="561"/>
    </row>
    <row r="77" spans="5:30">
      <c r="E77" s="561"/>
      <c r="F77" s="561"/>
      <c r="G77" s="561"/>
      <c r="H77" s="561"/>
      <c r="I77" s="561"/>
      <c r="J77" s="561"/>
      <c r="K77" s="561"/>
      <c r="L77" s="561"/>
      <c r="M77" s="561"/>
      <c r="N77" s="561"/>
      <c r="O77" s="561"/>
      <c r="P77" s="561"/>
      <c r="Q77" s="561"/>
      <c r="R77" s="561"/>
      <c r="S77" s="561"/>
      <c r="T77" s="561"/>
      <c r="U77" s="561"/>
      <c r="V77" s="561"/>
      <c r="W77" s="561"/>
      <c r="X77" s="561"/>
      <c r="Y77" s="561"/>
      <c r="Z77" s="561"/>
      <c r="AA77" s="561"/>
      <c r="AB77" s="561"/>
      <c r="AC77" s="561"/>
      <c r="AD77" s="561"/>
    </row>
    <row r="78" spans="5:30">
      <c r="E78" s="561"/>
      <c r="F78" s="561"/>
      <c r="G78" s="561"/>
      <c r="H78" s="561"/>
      <c r="I78" s="561"/>
      <c r="J78" s="561"/>
      <c r="K78" s="561"/>
      <c r="L78" s="561"/>
      <c r="M78" s="561"/>
      <c r="N78" s="561"/>
      <c r="O78" s="561"/>
      <c r="P78" s="561"/>
      <c r="Q78" s="561"/>
      <c r="R78" s="561"/>
      <c r="S78" s="561"/>
      <c r="T78" s="561"/>
      <c r="U78" s="561"/>
      <c r="V78" s="561"/>
      <c r="W78" s="561"/>
      <c r="X78" s="561"/>
      <c r="Y78" s="561"/>
      <c r="Z78" s="561"/>
      <c r="AA78" s="561"/>
      <c r="AB78" s="561"/>
      <c r="AC78" s="561"/>
      <c r="AD78" s="561"/>
    </row>
    <row r="79" spans="5:30">
      <c r="E79" s="561"/>
      <c r="F79" s="561"/>
      <c r="G79" s="561"/>
      <c r="H79" s="561"/>
      <c r="I79" s="561"/>
      <c r="J79" s="561"/>
      <c r="K79" s="561"/>
      <c r="L79" s="561"/>
      <c r="M79" s="561"/>
      <c r="N79" s="561"/>
      <c r="O79" s="561"/>
      <c r="P79" s="561"/>
      <c r="Q79" s="561"/>
      <c r="R79" s="561"/>
      <c r="S79" s="561"/>
      <c r="T79" s="561"/>
      <c r="U79" s="561"/>
      <c r="V79" s="561"/>
      <c r="W79" s="561"/>
      <c r="X79" s="561"/>
      <c r="Y79" s="561"/>
      <c r="Z79" s="561"/>
      <c r="AA79" s="561"/>
      <c r="AB79" s="561"/>
      <c r="AC79" s="561"/>
      <c r="AD79" s="561"/>
    </row>
    <row r="80" spans="5:30">
      <c r="E80" s="561"/>
      <c r="F80" s="561"/>
      <c r="G80" s="561"/>
      <c r="H80" s="561"/>
      <c r="I80" s="561"/>
      <c r="J80" s="561"/>
      <c r="K80" s="561"/>
      <c r="L80" s="561"/>
      <c r="M80" s="561"/>
      <c r="N80" s="561"/>
      <c r="O80" s="561"/>
      <c r="P80" s="561"/>
      <c r="Q80" s="561"/>
      <c r="R80" s="561"/>
      <c r="S80" s="561"/>
      <c r="T80" s="561"/>
      <c r="U80" s="561"/>
      <c r="V80" s="561"/>
      <c r="W80" s="561"/>
      <c r="X80" s="561"/>
      <c r="Y80" s="561"/>
      <c r="Z80" s="561"/>
      <c r="AA80" s="561"/>
      <c r="AB80" s="561"/>
      <c r="AC80" s="561"/>
      <c r="AD80" s="561"/>
    </row>
    <row r="81" spans="5:30">
      <c r="E81" s="561"/>
      <c r="F81" s="561"/>
      <c r="G81" s="561"/>
      <c r="H81" s="561"/>
      <c r="I81" s="561"/>
      <c r="J81" s="561"/>
      <c r="K81" s="561"/>
      <c r="L81" s="561"/>
      <c r="M81" s="561"/>
      <c r="N81" s="561"/>
      <c r="O81" s="561"/>
      <c r="P81" s="561"/>
      <c r="Q81" s="561"/>
      <c r="R81" s="561"/>
      <c r="S81" s="561"/>
      <c r="T81" s="561"/>
      <c r="U81" s="561"/>
      <c r="V81" s="561"/>
      <c r="W81" s="561"/>
      <c r="X81" s="561"/>
      <c r="Y81" s="561"/>
      <c r="Z81" s="561"/>
      <c r="AA81" s="561"/>
      <c r="AB81" s="561"/>
      <c r="AC81" s="561"/>
      <c r="AD81" s="561"/>
    </row>
    <row r="82" spans="5:30">
      <c r="E82" s="561"/>
      <c r="F82" s="561"/>
      <c r="G82" s="561"/>
      <c r="H82" s="561"/>
      <c r="I82" s="561"/>
      <c r="J82" s="561"/>
      <c r="K82" s="561"/>
      <c r="L82" s="561"/>
      <c r="M82" s="561"/>
      <c r="N82" s="561"/>
      <c r="O82" s="561"/>
      <c r="P82" s="561"/>
      <c r="Q82" s="561"/>
      <c r="R82" s="561"/>
      <c r="S82" s="561"/>
      <c r="T82" s="561"/>
      <c r="U82" s="561"/>
      <c r="V82" s="561"/>
      <c r="W82" s="561"/>
      <c r="X82" s="561"/>
      <c r="Y82" s="561"/>
      <c r="Z82" s="561"/>
      <c r="AA82" s="561"/>
      <c r="AB82" s="561"/>
      <c r="AC82" s="561"/>
      <c r="AD82" s="561"/>
    </row>
    <row r="83" spans="5:30">
      <c r="E83" s="561"/>
      <c r="F83" s="561"/>
      <c r="G83" s="561"/>
      <c r="H83" s="561"/>
      <c r="I83" s="561"/>
      <c r="J83" s="561"/>
      <c r="K83" s="561"/>
      <c r="L83" s="561"/>
      <c r="M83" s="561"/>
      <c r="N83" s="561"/>
      <c r="O83" s="561"/>
      <c r="P83" s="561"/>
      <c r="Q83" s="561"/>
      <c r="R83" s="561"/>
      <c r="S83" s="561"/>
      <c r="T83" s="561"/>
      <c r="U83" s="561"/>
      <c r="V83" s="561"/>
      <c r="W83" s="561"/>
      <c r="X83" s="561"/>
      <c r="Y83" s="561"/>
      <c r="Z83" s="561"/>
      <c r="AA83" s="561"/>
      <c r="AB83" s="561"/>
      <c r="AC83" s="561"/>
      <c r="AD83" s="561"/>
    </row>
    <row r="84" spans="5:30">
      <c r="E84" s="561"/>
      <c r="F84" s="561"/>
      <c r="G84" s="561"/>
      <c r="H84" s="561"/>
      <c r="I84" s="561"/>
      <c r="J84" s="561"/>
      <c r="K84" s="561"/>
      <c r="L84" s="561"/>
      <c r="M84" s="561"/>
      <c r="N84" s="561"/>
      <c r="O84" s="561"/>
      <c r="P84" s="561"/>
      <c r="Q84" s="561"/>
      <c r="R84" s="561"/>
      <c r="S84" s="561"/>
      <c r="T84" s="561"/>
      <c r="U84" s="561"/>
      <c r="V84" s="561"/>
      <c r="W84" s="561"/>
      <c r="X84" s="561"/>
      <c r="Y84" s="561"/>
      <c r="Z84" s="561"/>
      <c r="AA84" s="561"/>
      <c r="AB84" s="561"/>
      <c r="AC84" s="561"/>
      <c r="AD84" s="561"/>
    </row>
    <row r="85" spans="5:30">
      <c r="E85" s="561"/>
      <c r="F85" s="561"/>
      <c r="G85" s="561"/>
      <c r="H85" s="561"/>
      <c r="I85" s="561"/>
      <c r="J85" s="561"/>
      <c r="K85" s="561"/>
      <c r="L85" s="561"/>
      <c r="M85" s="561"/>
      <c r="N85" s="561"/>
      <c r="O85" s="561"/>
      <c r="P85" s="561"/>
      <c r="Q85" s="561"/>
      <c r="R85" s="561"/>
      <c r="S85" s="561"/>
      <c r="T85" s="561"/>
      <c r="U85" s="561"/>
      <c r="V85" s="561"/>
      <c r="W85" s="561"/>
      <c r="X85" s="561"/>
      <c r="Y85" s="561"/>
      <c r="Z85" s="561"/>
      <c r="AA85" s="561"/>
      <c r="AB85" s="561"/>
      <c r="AC85" s="561"/>
      <c r="AD85" s="561"/>
    </row>
    <row r="86" spans="5:30">
      <c r="E86" s="561"/>
      <c r="F86" s="561"/>
      <c r="G86" s="561"/>
      <c r="H86" s="561"/>
      <c r="I86" s="561"/>
      <c r="J86" s="561"/>
      <c r="K86" s="561"/>
      <c r="L86" s="561"/>
      <c r="M86" s="561"/>
      <c r="N86" s="561"/>
      <c r="O86" s="561"/>
      <c r="P86" s="561"/>
      <c r="Q86" s="561"/>
      <c r="R86" s="561"/>
      <c r="S86" s="561"/>
      <c r="T86" s="561"/>
      <c r="U86" s="561"/>
      <c r="V86" s="561"/>
      <c r="W86" s="561"/>
      <c r="X86" s="561"/>
      <c r="Y86" s="561"/>
      <c r="Z86" s="561"/>
      <c r="AA86" s="561"/>
      <c r="AB86" s="561"/>
      <c r="AC86" s="561"/>
      <c r="AD86" s="561"/>
    </row>
    <row r="87" spans="5:30">
      <c r="E87" s="561"/>
      <c r="F87" s="561"/>
      <c r="G87" s="561"/>
      <c r="H87" s="561"/>
      <c r="I87" s="561"/>
      <c r="J87" s="561"/>
      <c r="K87" s="561"/>
      <c r="L87" s="561"/>
      <c r="M87" s="561"/>
      <c r="N87" s="561"/>
      <c r="O87" s="561"/>
      <c r="P87" s="561"/>
      <c r="Q87" s="561"/>
      <c r="R87" s="561"/>
      <c r="S87" s="561"/>
      <c r="T87" s="561"/>
      <c r="U87" s="561"/>
      <c r="V87" s="561"/>
      <c r="W87" s="561"/>
      <c r="X87" s="561"/>
      <c r="Y87" s="561"/>
      <c r="Z87" s="561"/>
      <c r="AA87" s="561"/>
      <c r="AB87" s="561"/>
      <c r="AC87" s="561"/>
      <c r="AD87" s="561"/>
    </row>
    <row r="88" spans="5:30">
      <c r="E88" s="561"/>
      <c r="F88" s="561"/>
      <c r="G88" s="561"/>
      <c r="H88" s="561"/>
      <c r="I88" s="561"/>
      <c r="J88" s="561"/>
      <c r="K88" s="561"/>
      <c r="L88" s="561"/>
      <c r="M88" s="561"/>
      <c r="N88" s="561"/>
      <c r="O88" s="561"/>
      <c r="P88" s="561"/>
      <c r="Q88" s="561"/>
      <c r="R88" s="561"/>
      <c r="S88" s="561"/>
      <c r="T88" s="561"/>
      <c r="U88" s="561"/>
      <c r="V88" s="561"/>
      <c r="W88" s="561"/>
      <c r="X88" s="561"/>
      <c r="Y88" s="561"/>
      <c r="Z88" s="561"/>
      <c r="AA88" s="561"/>
      <c r="AB88" s="561"/>
      <c r="AC88" s="561"/>
      <c r="AD88" s="561"/>
    </row>
    <row r="89" spans="5:30">
      <c r="E89" s="561"/>
      <c r="F89" s="561"/>
      <c r="G89" s="561"/>
      <c r="H89" s="561"/>
      <c r="I89" s="561"/>
      <c r="J89" s="561"/>
      <c r="K89" s="561"/>
      <c r="L89" s="561"/>
      <c r="M89" s="561"/>
      <c r="N89" s="561"/>
      <c r="O89" s="561"/>
      <c r="P89" s="561"/>
      <c r="Q89" s="561"/>
      <c r="R89" s="561"/>
      <c r="S89" s="561"/>
      <c r="T89" s="561"/>
      <c r="U89" s="561"/>
      <c r="V89" s="561"/>
      <c r="W89" s="561"/>
      <c r="X89" s="561"/>
      <c r="Y89" s="561"/>
      <c r="Z89" s="561"/>
      <c r="AA89" s="561"/>
      <c r="AB89" s="561"/>
      <c r="AC89" s="561"/>
      <c r="AD89" s="561"/>
    </row>
    <row r="90" spans="5:30">
      <c r="E90" s="561"/>
      <c r="F90" s="561"/>
      <c r="G90" s="561"/>
      <c r="H90" s="561"/>
      <c r="I90" s="561"/>
      <c r="J90" s="561"/>
      <c r="K90" s="561"/>
      <c r="L90" s="561"/>
      <c r="M90" s="561"/>
      <c r="N90" s="561"/>
      <c r="O90" s="561"/>
      <c r="P90" s="561"/>
      <c r="Q90" s="561"/>
      <c r="R90" s="561"/>
      <c r="S90" s="561"/>
      <c r="T90" s="561"/>
      <c r="U90" s="561"/>
      <c r="V90" s="561"/>
      <c r="W90" s="561"/>
      <c r="X90" s="561"/>
      <c r="Y90" s="561"/>
      <c r="Z90" s="561"/>
      <c r="AA90" s="561"/>
      <c r="AB90" s="561"/>
      <c r="AC90" s="561"/>
      <c r="AD90" s="561"/>
    </row>
    <row r="91" spans="5:30">
      <c r="E91" s="561"/>
      <c r="F91" s="561"/>
      <c r="G91" s="561"/>
      <c r="H91" s="561"/>
      <c r="I91" s="561"/>
      <c r="J91" s="561"/>
      <c r="K91" s="561"/>
      <c r="L91" s="561"/>
      <c r="M91" s="561"/>
      <c r="N91" s="561"/>
      <c r="O91" s="561"/>
      <c r="P91" s="561"/>
      <c r="Q91" s="561"/>
      <c r="R91" s="561"/>
      <c r="S91" s="561"/>
      <c r="T91" s="561"/>
      <c r="U91" s="561"/>
      <c r="V91" s="561"/>
      <c r="W91" s="561"/>
      <c r="X91" s="561"/>
      <c r="Y91" s="561"/>
      <c r="Z91" s="561"/>
      <c r="AA91" s="561"/>
      <c r="AB91" s="561"/>
      <c r="AC91" s="561"/>
      <c r="AD91" s="561"/>
    </row>
    <row r="92" spans="5:30">
      <c r="E92" s="561"/>
      <c r="F92" s="561"/>
      <c r="G92" s="561"/>
      <c r="H92" s="561"/>
      <c r="I92" s="561"/>
      <c r="J92" s="561"/>
      <c r="K92" s="561"/>
      <c r="L92" s="561"/>
      <c r="M92" s="561"/>
      <c r="N92" s="561"/>
      <c r="O92" s="561"/>
      <c r="P92" s="561"/>
      <c r="Q92" s="561"/>
      <c r="R92" s="561"/>
      <c r="S92" s="561"/>
      <c r="T92" s="561"/>
      <c r="U92" s="561"/>
      <c r="V92" s="561"/>
      <c r="W92" s="561"/>
      <c r="X92" s="561"/>
      <c r="Y92" s="561"/>
      <c r="Z92" s="561"/>
      <c r="AA92" s="561"/>
      <c r="AB92" s="561"/>
      <c r="AC92" s="561"/>
      <c r="AD92" s="561"/>
    </row>
    <row r="93" spans="5:30">
      <c r="E93" s="561"/>
      <c r="F93" s="561"/>
      <c r="G93" s="561"/>
      <c r="H93" s="561"/>
      <c r="I93" s="561"/>
      <c r="J93" s="561"/>
      <c r="K93" s="561"/>
      <c r="L93" s="561"/>
      <c r="M93" s="561"/>
      <c r="N93" s="561"/>
      <c r="O93" s="561"/>
      <c r="P93" s="561"/>
      <c r="Q93" s="561"/>
      <c r="R93" s="561"/>
      <c r="S93" s="561"/>
      <c r="T93" s="561"/>
      <c r="U93" s="561"/>
      <c r="V93" s="561"/>
      <c r="W93" s="561"/>
      <c r="X93" s="561"/>
      <c r="Y93" s="561"/>
      <c r="Z93" s="561"/>
      <c r="AA93" s="561"/>
      <c r="AB93" s="561"/>
      <c r="AC93" s="561"/>
      <c r="AD93" s="561"/>
    </row>
    <row r="94" spans="5:30">
      <c r="E94" s="561"/>
      <c r="F94" s="561"/>
      <c r="G94" s="561"/>
      <c r="H94" s="561"/>
      <c r="I94" s="561"/>
      <c r="J94" s="561"/>
      <c r="K94" s="561"/>
      <c r="L94" s="561"/>
      <c r="M94" s="561"/>
      <c r="N94" s="561"/>
      <c r="O94" s="561"/>
      <c r="P94" s="561"/>
      <c r="Q94" s="561"/>
      <c r="R94" s="561"/>
      <c r="S94" s="561"/>
      <c r="T94" s="561"/>
      <c r="U94" s="561"/>
      <c r="V94" s="561"/>
      <c r="W94" s="561"/>
      <c r="X94" s="561"/>
      <c r="Y94" s="561"/>
      <c r="Z94" s="561"/>
      <c r="AA94" s="561"/>
      <c r="AB94" s="561"/>
      <c r="AC94" s="561"/>
      <c r="AD94" s="561"/>
    </row>
    <row r="95" spans="5:30">
      <c r="E95" s="561"/>
      <c r="F95" s="561"/>
      <c r="G95" s="561"/>
      <c r="H95" s="561"/>
      <c r="I95" s="561"/>
      <c r="J95" s="561"/>
      <c r="K95" s="561"/>
      <c r="L95" s="561"/>
      <c r="M95" s="561"/>
      <c r="N95" s="561"/>
      <c r="O95" s="561"/>
      <c r="P95" s="561"/>
      <c r="Q95" s="561"/>
      <c r="R95" s="561"/>
      <c r="S95" s="561"/>
      <c r="T95" s="561"/>
      <c r="U95" s="561"/>
      <c r="V95" s="561"/>
      <c r="W95" s="561"/>
      <c r="X95" s="561"/>
      <c r="Y95" s="561"/>
      <c r="Z95" s="561"/>
      <c r="AA95" s="561"/>
      <c r="AB95" s="561"/>
      <c r="AC95" s="561"/>
      <c r="AD95" s="561"/>
    </row>
    <row r="96" spans="5:30">
      <c r="E96" s="561"/>
      <c r="F96" s="561"/>
      <c r="G96" s="561"/>
      <c r="H96" s="561"/>
      <c r="I96" s="561"/>
      <c r="J96" s="561"/>
      <c r="K96" s="561"/>
      <c r="L96" s="561"/>
      <c r="M96" s="561"/>
      <c r="N96" s="561"/>
      <c r="O96" s="561"/>
      <c r="P96" s="561"/>
      <c r="Q96" s="561"/>
      <c r="R96" s="561"/>
      <c r="S96" s="561"/>
      <c r="T96" s="561"/>
      <c r="U96" s="561"/>
      <c r="V96" s="561"/>
      <c r="W96" s="561"/>
      <c r="X96" s="561"/>
      <c r="Y96" s="561"/>
      <c r="Z96" s="561"/>
      <c r="AA96" s="561"/>
      <c r="AB96" s="561"/>
      <c r="AC96" s="561"/>
      <c r="AD96" s="561"/>
    </row>
    <row r="97" spans="5:30">
      <c r="E97" s="561"/>
      <c r="F97" s="561"/>
      <c r="G97" s="561"/>
      <c r="H97" s="561"/>
      <c r="I97" s="561"/>
      <c r="J97" s="561"/>
      <c r="K97" s="561"/>
      <c r="L97" s="561"/>
      <c r="M97" s="561"/>
      <c r="N97" s="561"/>
      <c r="O97" s="561"/>
      <c r="P97" s="561"/>
      <c r="Q97" s="561"/>
      <c r="R97" s="561"/>
      <c r="S97" s="561"/>
      <c r="T97" s="561"/>
      <c r="U97" s="561"/>
      <c r="V97" s="561"/>
      <c r="W97" s="561"/>
      <c r="X97" s="561"/>
      <c r="Y97" s="561"/>
      <c r="Z97" s="561"/>
      <c r="AA97" s="561"/>
      <c r="AB97" s="561"/>
      <c r="AC97" s="561"/>
      <c r="AD97" s="561"/>
    </row>
    <row r="98" spans="5:30">
      <c r="E98" s="561"/>
      <c r="F98" s="561"/>
      <c r="G98" s="561"/>
      <c r="H98" s="561"/>
      <c r="I98" s="561"/>
      <c r="J98" s="561"/>
      <c r="K98" s="561"/>
      <c r="L98" s="561"/>
      <c r="M98" s="561"/>
      <c r="N98" s="561"/>
      <c r="O98" s="561"/>
      <c r="P98" s="561"/>
      <c r="Q98" s="561"/>
      <c r="R98" s="561"/>
      <c r="S98" s="561"/>
      <c r="T98" s="561"/>
      <c r="U98" s="561"/>
      <c r="V98" s="561"/>
      <c r="W98" s="561"/>
      <c r="X98" s="561"/>
      <c r="Y98" s="561"/>
      <c r="Z98" s="561"/>
      <c r="AA98" s="561"/>
      <c r="AB98" s="561"/>
      <c r="AC98" s="561"/>
      <c r="AD98" s="561"/>
    </row>
    <row r="99" spans="5:30">
      <c r="E99" s="561"/>
      <c r="F99" s="561"/>
      <c r="G99" s="561"/>
      <c r="H99" s="561"/>
      <c r="I99" s="561"/>
      <c r="J99" s="561"/>
      <c r="K99" s="561"/>
      <c r="L99" s="561"/>
      <c r="M99" s="561"/>
      <c r="N99" s="561"/>
      <c r="O99" s="561"/>
      <c r="P99" s="561"/>
      <c r="Q99" s="561"/>
      <c r="R99" s="561"/>
      <c r="S99" s="561"/>
      <c r="T99" s="561"/>
      <c r="U99" s="561"/>
      <c r="V99" s="561"/>
      <c r="W99" s="561"/>
      <c r="X99" s="561"/>
      <c r="Y99" s="561"/>
      <c r="Z99" s="561"/>
      <c r="AA99" s="561"/>
      <c r="AB99" s="561"/>
      <c r="AC99" s="561"/>
      <c r="AD99" s="561"/>
    </row>
    <row r="100" spans="5:30">
      <c r="E100" s="561"/>
      <c r="F100" s="561"/>
      <c r="G100" s="561"/>
      <c r="H100" s="561"/>
      <c r="I100" s="561"/>
      <c r="J100" s="561"/>
      <c r="K100" s="561"/>
      <c r="L100" s="561"/>
      <c r="M100" s="561"/>
      <c r="N100" s="561"/>
      <c r="O100" s="561"/>
      <c r="P100" s="561"/>
      <c r="Q100" s="561"/>
      <c r="R100" s="561"/>
      <c r="S100" s="561"/>
      <c r="T100" s="561"/>
      <c r="U100" s="561"/>
      <c r="V100" s="561"/>
      <c r="W100" s="561"/>
      <c r="X100" s="561"/>
      <c r="Y100" s="561"/>
      <c r="Z100" s="561"/>
      <c r="AA100" s="561"/>
      <c r="AB100" s="561"/>
      <c r="AC100" s="561"/>
      <c r="AD100" s="561"/>
    </row>
    <row r="101" spans="5:30">
      <c r="E101" s="561"/>
      <c r="F101" s="561"/>
      <c r="G101" s="561"/>
      <c r="H101" s="561"/>
      <c r="I101" s="561"/>
      <c r="J101" s="561"/>
      <c r="K101" s="561"/>
      <c r="L101" s="561"/>
      <c r="M101" s="561"/>
      <c r="N101" s="561"/>
      <c r="O101" s="561"/>
      <c r="P101" s="561"/>
      <c r="Q101" s="561"/>
      <c r="R101" s="561"/>
      <c r="S101" s="561"/>
      <c r="T101" s="561"/>
      <c r="U101" s="561"/>
      <c r="V101" s="561"/>
      <c r="W101" s="561"/>
      <c r="X101" s="561"/>
      <c r="Y101" s="561"/>
      <c r="Z101" s="561"/>
      <c r="AA101" s="561"/>
      <c r="AB101" s="561"/>
      <c r="AC101" s="561"/>
      <c r="AD101" s="561"/>
    </row>
    <row r="102" spans="5:30">
      <c r="E102" s="561"/>
      <c r="F102" s="561"/>
      <c r="G102" s="561"/>
      <c r="H102" s="561"/>
      <c r="I102" s="561"/>
      <c r="J102" s="561"/>
      <c r="K102" s="561"/>
      <c r="L102" s="561"/>
      <c r="M102" s="561"/>
      <c r="N102" s="561"/>
      <c r="O102" s="561"/>
      <c r="P102" s="561"/>
      <c r="Q102" s="561"/>
      <c r="R102" s="561"/>
      <c r="S102" s="561"/>
      <c r="T102" s="561"/>
      <c r="U102" s="561"/>
      <c r="V102" s="561"/>
      <c r="W102" s="561"/>
      <c r="X102" s="561"/>
      <c r="Y102" s="561"/>
      <c r="Z102" s="561"/>
      <c r="AA102" s="561"/>
      <c r="AB102" s="561"/>
      <c r="AC102" s="561"/>
      <c r="AD102" s="561"/>
    </row>
    <row r="103" spans="5:30">
      <c r="E103" s="561"/>
      <c r="F103" s="561"/>
      <c r="G103" s="561"/>
      <c r="H103" s="561"/>
      <c r="I103" s="561"/>
      <c r="J103" s="561"/>
      <c r="K103" s="561"/>
      <c r="L103" s="561"/>
      <c r="M103" s="561"/>
      <c r="N103" s="561"/>
      <c r="O103" s="561"/>
      <c r="P103" s="561"/>
      <c r="Q103" s="561"/>
      <c r="R103" s="561"/>
      <c r="S103" s="561"/>
      <c r="T103" s="561"/>
      <c r="U103" s="561"/>
      <c r="V103" s="561"/>
      <c r="W103" s="561"/>
      <c r="X103" s="561"/>
      <c r="Y103" s="561"/>
      <c r="Z103" s="561"/>
      <c r="AA103" s="561"/>
      <c r="AB103" s="561"/>
      <c r="AC103" s="561"/>
      <c r="AD103" s="561"/>
    </row>
    <row r="104" spans="5:30">
      <c r="E104" s="561"/>
      <c r="F104" s="561"/>
      <c r="G104" s="561"/>
      <c r="H104" s="561"/>
      <c r="I104" s="561"/>
      <c r="J104" s="561"/>
      <c r="K104" s="561"/>
      <c r="L104" s="561"/>
      <c r="M104" s="561"/>
      <c r="N104" s="561"/>
      <c r="O104" s="561"/>
      <c r="P104" s="561"/>
      <c r="Q104" s="561"/>
      <c r="R104" s="561"/>
      <c r="S104" s="561"/>
      <c r="T104" s="561"/>
      <c r="U104" s="561"/>
      <c r="V104" s="561"/>
      <c r="W104" s="561"/>
      <c r="X104" s="561"/>
      <c r="Y104" s="561"/>
      <c r="Z104" s="561"/>
      <c r="AA104" s="561"/>
      <c r="AB104" s="561"/>
      <c r="AC104" s="561"/>
      <c r="AD104" s="561"/>
    </row>
    <row r="105" spans="5:30">
      <c r="E105" s="561"/>
      <c r="F105" s="561"/>
      <c r="G105" s="561"/>
      <c r="H105" s="561"/>
      <c r="I105" s="561"/>
      <c r="J105" s="561"/>
      <c r="K105" s="561"/>
      <c r="L105" s="561"/>
      <c r="M105" s="561"/>
      <c r="N105" s="561"/>
      <c r="O105" s="561"/>
      <c r="P105" s="561"/>
      <c r="Q105" s="561"/>
      <c r="R105" s="561"/>
      <c r="S105" s="561"/>
      <c r="T105" s="561"/>
      <c r="U105" s="561"/>
      <c r="V105" s="561"/>
      <c r="W105" s="561"/>
      <c r="X105" s="561"/>
      <c r="Y105" s="561"/>
      <c r="Z105" s="561"/>
      <c r="AA105" s="561"/>
      <c r="AB105" s="561"/>
      <c r="AC105" s="561"/>
      <c r="AD105" s="561"/>
    </row>
    <row r="106" spans="5:30">
      <c r="E106" s="561"/>
      <c r="F106" s="561"/>
      <c r="G106" s="561"/>
      <c r="H106" s="561"/>
      <c r="I106" s="561"/>
      <c r="J106" s="561"/>
      <c r="K106" s="561"/>
      <c r="L106" s="561"/>
      <c r="M106" s="561"/>
      <c r="N106" s="561"/>
      <c r="O106" s="561"/>
      <c r="P106" s="561"/>
      <c r="Q106" s="561"/>
      <c r="R106" s="561"/>
      <c r="S106" s="561"/>
      <c r="T106" s="561"/>
      <c r="U106" s="561"/>
      <c r="V106" s="561"/>
      <c r="W106" s="561"/>
      <c r="X106" s="561"/>
      <c r="Y106" s="561"/>
      <c r="Z106" s="561"/>
      <c r="AA106" s="561"/>
      <c r="AB106" s="561"/>
      <c r="AC106" s="561"/>
      <c r="AD106" s="561"/>
    </row>
    <row r="107" spans="5:30">
      <c r="E107" s="561"/>
      <c r="F107" s="561"/>
      <c r="G107" s="561"/>
      <c r="H107" s="561"/>
      <c r="I107" s="561"/>
      <c r="J107" s="561"/>
      <c r="K107" s="561"/>
      <c r="L107" s="561"/>
      <c r="M107" s="561"/>
      <c r="N107" s="561"/>
      <c r="O107" s="561"/>
      <c r="P107" s="561"/>
      <c r="Q107" s="561"/>
      <c r="R107" s="561"/>
      <c r="S107" s="561"/>
      <c r="T107" s="561"/>
      <c r="U107" s="561"/>
      <c r="V107" s="561"/>
      <c r="W107" s="561"/>
      <c r="X107" s="561"/>
      <c r="Y107" s="561"/>
      <c r="Z107" s="561"/>
      <c r="AA107" s="561"/>
      <c r="AB107" s="561"/>
      <c r="AC107" s="561"/>
      <c r="AD107" s="561"/>
    </row>
    <row r="108" spans="5:30">
      <c r="E108" s="561"/>
      <c r="F108" s="561"/>
      <c r="G108" s="561"/>
      <c r="H108" s="561"/>
      <c r="I108" s="561"/>
      <c r="J108" s="561"/>
      <c r="K108" s="561"/>
      <c r="L108" s="561"/>
      <c r="M108" s="561"/>
      <c r="N108" s="561"/>
      <c r="O108" s="561"/>
      <c r="P108" s="561"/>
      <c r="Q108" s="561"/>
      <c r="R108" s="561"/>
      <c r="S108" s="561"/>
      <c r="T108" s="561"/>
      <c r="U108" s="561"/>
      <c r="V108" s="561"/>
      <c r="W108" s="561"/>
      <c r="X108" s="561"/>
      <c r="Y108" s="561"/>
      <c r="Z108" s="561"/>
      <c r="AA108" s="561"/>
      <c r="AB108" s="561"/>
      <c r="AC108" s="561"/>
      <c r="AD108" s="561"/>
    </row>
    <row r="109" spans="5:30">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row>
    <row r="110" spans="5:30">
      <c r="E110" s="561"/>
      <c r="F110" s="561"/>
      <c r="G110" s="561"/>
      <c r="H110" s="561"/>
      <c r="I110" s="561"/>
      <c r="J110" s="561"/>
      <c r="K110" s="561"/>
      <c r="L110" s="561"/>
      <c r="M110" s="561"/>
      <c r="N110" s="561"/>
      <c r="O110" s="561"/>
      <c r="P110" s="561"/>
      <c r="Q110" s="561"/>
      <c r="R110" s="561"/>
      <c r="S110" s="561"/>
      <c r="T110" s="561"/>
      <c r="U110" s="561"/>
      <c r="V110" s="561"/>
      <c r="W110" s="561"/>
      <c r="X110" s="561"/>
      <c r="Y110" s="561"/>
      <c r="Z110" s="561"/>
      <c r="AA110" s="561"/>
      <c r="AB110" s="561"/>
      <c r="AC110" s="561"/>
      <c r="AD110" s="561"/>
    </row>
    <row r="111" spans="5:30">
      <c r="E111" s="561"/>
      <c r="F111" s="561"/>
      <c r="G111" s="561"/>
      <c r="H111" s="561"/>
      <c r="I111" s="561"/>
      <c r="J111" s="561"/>
      <c r="K111" s="561"/>
      <c r="L111" s="561"/>
      <c r="M111" s="561"/>
      <c r="N111" s="561"/>
      <c r="O111" s="561"/>
      <c r="P111" s="561"/>
      <c r="Q111" s="561"/>
      <c r="R111" s="561"/>
      <c r="S111" s="561"/>
      <c r="T111" s="561"/>
      <c r="U111" s="561"/>
      <c r="V111" s="561"/>
      <c r="W111" s="561"/>
      <c r="X111" s="561"/>
      <c r="Y111" s="561"/>
      <c r="Z111" s="561"/>
      <c r="AA111" s="561"/>
      <c r="AB111" s="561"/>
      <c r="AC111" s="561"/>
      <c r="AD111" s="561"/>
    </row>
    <row r="112" spans="5:30">
      <c r="E112" s="561"/>
      <c r="F112" s="561"/>
      <c r="G112" s="561"/>
      <c r="H112" s="561"/>
      <c r="I112" s="561"/>
      <c r="J112" s="561"/>
      <c r="K112" s="561"/>
      <c r="L112" s="561"/>
      <c r="M112" s="561"/>
      <c r="N112" s="561"/>
      <c r="O112" s="561"/>
      <c r="P112" s="561"/>
      <c r="Q112" s="561"/>
      <c r="R112" s="561"/>
      <c r="S112" s="561"/>
      <c r="T112" s="561"/>
      <c r="U112" s="561"/>
      <c r="V112" s="561"/>
      <c r="W112" s="561"/>
      <c r="X112" s="561"/>
      <c r="Y112" s="561"/>
      <c r="Z112" s="561"/>
      <c r="AA112" s="561"/>
      <c r="AB112" s="561"/>
      <c r="AC112" s="561"/>
      <c r="AD112" s="561"/>
    </row>
    <row r="113" spans="5:30">
      <c r="E113" s="561"/>
      <c r="F113" s="561"/>
      <c r="G113" s="561"/>
      <c r="H113" s="561"/>
      <c r="I113" s="561"/>
      <c r="J113" s="561"/>
      <c r="K113" s="561"/>
      <c r="L113" s="561"/>
      <c r="M113" s="561"/>
      <c r="N113" s="561"/>
      <c r="O113" s="561"/>
      <c r="P113" s="561"/>
      <c r="Q113" s="561"/>
      <c r="R113" s="561"/>
      <c r="S113" s="561"/>
      <c r="T113" s="561"/>
      <c r="U113" s="561"/>
      <c r="V113" s="561"/>
      <c r="W113" s="561"/>
      <c r="X113" s="561"/>
      <c r="Y113" s="561"/>
      <c r="Z113" s="561"/>
      <c r="AA113" s="561"/>
      <c r="AB113" s="561"/>
      <c r="AC113" s="561"/>
      <c r="AD113" s="561"/>
    </row>
    <row r="114" spans="5:30">
      <c r="E114" s="561"/>
      <c r="F114" s="561"/>
      <c r="G114" s="561"/>
      <c r="H114" s="561"/>
      <c r="I114" s="561"/>
      <c r="J114" s="561"/>
      <c r="K114" s="561"/>
      <c r="L114" s="561"/>
      <c r="M114" s="561"/>
      <c r="N114" s="561"/>
      <c r="O114" s="561"/>
      <c r="P114" s="561"/>
      <c r="Q114" s="561"/>
      <c r="R114" s="561"/>
      <c r="S114" s="561"/>
      <c r="T114" s="561"/>
      <c r="U114" s="561"/>
      <c r="V114" s="561"/>
      <c r="W114" s="561"/>
      <c r="X114" s="561"/>
      <c r="Y114" s="561"/>
      <c r="Z114" s="561"/>
      <c r="AA114" s="561"/>
      <c r="AB114" s="561"/>
      <c r="AC114" s="561"/>
      <c r="AD114" s="561"/>
    </row>
    <row r="115" spans="5:30">
      <c r="E115" s="561"/>
      <c r="F115" s="561"/>
      <c r="G115" s="561"/>
      <c r="H115" s="561"/>
      <c r="I115" s="561"/>
      <c r="J115" s="561"/>
      <c r="K115" s="561"/>
      <c r="L115" s="561"/>
      <c r="M115" s="561"/>
      <c r="N115" s="561"/>
      <c r="O115" s="561"/>
      <c r="P115" s="561"/>
      <c r="Q115" s="561"/>
      <c r="R115" s="561"/>
      <c r="S115" s="561"/>
      <c r="T115" s="561"/>
      <c r="U115" s="561"/>
      <c r="V115" s="561"/>
      <c r="W115" s="561"/>
      <c r="X115" s="561"/>
      <c r="Y115" s="561"/>
      <c r="Z115" s="561"/>
      <c r="AA115" s="561"/>
      <c r="AB115" s="561"/>
      <c r="AC115" s="561"/>
      <c r="AD115" s="561"/>
    </row>
    <row r="116" spans="5:30">
      <c r="E116" s="561"/>
      <c r="F116" s="561"/>
      <c r="G116" s="561"/>
      <c r="H116" s="561"/>
      <c r="I116" s="561"/>
      <c r="J116" s="561"/>
      <c r="K116" s="561"/>
      <c r="L116" s="561"/>
      <c r="M116" s="561"/>
      <c r="N116" s="561"/>
      <c r="O116" s="561"/>
      <c r="P116" s="561"/>
      <c r="Q116" s="561"/>
      <c r="R116" s="561"/>
      <c r="S116" s="561"/>
      <c r="T116" s="561"/>
      <c r="U116" s="561"/>
      <c r="V116" s="561"/>
      <c r="W116" s="561"/>
      <c r="X116" s="561"/>
      <c r="Y116" s="561"/>
      <c r="Z116" s="561"/>
      <c r="AA116" s="561"/>
      <c r="AB116" s="561"/>
      <c r="AC116" s="561"/>
      <c r="AD116" s="561"/>
    </row>
    <row r="117" spans="5:30">
      <c r="E117" s="561"/>
      <c r="F117" s="561"/>
      <c r="G117" s="561"/>
      <c r="H117" s="561"/>
      <c r="I117" s="561"/>
      <c r="J117" s="561"/>
      <c r="K117" s="561"/>
      <c r="L117" s="561"/>
      <c r="M117" s="561"/>
      <c r="N117" s="561"/>
      <c r="O117" s="561"/>
      <c r="P117" s="561"/>
      <c r="Q117" s="561"/>
      <c r="R117" s="561"/>
      <c r="S117" s="561"/>
      <c r="T117" s="561"/>
      <c r="U117" s="561"/>
      <c r="V117" s="561"/>
      <c r="W117" s="561"/>
      <c r="X117" s="561"/>
      <c r="Y117" s="561"/>
      <c r="Z117" s="561"/>
      <c r="AA117" s="561"/>
      <c r="AB117" s="561"/>
      <c r="AC117" s="561"/>
      <c r="AD117" s="561"/>
    </row>
    <row r="118" spans="5:30">
      <c r="E118" s="561"/>
      <c r="F118" s="561"/>
      <c r="G118" s="561"/>
      <c r="H118" s="561"/>
      <c r="I118" s="561"/>
      <c r="J118" s="561"/>
      <c r="K118" s="561"/>
      <c r="L118" s="561"/>
      <c r="M118" s="561"/>
      <c r="N118" s="561"/>
      <c r="O118" s="561"/>
      <c r="P118" s="561"/>
      <c r="Q118" s="561"/>
      <c r="R118" s="561"/>
      <c r="S118" s="561"/>
      <c r="T118" s="561"/>
      <c r="U118" s="561"/>
      <c r="V118" s="561"/>
      <c r="W118" s="561"/>
      <c r="X118" s="561"/>
      <c r="Y118" s="561"/>
      <c r="Z118" s="561"/>
      <c r="AA118" s="561"/>
      <c r="AB118" s="561"/>
      <c r="AC118" s="561"/>
      <c r="AD118" s="561"/>
    </row>
    <row r="119" spans="5:30">
      <c r="E119" s="561"/>
      <c r="F119" s="561"/>
      <c r="G119" s="561"/>
      <c r="H119" s="561"/>
      <c r="I119" s="561"/>
      <c r="J119" s="561"/>
      <c r="K119" s="561"/>
      <c r="L119" s="561"/>
      <c r="M119" s="561"/>
      <c r="N119" s="561"/>
      <c r="O119" s="561"/>
      <c r="P119" s="561"/>
      <c r="Q119" s="561"/>
      <c r="R119" s="561"/>
      <c r="S119" s="561"/>
      <c r="T119" s="561"/>
      <c r="U119" s="561"/>
      <c r="V119" s="561"/>
      <c r="W119" s="561"/>
      <c r="X119" s="561"/>
      <c r="Y119" s="561"/>
      <c r="Z119" s="561"/>
      <c r="AA119" s="561"/>
      <c r="AB119" s="561"/>
      <c r="AC119" s="561"/>
      <c r="AD119" s="561"/>
    </row>
    <row r="120" spans="5:30">
      <c r="E120" s="561"/>
      <c r="F120" s="561"/>
      <c r="G120" s="561"/>
      <c r="H120" s="561"/>
      <c r="I120" s="561"/>
      <c r="J120" s="561"/>
      <c r="K120" s="561"/>
      <c r="L120" s="561"/>
      <c r="M120" s="561"/>
      <c r="N120" s="561"/>
      <c r="O120" s="561"/>
      <c r="P120" s="561"/>
      <c r="Q120" s="561"/>
      <c r="R120" s="561"/>
      <c r="S120" s="561"/>
      <c r="T120" s="561"/>
      <c r="U120" s="561"/>
      <c r="V120" s="561"/>
      <c r="W120" s="561"/>
      <c r="X120" s="561"/>
      <c r="Y120" s="561"/>
      <c r="Z120" s="561"/>
      <c r="AA120" s="561"/>
      <c r="AB120" s="561"/>
      <c r="AC120" s="561"/>
      <c r="AD120" s="561"/>
    </row>
    <row r="121" spans="5:30">
      <c r="E121" s="561"/>
      <c r="F121" s="561"/>
      <c r="G121" s="561"/>
      <c r="H121" s="561"/>
      <c r="I121" s="561"/>
      <c r="J121" s="561"/>
      <c r="K121" s="561"/>
      <c r="L121" s="561"/>
      <c r="M121" s="561"/>
      <c r="N121" s="561"/>
      <c r="O121" s="561"/>
      <c r="P121" s="561"/>
      <c r="Q121" s="561"/>
      <c r="R121" s="561"/>
      <c r="S121" s="561"/>
      <c r="T121" s="561"/>
      <c r="U121" s="561"/>
      <c r="V121" s="561"/>
      <c r="W121" s="561"/>
      <c r="X121" s="561"/>
      <c r="Y121" s="561"/>
      <c r="Z121" s="561"/>
      <c r="AA121" s="561"/>
      <c r="AB121" s="561"/>
      <c r="AC121" s="561"/>
      <c r="AD121" s="561"/>
    </row>
    <row r="122" spans="5:30">
      <c r="E122" s="561"/>
      <c r="F122" s="561"/>
      <c r="G122" s="561"/>
      <c r="H122" s="561"/>
      <c r="I122" s="561"/>
      <c r="J122" s="561"/>
      <c r="K122" s="561"/>
      <c r="L122" s="561"/>
      <c r="M122" s="561"/>
      <c r="N122" s="561"/>
      <c r="O122" s="561"/>
      <c r="P122" s="561"/>
      <c r="Q122" s="561"/>
      <c r="R122" s="561"/>
      <c r="S122" s="561"/>
      <c r="T122" s="561"/>
      <c r="U122" s="561"/>
      <c r="V122" s="561"/>
      <c r="W122" s="561"/>
      <c r="X122" s="561"/>
      <c r="Y122" s="561"/>
      <c r="Z122" s="561"/>
      <c r="AA122" s="561"/>
      <c r="AB122" s="561"/>
      <c r="AC122" s="561"/>
      <c r="AD122" s="561"/>
    </row>
    <row r="123" spans="5:30">
      <c r="E123" s="561"/>
      <c r="F123" s="561"/>
      <c r="G123" s="561"/>
      <c r="H123" s="561"/>
      <c r="I123" s="561"/>
      <c r="J123" s="561"/>
      <c r="K123" s="561"/>
      <c r="L123" s="561"/>
      <c r="M123" s="561"/>
      <c r="N123" s="561"/>
      <c r="O123" s="561"/>
      <c r="P123" s="561"/>
      <c r="Q123" s="561"/>
      <c r="R123" s="561"/>
      <c r="S123" s="561"/>
      <c r="T123" s="561"/>
      <c r="U123" s="561"/>
      <c r="V123" s="561"/>
      <c r="W123" s="561"/>
      <c r="X123" s="561"/>
      <c r="Y123" s="561"/>
      <c r="Z123" s="561"/>
      <c r="AA123" s="561"/>
      <c r="AB123" s="561"/>
      <c r="AC123" s="561"/>
      <c r="AD123" s="561"/>
    </row>
    <row r="124" spans="5:30">
      <c r="E124" s="561"/>
      <c r="F124" s="561"/>
      <c r="G124" s="561"/>
      <c r="H124" s="561"/>
      <c r="I124" s="561"/>
      <c r="J124" s="561"/>
      <c r="K124" s="561"/>
      <c r="L124" s="561"/>
      <c r="M124" s="561"/>
      <c r="N124" s="561"/>
      <c r="O124" s="561"/>
      <c r="P124" s="561"/>
      <c r="Q124" s="561"/>
      <c r="R124" s="561"/>
      <c r="S124" s="561"/>
      <c r="T124" s="561"/>
      <c r="U124" s="561"/>
      <c r="V124" s="561"/>
      <c r="W124" s="561"/>
      <c r="X124" s="561"/>
      <c r="Y124" s="561"/>
      <c r="Z124" s="561"/>
      <c r="AA124" s="561"/>
      <c r="AB124" s="561"/>
      <c r="AC124" s="561"/>
      <c r="AD124" s="561"/>
    </row>
    <row r="125" spans="5:30">
      <c r="E125" s="561"/>
      <c r="F125" s="561"/>
      <c r="G125" s="561"/>
      <c r="H125" s="561"/>
      <c r="I125" s="561"/>
      <c r="J125" s="561"/>
      <c r="K125" s="561"/>
      <c r="L125" s="561"/>
      <c r="M125" s="561"/>
      <c r="N125" s="561"/>
      <c r="O125" s="561"/>
      <c r="P125" s="561"/>
      <c r="Q125" s="561"/>
      <c r="R125" s="561"/>
      <c r="S125" s="561"/>
      <c r="T125" s="561"/>
      <c r="U125" s="561"/>
      <c r="V125" s="561"/>
      <c r="W125" s="561"/>
      <c r="X125" s="561"/>
      <c r="Y125" s="561"/>
      <c r="Z125" s="561"/>
      <c r="AA125" s="561"/>
      <c r="AB125" s="561"/>
      <c r="AC125" s="561"/>
      <c r="AD125" s="561"/>
    </row>
    <row r="126" spans="5:30">
      <c r="E126" s="561"/>
      <c r="F126" s="561"/>
      <c r="G126" s="561"/>
      <c r="H126" s="561"/>
      <c r="I126" s="561"/>
      <c r="J126" s="561"/>
      <c r="K126" s="561"/>
      <c r="L126" s="561"/>
      <c r="M126" s="561"/>
      <c r="N126" s="561"/>
      <c r="O126" s="561"/>
      <c r="P126" s="561"/>
      <c r="Q126" s="561"/>
      <c r="R126" s="561"/>
      <c r="S126" s="561"/>
      <c r="T126" s="561"/>
      <c r="U126" s="561"/>
      <c r="V126" s="561"/>
      <c r="W126" s="561"/>
      <c r="X126" s="561"/>
      <c r="Y126" s="561"/>
      <c r="Z126" s="561"/>
      <c r="AA126" s="561"/>
      <c r="AB126" s="561"/>
      <c r="AC126" s="561"/>
      <c r="AD126" s="561"/>
    </row>
    <row r="127" spans="5:30">
      <c r="E127" s="561"/>
      <c r="F127" s="561"/>
      <c r="G127" s="561"/>
      <c r="H127" s="561"/>
      <c r="I127" s="561"/>
      <c r="J127" s="561"/>
      <c r="K127" s="561"/>
      <c r="L127" s="561"/>
      <c r="M127" s="561"/>
      <c r="N127" s="561"/>
      <c r="O127" s="561"/>
      <c r="P127" s="561"/>
      <c r="Q127" s="561"/>
      <c r="R127" s="561"/>
      <c r="S127" s="561"/>
      <c r="T127" s="561"/>
      <c r="U127" s="561"/>
      <c r="V127" s="561"/>
      <c r="W127" s="561"/>
      <c r="X127" s="561"/>
      <c r="Y127" s="561"/>
      <c r="Z127" s="561"/>
      <c r="AA127" s="561"/>
      <c r="AB127" s="561"/>
      <c r="AC127" s="561"/>
      <c r="AD127" s="561"/>
    </row>
    <row r="128" spans="5:30">
      <c r="E128" s="561"/>
      <c r="F128" s="561"/>
      <c r="G128" s="561"/>
      <c r="H128" s="561"/>
      <c r="I128" s="561"/>
      <c r="J128" s="561"/>
      <c r="K128" s="561"/>
      <c r="L128" s="561"/>
      <c r="M128" s="561"/>
      <c r="N128" s="561"/>
      <c r="O128" s="561"/>
      <c r="P128" s="561"/>
      <c r="Q128" s="561"/>
      <c r="R128" s="561"/>
      <c r="S128" s="561"/>
      <c r="T128" s="561"/>
      <c r="U128" s="561"/>
      <c r="V128" s="561"/>
      <c r="W128" s="561"/>
      <c r="X128" s="561"/>
      <c r="Y128" s="561"/>
      <c r="Z128" s="561"/>
      <c r="AA128" s="561"/>
      <c r="AB128" s="561"/>
      <c r="AC128" s="561"/>
      <c r="AD128" s="561"/>
    </row>
    <row r="129" spans="5:30">
      <c r="E129" s="561"/>
      <c r="F129" s="561"/>
      <c r="G129" s="561"/>
      <c r="H129" s="561"/>
      <c r="I129" s="561"/>
      <c r="J129" s="561"/>
      <c r="K129" s="561"/>
      <c r="L129" s="561"/>
      <c r="M129" s="561"/>
      <c r="N129" s="561"/>
      <c r="O129" s="561"/>
      <c r="P129" s="561"/>
      <c r="Q129" s="561"/>
      <c r="R129" s="561"/>
      <c r="S129" s="561"/>
      <c r="T129" s="561"/>
      <c r="U129" s="561"/>
      <c r="V129" s="561"/>
      <c r="W129" s="561"/>
      <c r="X129" s="561"/>
      <c r="Y129" s="561"/>
      <c r="Z129" s="561"/>
      <c r="AA129" s="561"/>
      <c r="AB129" s="561"/>
      <c r="AC129" s="561"/>
      <c r="AD129" s="561"/>
    </row>
    <row r="130" spans="5:30">
      <c r="E130" s="561"/>
      <c r="F130" s="561"/>
      <c r="G130" s="561"/>
      <c r="H130" s="561"/>
      <c r="I130" s="561"/>
      <c r="J130" s="561"/>
      <c r="K130" s="561"/>
      <c r="L130" s="561"/>
      <c r="M130" s="561"/>
      <c r="N130" s="561"/>
      <c r="O130" s="561"/>
      <c r="P130" s="561"/>
      <c r="Q130" s="561"/>
      <c r="R130" s="561"/>
      <c r="S130" s="561"/>
      <c r="T130" s="561"/>
      <c r="U130" s="561"/>
      <c r="V130" s="561"/>
      <c r="W130" s="561"/>
      <c r="X130" s="561"/>
      <c r="Y130" s="561"/>
      <c r="Z130" s="561"/>
      <c r="AA130" s="561"/>
      <c r="AB130" s="561"/>
      <c r="AC130" s="561"/>
      <c r="AD130" s="561"/>
    </row>
    <row r="131" spans="5:30">
      <c r="E131" s="561"/>
      <c r="F131" s="561"/>
      <c r="G131" s="561"/>
      <c r="H131" s="561"/>
      <c r="I131" s="561"/>
      <c r="J131" s="561"/>
      <c r="K131" s="561"/>
      <c r="L131" s="561"/>
      <c r="M131" s="561"/>
      <c r="N131" s="561"/>
      <c r="O131" s="561"/>
      <c r="P131" s="561"/>
      <c r="Q131" s="561"/>
      <c r="R131" s="561"/>
      <c r="S131" s="561"/>
      <c r="T131" s="561"/>
      <c r="U131" s="561"/>
      <c r="V131" s="561"/>
      <c r="W131" s="561"/>
      <c r="X131" s="561"/>
      <c r="Y131" s="561"/>
      <c r="Z131" s="561"/>
      <c r="AA131" s="561"/>
      <c r="AB131" s="561"/>
      <c r="AC131" s="561"/>
      <c r="AD131" s="561"/>
    </row>
    <row r="132" spans="5:30">
      <c r="E132" s="561"/>
      <c r="F132" s="561"/>
      <c r="G132" s="561"/>
      <c r="H132" s="561"/>
      <c r="I132" s="561"/>
      <c r="J132" s="561"/>
      <c r="K132" s="561"/>
      <c r="L132" s="561"/>
      <c r="M132" s="561"/>
      <c r="N132" s="561"/>
      <c r="O132" s="561"/>
      <c r="P132" s="561"/>
      <c r="Q132" s="561"/>
      <c r="R132" s="561"/>
      <c r="S132" s="561"/>
      <c r="T132" s="561"/>
      <c r="U132" s="561"/>
      <c r="V132" s="561"/>
      <c r="W132" s="561"/>
      <c r="X132" s="561"/>
      <c r="Y132" s="561"/>
      <c r="Z132" s="561"/>
      <c r="AA132" s="561"/>
      <c r="AB132" s="561"/>
      <c r="AC132" s="561"/>
      <c r="AD132" s="561"/>
    </row>
    <row r="133" spans="5:30">
      <c r="E133" s="561"/>
      <c r="F133" s="561"/>
      <c r="G133" s="561"/>
      <c r="H133" s="561"/>
      <c r="I133" s="561"/>
      <c r="J133" s="561"/>
      <c r="K133" s="561"/>
      <c r="L133" s="561"/>
      <c r="M133" s="561"/>
      <c r="N133" s="561"/>
      <c r="O133" s="561"/>
      <c r="P133" s="561"/>
      <c r="Q133" s="561"/>
      <c r="R133" s="561"/>
      <c r="S133" s="561"/>
      <c r="T133" s="561"/>
      <c r="U133" s="561"/>
      <c r="V133" s="561"/>
      <c r="W133" s="561"/>
      <c r="X133" s="561"/>
      <c r="Y133" s="561"/>
      <c r="Z133" s="561"/>
      <c r="AA133" s="561"/>
      <c r="AB133" s="561"/>
      <c r="AC133" s="561"/>
      <c r="AD133" s="561"/>
    </row>
    <row r="134" spans="5:30">
      <c r="E134" s="561"/>
      <c r="F134" s="561"/>
      <c r="G134" s="561"/>
      <c r="H134" s="561"/>
      <c r="I134" s="561"/>
      <c r="J134" s="561"/>
      <c r="K134" s="561"/>
      <c r="L134" s="561"/>
      <c r="M134" s="561"/>
      <c r="N134" s="561"/>
      <c r="O134" s="561"/>
      <c r="P134" s="561"/>
      <c r="Q134" s="561"/>
      <c r="R134" s="561"/>
      <c r="S134" s="561"/>
      <c r="T134" s="561"/>
      <c r="U134" s="561"/>
      <c r="V134" s="561"/>
      <c r="W134" s="561"/>
      <c r="X134" s="561"/>
      <c r="Y134" s="561"/>
      <c r="Z134" s="561"/>
      <c r="AA134" s="561"/>
      <c r="AB134" s="561"/>
      <c r="AC134" s="561"/>
      <c r="AD134" s="561"/>
    </row>
    <row r="135" spans="5:30">
      <c r="E135" s="561"/>
      <c r="F135" s="561"/>
      <c r="G135" s="561"/>
      <c r="H135" s="561"/>
      <c r="I135" s="561"/>
      <c r="J135" s="561"/>
      <c r="K135" s="561"/>
      <c r="L135" s="561"/>
      <c r="M135" s="561"/>
      <c r="N135" s="561"/>
      <c r="O135" s="561"/>
      <c r="P135" s="561"/>
      <c r="Q135" s="561"/>
      <c r="R135" s="561"/>
      <c r="S135" s="561"/>
      <c r="T135" s="561"/>
      <c r="U135" s="561"/>
      <c r="V135" s="561"/>
      <c r="W135" s="561"/>
      <c r="X135" s="561"/>
      <c r="Y135" s="561"/>
      <c r="Z135" s="561"/>
      <c r="AA135" s="561"/>
      <c r="AB135" s="561"/>
      <c r="AC135" s="561"/>
      <c r="AD135" s="561"/>
    </row>
    <row r="136" spans="5:30">
      <c r="E136" s="561"/>
      <c r="F136" s="561"/>
      <c r="G136" s="561"/>
      <c r="H136" s="561"/>
      <c r="I136" s="561"/>
      <c r="J136" s="561"/>
      <c r="K136" s="561"/>
      <c r="L136" s="561"/>
      <c r="M136" s="561"/>
      <c r="N136" s="561"/>
      <c r="O136" s="561"/>
      <c r="P136" s="561"/>
      <c r="Q136" s="561"/>
      <c r="R136" s="561"/>
      <c r="S136" s="561"/>
      <c r="T136" s="561"/>
      <c r="U136" s="561"/>
      <c r="V136" s="561"/>
      <c r="W136" s="561"/>
      <c r="X136" s="561"/>
      <c r="Y136" s="561"/>
      <c r="Z136" s="561"/>
      <c r="AA136" s="561"/>
      <c r="AB136" s="561"/>
      <c r="AC136" s="561"/>
      <c r="AD136" s="561"/>
    </row>
    <row r="137" spans="5:30">
      <c r="E137" s="561"/>
      <c r="F137" s="561"/>
      <c r="G137" s="561"/>
      <c r="H137" s="561"/>
      <c r="I137" s="561"/>
      <c r="J137" s="561"/>
      <c r="K137" s="561"/>
      <c r="L137" s="561"/>
      <c r="M137" s="561"/>
      <c r="N137" s="561"/>
      <c r="O137" s="561"/>
      <c r="P137" s="561"/>
      <c r="Q137" s="561"/>
      <c r="R137" s="561"/>
      <c r="S137" s="561"/>
      <c r="T137" s="561"/>
      <c r="U137" s="561"/>
      <c r="V137" s="561"/>
      <c r="W137" s="561"/>
      <c r="X137" s="561"/>
      <c r="Y137" s="561"/>
      <c r="Z137" s="561"/>
      <c r="AA137" s="561"/>
      <c r="AB137" s="561"/>
      <c r="AC137" s="561"/>
      <c r="AD137" s="561"/>
    </row>
    <row r="138" spans="5:30">
      <c r="E138" s="561"/>
      <c r="F138" s="561"/>
      <c r="G138" s="561"/>
      <c r="H138" s="561"/>
      <c r="I138" s="561"/>
      <c r="J138" s="561"/>
      <c r="K138" s="561"/>
      <c r="L138" s="561"/>
      <c r="M138" s="561"/>
      <c r="N138" s="561"/>
      <c r="O138" s="561"/>
      <c r="P138" s="561"/>
      <c r="Q138" s="561"/>
      <c r="R138" s="561"/>
      <c r="S138" s="561"/>
      <c r="T138" s="561"/>
      <c r="U138" s="561"/>
      <c r="V138" s="561"/>
      <c r="W138" s="561"/>
      <c r="X138" s="561"/>
      <c r="Y138" s="561"/>
      <c r="Z138" s="561"/>
      <c r="AA138" s="561"/>
      <c r="AB138" s="561"/>
      <c r="AC138" s="561"/>
      <c r="AD138" s="561"/>
    </row>
    <row r="139" spans="5:30">
      <c r="E139" s="561"/>
      <c r="F139" s="561"/>
      <c r="G139" s="561"/>
      <c r="H139" s="561"/>
      <c r="I139" s="561"/>
      <c r="J139" s="561"/>
      <c r="K139" s="561"/>
      <c r="L139" s="561"/>
      <c r="M139" s="561"/>
      <c r="N139" s="561"/>
      <c r="O139" s="561"/>
      <c r="P139" s="561"/>
      <c r="Q139" s="561"/>
      <c r="R139" s="561"/>
      <c r="S139" s="561"/>
      <c r="T139" s="561"/>
      <c r="U139" s="561"/>
      <c r="V139" s="561"/>
      <c r="W139" s="561"/>
      <c r="X139" s="561"/>
      <c r="Y139" s="561"/>
      <c r="Z139" s="561"/>
      <c r="AA139" s="561"/>
      <c r="AB139" s="561"/>
      <c r="AC139" s="561"/>
      <c r="AD139" s="561"/>
    </row>
    <row r="140" spans="5:30">
      <c r="E140" s="561"/>
      <c r="F140" s="561"/>
      <c r="G140" s="561"/>
      <c r="H140" s="561"/>
      <c r="I140" s="561"/>
      <c r="J140" s="561"/>
      <c r="K140" s="561"/>
      <c r="L140" s="561"/>
      <c r="M140" s="561"/>
      <c r="N140" s="561"/>
      <c r="O140" s="561"/>
      <c r="P140" s="561"/>
      <c r="Q140" s="561"/>
      <c r="R140" s="561"/>
      <c r="S140" s="561"/>
      <c r="T140" s="561"/>
      <c r="U140" s="561"/>
      <c r="V140" s="561"/>
      <c r="W140" s="561"/>
      <c r="X140" s="561"/>
      <c r="Y140" s="561"/>
      <c r="Z140" s="561"/>
      <c r="AA140" s="561"/>
      <c r="AB140" s="561"/>
      <c r="AC140" s="561"/>
      <c r="AD140" s="561"/>
    </row>
    <row r="141" spans="5:30">
      <c r="E141" s="561"/>
      <c r="F141" s="561"/>
      <c r="G141" s="561"/>
      <c r="H141" s="561"/>
      <c r="I141" s="561"/>
      <c r="J141" s="561"/>
      <c r="K141" s="561"/>
      <c r="L141" s="561"/>
      <c r="M141" s="561"/>
      <c r="N141" s="561"/>
      <c r="O141" s="561"/>
      <c r="P141" s="561"/>
      <c r="Q141" s="561"/>
      <c r="R141" s="561"/>
      <c r="S141" s="561"/>
      <c r="T141" s="561"/>
      <c r="U141" s="561"/>
      <c r="V141" s="561"/>
      <c r="W141" s="561"/>
      <c r="X141" s="561"/>
      <c r="Y141" s="561"/>
      <c r="Z141" s="561"/>
      <c r="AA141" s="561"/>
      <c r="AB141" s="561"/>
      <c r="AC141" s="561"/>
      <c r="AD141" s="561"/>
    </row>
    <row r="142" spans="5:30">
      <c r="E142" s="561"/>
      <c r="F142" s="561"/>
      <c r="G142" s="561"/>
      <c r="H142" s="561"/>
      <c r="I142" s="561"/>
      <c r="J142" s="561"/>
      <c r="K142" s="561"/>
      <c r="L142" s="561"/>
      <c r="M142" s="561"/>
      <c r="N142" s="561"/>
      <c r="O142" s="561"/>
      <c r="P142" s="561"/>
      <c r="Q142" s="561"/>
      <c r="R142" s="561"/>
      <c r="S142" s="561"/>
      <c r="T142" s="561"/>
      <c r="U142" s="561"/>
      <c r="V142" s="561"/>
      <c r="W142" s="561"/>
      <c r="X142" s="561"/>
      <c r="Y142" s="561"/>
      <c r="Z142" s="561"/>
      <c r="AA142" s="561"/>
      <c r="AB142" s="561"/>
      <c r="AC142" s="561"/>
      <c r="AD142" s="561"/>
    </row>
    <row r="143" spans="5:30">
      <c r="E143" s="561"/>
      <c r="F143" s="561"/>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row>
    <row r="144" spans="5:30">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row>
    <row r="145" spans="5:30">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row>
    <row r="146" spans="5:30">
      <c r="E146" s="561"/>
      <c r="F146" s="561"/>
      <c r="G146" s="561"/>
      <c r="H146" s="561"/>
      <c r="I146" s="561"/>
      <c r="J146" s="561"/>
      <c r="K146" s="561"/>
      <c r="L146" s="561"/>
      <c r="M146" s="561"/>
      <c r="N146" s="561"/>
      <c r="O146" s="561"/>
      <c r="P146" s="561"/>
      <c r="Q146" s="561"/>
      <c r="R146" s="561"/>
      <c r="S146" s="561"/>
      <c r="T146" s="561"/>
      <c r="U146" s="561"/>
      <c r="V146" s="561"/>
      <c r="W146" s="561"/>
      <c r="X146" s="561"/>
      <c r="Y146" s="561"/>
      <c r="Z146" s="561"/>
      <c r="AA146" s="561"/>
      <c r="AB146" s="561"/>
      <c r="AC146" s="561"/>
      <c r="AD146" s="561"/>
    </row>
    <row r="147" spans="5:30">
      <c r="E147" s="561"/>
      <c r="F147" s="561"/>
      <c r="G147" s="561"/>
      <c r="H147" s="561"/>
      <c r="I147" s="561"/>
      <c r="J147" s="561"/>
      <c r="K147" s="561"/>
      <c r="L147" s="561"/>
      <c r="M147" s="561"/>
      <c r="N147" s="561"/>
      <c r="O147" s="561"/>
      <c r="P147" s="561"/>
      <c r="Q147" s="561"/>
      <c r="R147" s="561"/>
      <c r="S147" s="561"/>
      <c r="T147" s="561"/>
      <c r="U147" s="561"/>
      <c r="V147" s="561"/>
      <c r="W147" s="561"/>
      <c r="X147" s="561"/>
      <c r="Y147" s="561"/>
      <c r="Z147" s="561"/>
      <c r="AA147" s="561"/>
      <c r="AB147" s="561"/>
      <c r="AC147" s="561"/>
      <c r="AD147" s="561"/>
    </row>
    <row r="148" spans="5:30">
      <c r="E148" s="561"/>
      <c r="F148" s="561"/>
      <c r="G148" s="561"/>
      <c r="H148" s="561"/>
      <c r="I148" s="561"/>
      <c r="J148" s="561"/>
      <c r="K148" s="561"/>
      <c r="L148" s="561"/>
      <c r="M148" s="561"/>
      <c r="N148" s="561"/>
      <c r="O148" s="561"/>
      <c r="P148" s="561"/>
      <c r="Q148" s="561"/>
      <c r="R148" s="561"/>
      <c r="S148" s="561"/>
      <c r="T148" s="561"/>
      <c r="U148" s="561"/>
      <c r="V148" s="561"/>
      <c r="W148" s="561"/>
      <c r="X148" s="561"/>
      <c r="Y148" s="561"/>
      <c r="Z148" s="561"/>
      <c r="AA148" s="561"/>
      <c r="AB148" s="561"/>
      <c r="AC148" s="561"/>
      <c r="AD148" s="561"/>
    </row>
    <row r="149" spans="5:30">
      <c r="E149" s="561"/>
      <c r="F149" s="561"/>
      <c r="G149" s="561"/>
      <c r="H149" s="561"/>
      <c r="I149" s="561"/>
      <c r="J149" s="561"/>
      <c r="K149" s="561"/>
      <c r="L149" s="561"/>
      <c r="M149" s="561"/>
      <c r="N149" s="561"/>
      <c r="O149" s="561"/>
      <c r="P149" s="561"/>
      <c r="Q149" s="561"/>
      <c r="R149" s="561"/>
      <c r="S149" s="561"/>
      <c r="T149" s="561"/>
      <c r="U149" s="561"/>
      <c r="V149" s="561"/>
      <c r="W149" s="561"/>
      <c r="X149" s="561"/>
      <c r="Y149" s="561"/>
      <c r="Z149" s="561"/>
      <c r="AA149" s="561"/>
      <c r="AB149" s="561"/>
      <c r="AC149" s="561"/>
      <c r="AD149" s="561"/>
    </row>
    <row r="150" spans="5:30">
      <c r="E150" s="561"/>
      <c r="F150" s="561"/>
      <c r="G150" s="561"/>
      <c r="H150" s="561"/>
      <c r="I150" s="561"/>
      <c r="J150" s="561"/>
      <c r="K150" s="561"/>
      <c r="L150" s="561"/>
      <c r="M150" s="561"/>
      <c r="N150" s="561"/>
      <c r="O150" s="561"/>
      <c r="P150" s="561"/>
      <c r="Q150" s="561"/>
      <c r="R150" s="561"/>
      <c r="S150" s="561"/>
      <c r="T150" s="561"/>
      <c r="U150" s="561"/>
      <c r="V150" s="561"/>
      <c r="W150" s="561"/>
      <c r="X150" s="561"/>
      <c r="Y150" s="561"/>
      <c r="Z150" s="561"/>
      <c r="AA150" s="561"/>
      <c r="AB150" s="561"/>
      <c r="AC150" s="561"/>
      <c r="AD150" s="561"/>
    </row>
    <row r="151" spans="5:30">
      <c r="E151" s="561"/>
      <c r="F151" s="561"/>
      <c r="G151" s="561"/>
      <c r="H151" s="561"/>
      <c r="I151" s="561"/>
      <c r="J151" s="561"/>
      <c r="K151" s="561"/>
      <c r="L151" s="561"/>
      <c r="M151" s="561"/>
      <c r="N151" s="561"/>
      <c r="O151" s="561"/>
      <c r="P151" s="561"/>
      <c r="Q151" s="561"/>
      <c r="R151" s="561"/>
      <c r="S151" s="561"/>
      <c r="T151" s="561"/>
      <c r="U151" s="561"/>
      <c r="V151" s="561"/>
      <c r="W151" s="561"/>
      <c r="X151" s="561"/>
      <c r="Y151" s="561"/>
      <c r="Z151" s="561"/>
      <c r="AA151" s="561"/>
      <c r="AB151" s="561"/>
      <c r="AC151" s="561"/>
      <c r="AD151" s="561"/>
    </row>
    <row r="152" spans="5:30">
      <c r="E152" s="561"/>
      <c r="F152" s="561"/>
      <c r="G152" s="561"/>
      <c r="H152" s="561"/>
      <c r="I152" s="561"/>
      <c r="J152" s="561"/>
      <c r="K152" s="561"/>
      <c r="L152" s="561"/>
      <c r="M152" s="561"/>
      <c r="N152" s="561"/>
      <c r="O152" s="561"/>
      <c r="P152" s="561"/>
      <c r="Q152" s="561"/>
      <c r="R152" s="561"/>
      <c r="S152" s="561"/>
      <c r="T152" s="561"/>
      <c r="U152" s="561"/>
      <c r="V152" s="561"/>
      <c r="W152" s="561"/>
      <c r="X152" s="561"/>
      <c r="Y152" s="561"/>
      <c r="Z152" s="561"/>
      <c r="AA152" s="561"/>
      <c r="AB152" s="561"/>
      <c r="AC152" s="561"/>
      <c r="AD152" s="561"/>
    </row>
    <row r="153" spans="5:30">
      <c r="E153" s="561"/>
      <c r="F153" s="561"/>
      <c r="G153" s="561"/>
      <c r="H153" s="561"/>
      <c r="I153" s="561"/>
      <c r="J153" s="561"/>
      <c r="K153" s="561"/>
      <c r="L153" s="561"/>
      <c r="M153" s="561"/>
      <c r="N153" s="561"/>
      <c r="O153" s="561"/>
      <c r="P153" s="561"/>
      <c r="Q153" s="561"/>
      <c r="R153" s="561"/>
      <c r="S153" s="561"/>
      <c r="T153" s="561"/>
      <c r="U153" s="561"/>
      <c r="V153" s="561"/>
      <c r="W153" s="561"/>
      <c r="X153" s="561"/>
      <c r="Y153" s="561"/>
      <c r="Z153" s="561"/>
      <c r="AA153" s="561"/>
      <c r="AB153" s="561"/>
      <c r="AC153" s="561"/>
      <c r="AD153" s="561"/>
    </row>
    <row r="154" spans="5:30">
      <c r="E154" s="561"/>
      <c r="F154" s="561"/>
      <c r="G154" s="561"/>
      <c r="H154" s="561"/>
      <c r="I154" s="561"/>
      <c r="J154" s="561"/>
      <c r="K154" s="561"/>
      <c r="L154" s="561"/>
      <c r="M154" s="561"/>
      <c r="N154" s="561"/>
      <c r="O154" s="561"/>
      <c r="P154" s="561"/>
      <c r="Q154" s="561"/>
      <c r="R154" s="561"/>
      <c r="S154" s="561"/>
      <c r="T154" s="561"/>
      <c r="U154" s="561"/>
      <c r="V154" s="561"/>
      <c r="W154" s="561"/>
      <c r="X154" s="561"/>
      <c r="Y154" s="561"/>
      <c r="Z154" s="561"/>
      <c r="AA154" s="561"/>
      <c r="AB154" s="561"/>
      <c r="AC154" s="561"/>
      <c r="AD154" s="561"/>
    </row>
    <row r="155" spans="5:30">
      <c r="E155" s="561"/>
      <c r="F155" s="561"/>
      <c r="G155" s="561"/>
      <c r="H155" s="561"/>
      <c r="I155" s="561"/>
      <c r="J155" s="561"/>
      <c r="K155" s="561"/>
      <c r="L155" s="561"/>
      <c r="M155" s="561"/>
      <c r="N155" s="561"/>
      <c r="O155" s="561"/>
      <c r="P155" s="561"/>
      <c r="Q155" s="561"/>
      <c r="R155" s="561"/>
      <c r="S155" s="561"/>
      <c r="T155" s="561"/>
      <c r="U155" s="561"/>
      <c r="V155" s="561"/>
      <c r="W155" s="561"/>
      <c r="X155" s="561"/>
      <c r="Y155" s="561"/>
      <c r="Z155" s="561"/>
      <c r="AA155" s="561"/>
      <c r="AB155" s="561"/>
      <c r="AC155" s="561"/>
      <c r="AD155" s="561"/>
    </row>
    <row r="156" spans="5:30">
      <c r="E156" s="561"/>
      <c r="F156" s="561"/>
      <c r="G156" s="561"/>
      <c r="H156" s="561"/>
      <c r="I156" s="561"/>
      <c r="J156" s="561"/>
      <c r="K156" s="561"/>
      <c r="L156" s="561"/>
      <c r="M156" s="561"/>
      <c r="N156" s="561"/>
      <c r="O156" s="561"/>
      <c r="P156" s="561"/>
      <c r="Q156" s="561"/>
      <c r="R156" s="561"/>
      <c r="S156" s="561"/>
      <c r="T156" s="561"/>
      <c r="U156" s="561"/>
      <c r="V156" s="561"/>
      <c r="W156" s="561"/>
      <c r="X156" s="561"/>
      <c r="Y156" s="561"/>
      <c r="Z156" s="561"/>
      <c r="AA156" s="561"/>
      <c r="AB156" s="561"/>
      <c r="AC156" s="561"/>
      <c r="AD156" s="561"/>
    </row>
    <row r="157" spans="5:30">
      <c r="E157" s="561"/>
      <c r="F157" s="561"/>
      <c r="G157" s="561"/>
      <c r="H157" s="561"/>
      <c r="I157" s="561"/>
      <c r="J157" s="561"/>
      <c r="K157" s="561"/>
      <c r="L157" s="561"/>
      <c r="M157" s="561"/>
      <c r="N157" s="561"/>
      <c r="O157" s="561"/>
      <c r="P157" s="561"/>
      <c r="Q157" s="561"/>
      <c r="R157" s="561"/>
      <c r="S157" s="561"/>
      <c r="T157" s="561"/>
      <c r="U157" s="561"/>
      <c r="V157" s="561"/>
      <c r="W157" s="561"/>
      <c r="X157" s="561"/>
      <c r="Y157" s="561"/>
      <c r="Z157" s="561"/>
      <c r="AA157" s="561"/>
      <c r="AB157" s="561"/>
      <c r="AC157" s="561"/>
      <c r="AD157" s="561"/>
    </row>
    <row r="158" spans="5:30">
      <c r="E158" s="561"/>
      <c r="F158" s="561"/>
      <c r="G158" s="561"/>
      <c r="H158" s="561"/>
      <c r="I158" s="561"/>
      <c r="J158" s="561"/>
      <c r="K158" s="561"/>
      <c r="L158" s="561"/>
      <c r="M158" s="561"/>
      <c r="N158" s="561"/>
      <c r="O158" s="561"/>
      <c r="P158" s="561"/>
      <c r="Q158" s="561"/>
      <c r="R158" s="561"/>
      <c r="S158" s="561"/>
      <c r="T158" s="561"/>
      <c r="U158" s="561"/>
      <c r="V158" s="561"/>
      <c r="W158" s="561"/>
      <c r="X158" s="561"/>
      <c r="Y158" s="561"/>
      <c r="Z158" s="561"/>
      <c r="AA158" s="561"/>
      <c r="AB158" s="561"/>
      <c r="AC158" s="561"/>
      <c r="AD158" s="561"/>
    </row>
    <row r="159" spans="5:30">
      <c r="E159" s="561"/>
      <c r="F159" s="561"/>
      <c r="G159" s="561"/>
      <c r="H159" s="561"/>
      <c r="I159" s="561"/>
      <c r="J159" s="561"/>
      <c r="K159" s="561"/>
      <c r="L159" s="561"/>
      <c r="M159" s="561"/>
      <c r="N159" s="561"/>
      <c r="O159" s="561"/>
      <c r="P159" s="561"/>
      <c r="Q159" s="561"/>
      <c r="R159" s="561"/>
      <c r="S159" s="561"/>
      <c r="T159" s="561"/>
      <c r="U159" s="561"/>
      <c r="V159" s="561"/>
      <c r="W159" s="561"/>
      <c r="X159" s="561"/>
      <c r="Y159" s="561"/>
      <c r="Z159" s="561"/>
      <c r="AA159" s="561"/>
      <c r="AB159" s="561"/>
      <c r="AC159" s="561"/>
      <c r="AD159" s="561"/>
    </row>
    <row r="160" spans="5:30">
      <c r="E160" s="561"/>
      <c r="F160" s="561"/>
      <c r="G160" s="561"/>
      <c r="H160" s="561"/>
      <c r="I160" s="561"/>
      <c r="J160" s="561"/>
      <c r="K160" s="561"/>
      <c r="L160" s="561"/>
      <c r="M160" s="561"/>
      <c r="N160" s="561"/>
      <c r="O160" s="561"/>
      <c r="P160" s="561"/>
      <c r="Q160" s="561"/>
      <c r="R160" s="561"/>
      <c r="S160" s="561"/>
      <c r="T160" s="561"/>
      <c r="U160" s="561"/>
      <c r="V160" s="561"/>
      <c r="W160" s="561"/>
      <c r="X160" s="561"/>
      <c r="Y160" s="561"/>
      <c r="Z160" s="561"/>
      <c r="AA160" s="561"/>
      <c r="AB160" s="561"/>
      <c r="AC160" s="561"/>
      <c r="AD160" s="561"/>
    </row>
    <row r="161" spans="5:30">
      <c r="E161" s="561"/>
      <c r="F161" s="561"/>
      <c r="G161" s="561"/>
      <c r="H161" s="561"/>
      <c r="I161" s="561"/>
      <c r="J161" s="561"/>
      <c r="K161" s="561"/>
      <c r="L161" s="561"/>
      <c r="M161" s="561"/>
      <c r="N161" s="561"/>
      <c r="O161" s="561"/>
      <c r="P161" s="561"/>
      <c r="Q161" s="561"/>
      <c r="R161" s="561"/>
      <c r="S161" s="561"/>
      <c r="T161" s="561"/>
      <c r="U161" s="561"/>
      <c r="V161" s="561"/>
      <c r="W161" s="561"/>
      <c r="X161" s="561"/>
      <c r="Y161" s="561"/>
      <c r="Z161" s="561"/>
      <c r="AA161" s="561"/>
      <c r="AB161" s="561"/>
      <c r="AC161" s="561"/>
      <c r="AD161" s="561"/>
    </row>
    <row r="162" spans="5:30">
      <c r="E162" s="561"/>
      <c r="F162" s="561"/>
      <c r="G162" s="561"/>
      <c r="H162" s="561"/>
      <c r="I162" s="561"/>
      <c r="J162" s="561"/>
      <c r="K162" s="561"/>
      <c r="L162" s="561"/>
      <c r="M162" s="561"/>
      <c r="N162" s="561"/>
      <c r="O162" s="561"/>
      <c r="P162" s="561"/>
      <c r="Q162" s="561"/>
      <c r="R162" s="561"/>
      <c r="S162" s="561"/>
      <c r="T162" s="561"/>
      <c r="U162" s="561"/>
      <c r="V162" s="561"/>
      <c r="W162" s="561"/>
      <c r="X162" s="561"/>
      <c r="Y162" s="561"/>
      <c r="Z162" s="561"/>
      <c r="AA162" s="561"/>
      <c r="AB162" s="561"/>
      <c r="AC162" s="561"/>
      <c r="AD162" s="561"/>
    </row>
    <row r="163" spans="5:30">
      <c r="E163" s="561"/>
      <c r="F163" s="561"/>
      <c r="G163" s="561"/>
      <c r="H163" s="561"/>
      <c r="I163" s="561"/>
      <c r="J163" s="561"/>
      <c r="K163" s="561"/>
      <c r="L163" s="561"/>
      <c r="M163" s="561"/>
      <c r="N163" s="561"/>
      <c r="O163" s="561"/>
      <c r="P163" s="561"/>
      <c r="Q163" s="561"/>
      <c r="R163" s="561"/>
      <c r="S163" s="561"/>
      <c r="T163" s="561"/>
      <c r="U163" s="561"/>
      <c r="V163" s="561"/>
      <c r="W163" s="561"/>
      <c r="X163" s="561"/>
      <c r="Y163" s="561"/>
      <c r="Z163" s="561"/>
      <c r="AA163" s="561"/>
      <c r="AB163" s="561"/>
      <c r="AC163" s="561"/>
      <c r="AD163" s="561"/>
    </row>
    <row r="164" spans="5:30">
      <c r="E164" s="561"/>
      <c r="F164" s="561"/>
      <c r="G164" s="561"/>
      <c r="H164" s="561"/>
      <c r="I164" s="561"/>
      <c r="J164" s="561"/>
      <c r="K164" s="561"/>
      <c r="L164" s="561"/>
      <c r="M164" s="561"/>
      <c r="N164" s="561"/>
      <c r="O164" s="561"/>
      <c r="P164" s="561"/>
      <c r="Q164" s="561"/>
      <c r="R164" s="561"/>
      <c r="S164" s="561"/>
      <c r="T164" s="561"/>
      <c r="U164" s="561"/>
      <c r="V164" s="561"/>
      <c r="W164" s="561"/>
      <c r="X164" s="561"/>
      <c r="Y164" s="561"/>
      <c r="Z164" s="561"/>
      <c r="AA164" s="561"/>
      <c r="AB164" s="561"/>
      <c r="AC164" s="561"/>
      <c r="AD164" s="561"/>
    </row>
    <row r="165" spans="5:30">
      <c r="E165" s="561"/>
      <c r="F165" s="561"/>
      <c r="G165" s="561"/>
      <c r="H165" s="561"/>
      <c r="I165" s="561"/>
      <c r="J165" s="561"/>
      <c r="K165" s="561"/>
      <c r="L165" s="561"/>
      <c r="M165" s="561"/>
      <c r="N165" s="561"/>
      <c r="O165" s="561"/>
      <c r="P165" s="561"/>
      <c r="Q165" s="561"/>
      <c r="R165" s="561"/>
      <c r="S165" s="561"/>
      <c r="T165" s="561"/>
      <c r="U165" s="561"/>
      <c r="V165" s="561"/>
      <c r="W165" s="561"/>
      <c r="X165" s="561"/>
      <c r="Y165" s="561"/>
      <c r="Z165" s="561"/>
      <c r="AA165" s="561"/>
      <c r="AB165" s="561"/>
      <c r="AC165" s="561"/>
      <c r="AD165" s="561"/>
    </row>
    <row r="166" spans="5:30">
      <c r="E166" s="561"/>
      <c r="F166" s="561"/>
      <c r="G166" s="561"/>
      <c r="H166" s="561"/>
      <c r="I166" s="561"/>
      <c r="J166" s="561"/>
      <c r="K166" s="561"/>
      <c r="L166" s="561"/>
      <c r="M166" s="561"/>
      <c r="N166" s="561"/>
      <c r="O166" s="561"/>
      <c r="P166" s="561"/>
      <c r="Q166" s="561"/>
      <c r="R166" s="561"/>
      <c r="S166" s="561"/>
      <c r="T166" s="561"/>
      <c r="U166" s="561"/>
      <c r="V166" s="561"/>
      <c r="W166" s="561"/>
      <c r="X166" s="561"/>
      <c r="Y166" s="561"/>
      <c r="Z166" s="561"/>
      <c r="AA166" s="561"/>
      <c r="AB166" s="561"/>
      <c r="AC166" s="561"/>
      <c r="AD166" s="561"/>
    </row>
    <row r="167" spans="5:30">
      <c r="E167" s="561"/>
      <c r="F167" s="561"/>
      <c r="G167" s="561"/>
      <c r="H167" s="561"/>
      <c r="I167" s="561"/>
      <c r="J167" s="561"/>
      <c r="K167" s="561"/>
      <c r="L167" s="561"/>
      <c r="M167" s="561"/>
      <c r="N167" s="561"/>
      <c r="O167" s="561"/>
      <c r="P167" s="561"/>
      <c r="Q167" s="561"/>
      <c r="R167" s="561"/>
      <c r="S167" s="561"/>
      <c r="T167" s="561"/>
      <c r="U167" s="561"/>
      <c r="V167" s="561"/>
      <c r="W167" s="561"/>
      <c r="X167" s="561"/>
      <c r="Y167" s="561"/>
      <c r="Z167" s="561"/>
      <c r="AA167" s="561"/>
      <c r="AB167" s="561"/>
      <c r="AC167" s="561"/>
      <c r="AD167" s="561"/>
    </row>
    <row r="168" spans="5:30">
      <c r="E168" s="561"/>
      <c r="F168" s="561"/>
      <c r="G168" s="561"/>
      <c r="H168" s="561"/>
      <c r="I168" s="561"/>
      <c r="J168" s="561"/>
      <c r="K168" s="561"/>
      <c r="L168" s="561"/>
      <c r="M168" s="561"/>
      <c r="N168" s="561"/>
      <c r="O168" s="561"/>
      <c r="P168" s="561"/>
      <c r="Q168" s="561"/>
      <c r="R168" s="561"/>
      <c r="S168" s="561"/>
      <c r="T168" s="561"/>
      <c r="U168" s="561"/>
      <c r="V168" s="561"/>
      <c r="W168" s="561"/>
      <c r="X168" s="561"/>
      <c r="Y168" s="561"/>
      <c r="Z168" s="561"/>
      <c r="AA168" s="561"/>
      <c r="AB168" s="561"/>
      <c r="AC168" s="561"/>
      <c r="AD168" s="561"/>
    </row>
    <row r="169" spans="5:30">
      <c r="E169" s="561"/>
      <c r="F169" s="561"/>
      <c r="G169" s="561"/>
      <c r="H169" s="561"/>
      <c r="I169" s="561"/>
      <c r="J169" s="561"/>
      <c r="K169" s="561"/>
      <c r="L169" s="561"/>
      <c r="M169" s="561"/>
      <c r="N169" s="561"/>
      <c r="O169" s="561"/>
      <c r="P169" s="561"/>
      <c r="Q169" s="561"/>
      <c r="R169" s="561"/>
      <c r="S169" s="561"/>
      <c r="T169" s="561"/>
      <c r="U169" s="561"/>
      <c r="V169" s="561"/>
      <c r="W169" s="561"/>
      <c r="X169" s="561"/>
      <c r="Y169" s="561"/>
      <c r="Z169" s="561"/>
      <c r="AA169" s="561"/>
      <c r="AB169" s="561"/>
      <c r="AC169" s="561"/>
      <c r="AD169" s="561"/>
    </row>
    <row r="170" spans="5:30">
      <c r="E170" s="561"/>
      <c r="F170" s="561"/>
      <c r="G170" s="561"/>
      <c r="H170" s="561"/>
      <c r="I170" s="561"/>
      <c r="J170" s="561"/>
      <c r="K170" s="561"/>
      <c r="L170" s="561"/>
      <c r="M170" s="561"/>
      <c r="N170" s="561"/>
      <c r="O170" s="561"/>
      <c r="P170" s="561"/>
      <c r="Q170" s="561"/>
      <c r="R170" s="561"/>
      <c r="S170" s="561"/>
      <c r="T170" s="561"/>
      <c r="U170" s="561"/>
      <c r="V170" s="561"/>
      <c r="W170" s="561"/>
      <c r="X170" s="561"/>
      <c r="Y170" s="561"/>
      <c r="Z170" s="561"/>
      <c r="AA170" s="561"/>
      <c r="AB170" s="561"/>
      <c r="AC170" s="561"/>
      <c r="AD170" s="561"/>
    </row>
    <row r="171" spans="5:30">
      <c r="E171" s="561"/>
      <c r="F171" s="561"/>
      <c r="G171" s="561"/>
      <c r="H171" s="561"/>
      <c r="I171" s="561"/>
      <c r="J171" s="561"/>
      <c r="K171" s="561"/>
      <c r="L171" s="561"/>
      <c r="M171" s="561"/>
      <c r="N171" s="561"/>
      <c r="O171" s="561"/>
      <c r="P171" s="561"/>
      <c r="Q171" s="561"/>
      <c r="R171" s="561"/>
      <c r="S171" s="561"/>
      <c r="T171" s="561"/>
      <c r="U171" s="561"/>
      <c r="V171" s="561"/>
      <c r="W171" s="561"/>
      <c r="X171" s="561"/>
      <c r="Y171" s="561"/>
      <c r="Z171" s="561"/>
      <c r="AA171" s="561"/>
      <c r="AB171" s="561"/>
      <c r="AC171" s="561"/>
      <c r="AD171" s="561"/>
    </row>
    <row r="172" spans="5:30">
      <c r="E172" s="561"/>
      <c r="F172" s="561"/>
      <c r="G172" s="561"/>
      <c r="H172" s="561"/>
      <c r="I172" s="561"/>
      <c r="J172" s="561"/>
      <c r="K172" s="561"/>
      <c r="L172" s="561"/>
      <c r="M172" s="561"/>
      <c r="N172" s="561"/>
      <c r="O172" s="561"/>
      <c r="P172" s="561"/>
      <c r="Q172" s="561"/>
      <c r="R172" s="561"/>
      <c r="S172" s="561"/>
      <c r="T172" s="561"/>
      <c r="U172" s="561"/>
      <c r="V172" s="561"/>
      <c r="W172" s="561"/>
      <c r="X172" s="561"/>
      <c r="Y172" s="561"/>
      <c r="Z172" s="561"/>
      <c r="AA172" s="561"/>
      <c r="AB172" s="561"/>
      <c r="AC172" s="561"/>
      <c r="AD172" s="561"/>
    </row>
    <row r="173" spans="5:30">
      <c r="E173" s="561"/>
      <c r="F173" s="561"/>
      <c r="G173" s="561"/>
      <c r="H173" s="561"/>
      <c r="I173" s="561"/>
      <c r="J173" s="561"/>
      <c r="K173" s="561"/>
      <c r="L173" s="561"/>
      <c r="M173" s="561"/>
      <c r="N173" s="561"/>
      <c r="O173" s="561"/>
      <c r="P173" s="561"/>
      <c r="Q173" s="561"/>
      <c r="R173" s="561"/>
      <c r="S173" s="561"/>
      <c r="T173" s="561"/>
      <c r="U173" s="561"/>
      <c r="V173" s="561"/>
      <c r="W173" s="561"/>
      <c r="X173" s="561"/>
      <c r="Y173" s="561"/>
      <c r="Z173" s="561"/>
      <c r="AA173" s="561"/>
      <c r="AB173" s="561"/>
      <c r="AC173" s="561"/>
      <c r="AD173" s="561"/>
    </row>
    <row r="174" spans="5:30">
      <c r="E174" s="561"/>
      <c r="F174" s="561"/>
      <c r="G174" s="561"/>
      <c r="H174" s="561"/>
      <c r="I174" s="561"/>
      <c r="J174" s="561"/>
      <c r="K174" s="561"/>
      <c r="L174" s="561"/>
      <c r="M174" s="561"/>
      <c r="N174" s="561"/>
      <c r="O174" s="561"/>
      <c r="P174" s="561"/>
      <c r="Q174" s="561"/>
      <c r="R174" s="561"/>
      <c r="S174" s="561"/>
      <c r="T174" s="561"/>
      <c r="U174" s="561"/>
      <c r="V174" s="561"/>
      <c r="W174" s="561"/>
      <c r="X174" s="561"/>
      <c r="Y174" s="561"/>
      <c r="Z174" s="561"/>
      <c r="AA174" s="561"/>
      <c r="AB174" s="561"/>
      <c r="AC174" s="561"/>
      <c r="AD174" s="561"/>
    </row>
    <row r="175" spans="5:30">
      <c r="E175" s="561"/>
      <c r="F175" s="561"/>
      <c r="G175" s="561"/>
      <c r="H175" s="561"/>
      <c r="I175" s="561"/>
      <c r="J175" s="561"/>
      <c r="K175" s="561"/>
      <c r="L175" s="561"/>
      <c r="M175" s="561"/>
      <c r="N175" s="561"/>
      <c r="O175" s="561"/>
      <c r="P175" s="561"/>
      <c r="Q175" s="561"/>
      <c r="R175" s="561"/>
      <c r="S175" s="561"/>
      <c r="T175" s="561"/>
      <c r="U175" s="561"/>
      <c r="V175" s="561"/>
      <c r="W175" s="561"/>
      <c r="X175" s="561"/>
      <c r="Y175" s="561"/>
      <c r="Z175" s="561"/>
      <c r="AA175" s="561"/>
      <c r="AB175" s="561"/>
      <c r="AC175" s="561"/>
      <c r="AD175" s="561"/>
    </row>
    <row r="176" spans="5:30">
      <c r="E176" s="561"/>
      <c r="F176" s="561"/>
      <c r="G176" s="561"/>
      <c r="H176" s="561"/>
      <c r="I176" s="561"/>
      <c r="J176" s="561"/>
      <c r="K176" s="561"/>
      <c r="L176" s="561"/>
      <c r="M176" s="561"/>
      <c r="N176" s="561"/>
      <c r="O176" s="561"/>
      <c r="P176" s="561"/>
      <c r="Q176" s="561"/>
      <c r="R176" s="561"/>
      <c r="S176" s="561"/>
      <c r="T176" s="561"/>
      <c r="U176" s="561"/>
      <c r="V176" s="561"/>
      <c r="W176" s="561"/>
      <c r="X176" s="561"/>
      <c r="Y176" s="561"/>
      <c r="Z176" s="561"/>
      <c r="AA176" s="561"/>
      <c r="AB176" s="561"/>
      <c r="AC176" s="561"/>
      <c r="AD176" s="561"/>
    </row>
    <row r="177" spans="5:30">
      <c r="E177" s="561"/>
      <c r="F177" s="561"/>
      <c r="G177" s="561"/>
      <c r="H177" s="561"/>
      <c r="I177" s="561"/>
      <c r="J177" s="561"/>
      <c r="K177" s="561"/>
      <c r="L177" s="561"/>
      <c r="M177" s="561"/>
      <c r="N177" s="561"/>
      <c r="O177" s="561"/>
      <c r="P177" s="561"/>
      <c r="Q177" s="561"/>
      <c r="R177" s="561"/>
      <c r="S177" s="561"/>
      <c r="T177" s="561"/>
      <c r="U177" s="561"/>
      <c r="V177" s="561"/>
      <c r="W177" s="561"/>
      <c r="X177" s="561"/>
      <c r="Y177" s="561"/>
      <c r="Z177" s="561"/>
      <c r="AA177" s="561"/>
      <c r="AB177" s="561"/>
      <c r="AC177" s="561"/>
      <c r="AD177" s="561"/>
    </row>
    <row r="178" spans="5:30">
      <c r="E178" s="561"/>
      <c r="F178" s="561"/>
      <c r="G178" s="561"/>
      <c r="H178" s="561"/>
      <c r="I178" s="561"/>
      <c r="J178" s="561"/>
      <c r="K178" s="561"/>
      <c r="L178" s="561"/>
      <c r="M178" s="561"/>
      <c r="N178" s="561"/>
      <c r="O178" s="561"/>
      <c r="P178" s="561"/>
      <c r="Q178" s="561"/>
      <c r="R178" s="561"/>
      <c r="S178" s="561"/>
      <c r="T178" s="561"/>
      <c r="U178" s="561"/>
      <c r="V178" s="561"/>
      <c r="W178" s="561"/>
      <c r="X178" s="561"/>
      <c r="Y178" s="561"/>
      <c r="Z178" s="561"/>
      <c r="AA178" s="561"/>
      <c r="AB178" s="561"/>
      <c r="AC178" s="561"/>
      <c r="AD178" s="561"/>
    </row>
    <row r="179" spans="5:30">
      <c r="E179" s="561"/>
      <c r="F179" s="561"/>
      <c r="G179" s="561"/>
      <c r="H179" s="561"/>
      <c r="I179" s="561"/>
      <c r="J179" s="561"/>
      <c r="K179" s="561"/>
      <c r="L179" s="561"/>
      <c r="M179" s="561"/>
      <c r="N179" s="561"/>
      <c r="O179" s="561"/>
      <c r="P179" s="561"/>
      <c r="Q179" s="561"/>
      <c r="R179" s="561"/>
      <c r="S179" s="561"/>
      <c r="T179" s="561"/>
      <c r="U179" s="561"/>
      <c r="V179" s="561"/>
      <c r="W179" s="561"/>
      <c r="X179" s="561"/>
      <c r="Y179" s="561"/>
      <c r="Z179" s="561"/>
      <c r="AA179" s="561"/>
      <c r="AB179" s="561"/>
      <c r="AC179" s="561"/>
      <c r="AD179" s="561"/>
    </row>
    <row r="180" spans="5:30">
      <c r="E180" s="561"/>
      <c r="F180" s="561"/>
      <c r="G180" s="561"/>
      <c r="H180" s="561"/>
      <c r="I180" s="561"/>
      <c r="J180" s="561"/>
      <c r="K180" s="561"/>
      <c r="L180" s="561"/>
      <c r="M180" s="561"/>
      <c r="N180" s="561"/>
      <c r="O180" s="561"/>
      <c r="P180" s="561"/>
      <c r="Q180" s="561"/>
      <c r="R180" s="561"/>
      <c r="S180" s="561"/>
      <c r="T180" s="561"/>
      <c r="U180" s="561"/>
      <c r="V180" s="561"/>
      <c r="W180" s="561"/>
      <c r="X180" s="561"/>
      <c r="Y180" s="561"/>
      <c r="Z180" s="561"/>
      <c r="AA180" s="561"/>
      <c r="AB180" s="561"/>
      <c r="AC180" s="561"/>
      <c r="AD180" s="561"/>
    </row>
    <row r="181" spans="5:30">
      <c r="E181" s="561"/>
      <c r="F181" s="561"/>
      <c r="G181" s="561"/>
      <c r="H181" s="561"/>
      <c r="I181" s="561"/>
      <c r="J181" s="561"/>
      <c r="K181" s="561"/>
      <c r="L181" s="561"/>
      <c r="M181" s="561"/>
      <c r="N181" s="561"/>
      <c r="O181" s="561"/>
      <c r="P181" s="561"/>
      <c r="Q181" s="561"/>
      <c r="R181" s="561"/>
      <c r="S181" s="561"/>
      <c r="T181" s="561"/>
      <c r="U181" s="561"/>
      <c r="V181" s="561"/>
      <c r="W181" s="561"/>
      <c r="X181" s="561"/>
      <c r="Y181" s="561"/>
      <c r="Z181" s="561"/>
      <c r="AA181" s="561"/>
      <c r="AB181" s="561"/>
      <c r="AC181" s="561"/>
      <c r="AD181" s="561"/>
    </row>
    <row r="182" spans="5:30">
      <c r="E182" s="561"/>
      <c r="F182" s="561"/>
      <c r="G182" s="561"/>
      <c r="H182" s="561"/>
      <c r="I182" s="561"/>
      <c r="J182" s="561"/>
      <c r="K182" s="561"/>
      <c r="L182" s="561"/>
      <c r="M182" s="561"/>
      <c r="N182" s="561"/>
      <c r="O182" s="561"/>
      <c r="P182" s="561"/>
      <c r="Q182" s="561"/>
      <c r="R182" s="561"/>
      <c r="S182" s="561"/>
      <c r="T182" s="561"/>
      <c r="U182" s="561"/>
      <c r="V182" s="561"/>
      <c r="W182" s="561"/>
      <c r="X182" s="561"/>
      <c r="Y182" s="561"/>
      <c r="Z182" s="561"/>
      <c r="AA182" s="561"/>
      <c r="AB182" s="561"/>
      <c r="AC182" s="561"/>
      <c r="AD182" s="561"/>
    </row>
    <row r="183" spans="5:30">
      <c r="E183" s="561"/>
      <c r="F183" s="561"/>
      <c r="G183" s="561"/>
      <c r="H183" s="561"/>
      <c r="I183" s="561"/>
      <c r="J183" s="561"/>
      <c r="K183" s="561"/>
      <c r="L183" s="561"/>
      <c r="M183" s="561"/>
      <c r="N183" s="561"/>
      <c r="O183" s="561"/>
      <c r="P183" s="561"/>
      <c r="Q183" s="561"/>
      <c r="R183" s="561"/>
      <c r="S183" s="561"/>
      <c r="T183" s="561"/>
      <c r="U183" s="561"/>
      <c r="V183" s="561"/>
      <c r="W183" s="561"/>
      <c r="X183" s="561"/>
      <c r="Y183" s="561"/>
      <c r="Z183" s="561"/>
      <c r="AA183" s="561"/>
      <c r="AB183" s="561"/>
      <c r="AC183" s="561"/>
      <c r="AD183" s="561"/>
    </row>
    <row r="184" spans="5:30">
      <c r="E184" s="561"/>
      <c r="F184" s="561"/>
      <c r="G184" s="561"/>
      <c r="H184" s="561"/>
      <c r="I184" s="561"/>
      <c r="J184" s="561"/>
      <c r="K184" s="561"/>
      <c r="L184" s="561"/>
      <c r="M184" s="561"/>
      <c r="N184" s="561"/>
      <c r="O184" s="561"/>
      <c r="P184" s="561"/>
      <c r="Q184" s="561"/>
      <c r="R184" s="561"/>
      <c r="S184" s="561"/>
      <c r="T184" s="561"/>
      <c r="U184" s="561"/>
      <c r="V184" s="561"/>
      <c r="W184" s="561"/>
      <c r="X184" s="561"/>
      <c r="Y184" s="561"/>
      <c r="Z184" s="561"/>
      <c r="AA184" s="561"/>
      <c r="AB184" s="561"/>
      <c r="AC184" s="561"/>
      <c r="AD184" s="561"/>
    </row>
    <row r="185" spans="5:30">
      <c r="E185" s="561"/>
      <c r="F185" s="561"/>
      <c r="G185" s="561"/>
      <c r="H185" s="561"/>
      <c r="I185" s="561"/>
      <c r="J185" s="561"/>
      <c r="K185" s="561"/>
      <c r="L185" s="561"/>
      <c r="M185" s="561"/>
      <c r="N185" s="561"/>
      <c r="O185" s="561"/>
      <c r="P185" s="561"/>
      <c r="Q185" s="561"/>
      <c r="R185" s="561"/>
      <c r="S185" s="561"/>
      <c r="T185" s="561"/>
      <c r="U185" s="561"/>
      <c r="V185" s="561"/>
      <c r="W185" s="561"/>
      <c r="X185" s="561"/>
      <c r="Y185" s="561"/>
      <c r="Z185" s="561"/>
      <c r="AA185" s="561"/>
      <c r="AB185" s="561"/>
      <c r="AC185" s="561"/>
      <c r="AD185" s="561"/>
    </row>
    <row r="186" spans="5:30">
      <c r="E186" s="561"/>
      <c r="F186" s="561"/>
      <c r="G186" s="561"/>
      <c r="H186" s="561"/>
      <c r="I186" s="561"/>
      <c r="J186" s="561"/>
      <c r="K186" s="561"/>
      <c r="L186" s="561"/>
      <c r="M186" s="561"/>
      <c r="N186" s="561"/>
      <c r="O186" s="561"/>
      <c r="P186" s="561"/>
      <c r="Q186" s="561"/>
      <c r="R186" s="561"/>
      <c r="S186" s="561"/>
      <c r="T186" s="561"/>
      <c r="U186" s="561"/>
      <c r="V186" s="561"/>
      <c r="W186" s="561"/>
      <c r="X186" s="561"/>
      <c r="Y186" s="561"/>
      <c r="Z186" s="561"/>
      <c r="AA186" s="561"/>
      <c r="AB186" s="561"/>
      <c r="AC186" s="561"/>
      <c r="AD186" s="561"/>
    </row>
    <row r="187" spans="5:30">
      <c r="E187" s="561"/>
      <c r="F187" s="561"/>
      <c r="G187" s="561"/>
      <c r="H187" s="561"/>
      <c r="I187" s="561"/>
      <c r="J187" s="561"/>
      <c r="K187" s="561"/>
      <c r="L187" s="561"/>
      <c r="M187" s="561"/>
      <c r="N187" s="561"/>
      <c r="O187" s="561"/>
      <c r="P187" s="561"/>
      <c r="Q187" s="561"/>
      <c r="R187" s="561"/>
      <c r="S187" s="561"/>
      <c r="T187" s="561"/>
      <c r="U187" s="561"/>
      <c r="V187" s="561"/>
      <c r="W187" s="561"/>
      <c r="X187" s="561"/>
      <c r="Y187" s="561"/>
      <c r="Z187" s="561"/>
      <c r="AA187" s="561"/>
      <c r="AB187" s="561"/>
      <c r="AC187" s="561"/>
      <c r="AD187" s="561"/>
    </row>
    <row r="188" spans="5:30">
      <c r="E188" s="561"/>
      <c r="F188" s="561"/>
      <c r="G188" s="561"/>
      <c r="H188" s="561"/>
      <c r="I188" s="561"/>
      <c r="J188" s="561"/>
      <c r="K188" s="561"/>
      <c r="L188" s="561"/>
      <c r="M188" s="561"/>
      <c r="N188" s="561"/>
      <c r="O188" s="561"/>
      <c r="P188" s="561"/>
      <c r="Q188" s="561"/>
      <c r="R188" s="561"/>
      <c r="S188" s="561"/>
      <c r="T188" s="561"/>
      <c r="U188" s="561"/>
      <c r="V188" s="561"/>
      <c r="W188" s="561"/>
      <c r="X188" s="561"/>
      <c r="Y188" s="561"/>
      <c r="Z188" s="561"/>
      <c r="AA188" s="561"/>
      <c r="AB188" s="561"/>
      <c r="AC188" s="561"/>
      <c r="AD188" s="561"/>
    </row>
    <row r="189" spans="5:30">
      <c r="E189" s="561"/>
      <c r="F189" s="561"/>
      <c r="G189" s="561"/>
      <c r="H189" s="561"/>
      <c r="I189" s="561"/>
      <c r="J189" s="561"/>
      <c r="K189" s="561"/>
      <c r="L189" s="561"/>
      <c r="M189" s="561"/>
      <c r="N189" s="561"/>
      <c r="O189" s="561"/>
      <c r="P189" s="561"/>
      <c r="Q189" s="561"/>
      <c r="R189" s="561"/>
      <c r="S189" s="561"/>
      <c r="T189" s="561"/>
      <c r="U189" s="561"/>
      <c r="V189" s="561"/>
      <c r="W189" s="561"/>
      <c r="X189" s="561"/>
      <c r="Y189" s="561"/>
      <c r="Z189" s="561"/>
      <c r="AA189" s="561"/>
      <c r="AB189" s="561"/>
      <c r="AC189" s="561"/>
      <c r="AD189" s="561"/>
    </row>
    <row r="190" spans="5:30">
      <c r="E190" s="561"/>
      <c r="F190" s="561"/>
      <c r="G190" s="561"/>
      <c r="H190" s="561"/>
      <c r="I190" s="561"/>
      <c r="J190" s="561"/>
      <c r="K190" s="561"/>
      <c r="L190" s="561"/>
      <c r="M190" s="561"/>
      <c r="N190" s="561"/>
      <c r="O190" s="561"/>
      <c r="P190" s="561"/>
      <c r="Q190" s="561"/>
      <c r="R190" s="561"/>
      <c r="S190" s="561"/>
      <c r="T190" s="561"/>
      <c r="U190" s="561"/>
      <c r="V190" s="561"/>
      <c r="W190" s="561"/>
      <c r="X190" s="561"/>
      <c r="Y190" s="561"/>
      <c r="Z190" s="561"/>
      <c r="AA190" s="561"/>
      <c r="AB190" s="561"/>
      <c r="AC190" s="561"/>
      <c r="AD190" s="561"/>
    </row>
    <row r="191" spans="5:30">
      <c r="E191" s="561"/>
      <c r="F191" s="561"/>
      <c r="G191" s="561"/>
      <c r="H191" s="561"/>
      <c r="I191" s="561"/>
      <c r="J191" s="561"/>
      <c r="K191" s="561"/>
      <c r="L191" s="561"/>
      <c r="M191" s="561"/>
      <c r="N191" s="561"/>
      <c r="O191" s="561"/>
      <c r="P191" s="561"/>
      <c r="Q191" s="561"/>
      <c r="R191" s="561"/>
      <c r="S191" s="561"/>
      <c r="T191" s="561"/>
      <c r="U191" s="561"/>
      <c r="V191" s="561"/>
      <c r="W191" s="561"/>
      <c r="X191" s="561"/>
      <c r="Y191" s="561"/>
      <c r="Z191" s="561"/>
      <c r="AA191" s="561"/>
      <c r="AB191" s="561"/>
      <c r="AC191" s="561"/>
      <c r="AD191" s="561"/>
    </row>
    <row r="192" spans="5:30">
      <c r="E192" s="561"/>
      <c r="F192" s="561"/>
      <c r="G192" s="561"/>
      <c r="H192" s="561"/>
      <c r="I192" s="561"/>
      <c r="J192" s="561"/>
      <c r="K192" s="561"/>
      <c r="L192" s="561"/>
      <c r="M192" s="561"/>
      <c r="N192" s="561"/>
      <c r="O192" s="561"/>
      <c r="P192" s="561"/>
      <c r="Q192" s="561"/>
      <c r="R192" s="561"/>
      <c r="S192" s="561"/>
      <c r="T192" s="561"/>
      <c r="U192" s="561"/>
      <c r="V192" s="561"/>
      <c r="W192" s="561"/>
      <c r="X192" s="561"/>
      <c r="Y192" s="561"/>
      <c r="Z192" s="561"/>
      <c r="AA192" s="561"/>
      <c r="AB192" s="561"/>
      <c r="AC192" s="561"/>
      <c r="AD192" s="561"/>
    </row>
    <row r="193" spans="5:30">
      <c r="E193" s="561"/>
      <c r="F193" s="561"/>
      <c r="G193" s="561"/>
      <c r="H193" s="561"/>
      <c r="I193" s="561"/>
      <c r="J193" s="561"/>
      <c r="K193" s="561"/>
      <c r="L193" s="561"/>
      <c r="M193" s="561"/>
      <c r="N193" s="561"/>
      <c r="O193" s="561"/>
      <c r="P193" s="561"/>
      <c r="Q193" s="561"/>
      <c r="R193" s="561"/>
      <c r="S193" s="561"/>
      <c r="T193" s="561"/>
      <c r="U193" s="561"/>
      <c r="V193" s="561"/>
      <c r="W193" s="561"/>
      <c r="X193" s="561"/>
      <c r="Y193" s="561"/>
      <c r="Z193" s="561"/>
      <c r="AA193" s="561"/>
      <c r="AB193" s="561"/>
      <c r="AC193" s="561"/>
      <c r="AD193" s="561"/>
    </row>
    <row r="194" spans="5:30">
      <c r="E194" s="561"/>
      <c r="F194" s="561"/>
      <c r="G194" s="561"/>
      <c r="H194" s="561"/>
      <c r="I194" s="561"/>
      <c r="J194" s="561"/>
      <c r="K194" s="561"/>
      <c r="L194" s="561"/>
      <c r="M194" s="561"/>
      <c r="N194" s="561"/>
      <c r="O194" s="561"/>
      <c r="P194" s="561"/>
      <c r="Q194" s="561"/>
      <c r="R194" s="561"/>
      <c r="S194" s="561"/>
      <c r="T194" s="561"/>
      <c r="U194" s="561"/>
      <c r="V194" s="561"/>
      <c r="W194" s="561"/>
      <c r="X194" s="561"/>
      <c r="Y194" s="561"/>
      <c r="Z194" s="561"/>
      <c r="AA194" s="561"/>
      <c r="AB194" s="561"/>
      <c r="AC194" s="561"/>
      <c r="AD194" s="561"/>
    </row>
    <row r="195" spans="5:30">
      <c r="E195" s="561"/>
      <c r="F195" s="561"/>
      <c r="G195" s="561"/>
      <c r="H195" s="561"/>
      <c r="I195" s="561"/>
      <c r="J195" s="561"/>
      <c r="K195" s="561"/>
      <c r="L195" s="561"/>
      <c r="M195" s="561"/>
      <c r="N195" s="561"/>
      <c r="O195" s="561"/>
      <c r="P195" s="561"/>
      <c r="Q195" s="561"/>
      <c r="R195" s="561"/>
      <c r="S195" s="561"/>
      <c r="T195" s="561"/>
      <c r="U195" s="561"/>
      <c r="V195" s="561"/>
      <c r="W195" s="561"/>
      <c r="X195" s="561"/>
      <c r="Y195" s="561"/>
      <c r="Z195" s="561"/>
      <c r="AA195" s="561"/>
      <c r="AB195" s="561"/>
      <c r="AC195" s="561"/>
      <c r="AD195" s="561"/>
    </row>
    <row r="196" spans="5:30">
      <c r="E196" s="561"/>
      <c r="F196" s="561"/>
      <c r="G196" s="561"/>
      <c r="H196" s="561"/>
      <c r="I196" s="561"/>
      <c r="J196" s="561"/>
      <c r="K196" s="561"/>
      <c r="L196" s="561"/>
      <c r="M196" s="561"/>
      <c r="N196" s="561"/>
      <c r="O196" s="561"/>
      <c r="P196" s="561"/>
      <c r="Q196" s="561"/>
      <c r="R196" s="561"/>
      <c r="S196" s="561"/>
      <c r="T196" s="561"/>
      <c r="U196" s="561"/>
      <c r="V196" s="561"/>
      <c r="W196" s="561"/>
      <c r="X196" s="561"/>
      <c r="Y196" s="561"/>
      <c r="Z196" s="561"/>
      <c r="AA196" s="561"/>
      <c r="AB196" s="561"/>
      <c r="AC196" s="561"/>
      <c r="AD196" s="561"/>
    </row>
    <row r="197" spans="5:30">
      <c r="E197" s="561"/>
      <c r="F197" s="561"/>
      <c r="G197" s="561"/>
      <c r="H197" s="561"/>
      <c r="I197" s="561"/>
      <c r="J197" s="561"/>
      <c r="K197" s="561"/>
      <c r="L197" s="561"/>
      <c r="M197" s="561"/>
      <c r="N197" s="561"/>
      <c r="O197" s="561"/>
      <c r="P197" s="561"/>
      <c r="Q197" s="561"/>
      <c r="R197" s="561"/>
      <c r="S197" s="561"/>
      <c r="T197" s="561"/>
      <c r="U197" s="561"/>
      <c r="V197" s="561"/>
      <c r="W197" s="561"/>
      <c r="X197" s="561"/>
      <c r="Y197" s="561"/>
      <c r="Z197" s="561"/>
      <c r="AA197" s="561"/>
      <c r="AB197" s="561"/>
      <c r="AC197" s="561"/>
      <c r="AD197" s="561"/>
    </row>
    <row r="198" spans="5:30">
      <c r="E198" s="561"/>
      <c r="F198" s="561"/>
      <c r="G198" s="561"/>
      <c r="H198" s="561"/>
      <c r="I198" s="561"/>
      <c r="J198" s="561"/>
      <c r="K198" s="561"/>
      <c r="L198" s="561"/>
      <c r="M198" s="561"/>
      <c r="N198" s="561"/>
      <c r="O198" s="561"/>
      <c r="P198" s="561"/>
      <c r="Q198" s="561"/>
      <c r="R198" s="561"/>
      <c r="S198" s="561"/>
      <c r="T198" s="561"/>
      <c r="U198" s="561"/>
      <c r="V198" s="561"/>
      <c r="W198" s="561"/>
      <c r="X198" s="561"/>
      <c r="Y198" s="561"/>
      <c r="Z198" s="561"/>
      <c r="AA198" s="561"/>
      <c r="AB198" s="561"/>
      <c r="AC198" s="561"/>
      <c r="AD198" s="561"/>
    </row>
    <row r="199" spans="5:30">
      <c r="E199" s="561"/>
      <c r="F199" s="561"/>
      <c r="G199" s="561"/>
      <c r="H199" s="561"/>
      <c r="I199" s="561"/>
      <c r="J199" s="561"/>
      <c r="K199" s="561"/>
      <c r="L199" s="561"/>
      <c r="M199" s="561"/>
      <c r="N199" s="561"/>
      <c r="O199" s="561"/>
      <c r="P199" s="561"/>
      <c r="Q199" s="561"/>
      <c r="R199" s="561"/>
      <c r="S199" s="561"/>
      <c r="T199" s="561"/>
      <c r="U199" s="561"/>
      <c r="V199" s="561"/>
      <c r="W199" s="561"/>
      <c r="X199" s="561"/>
      <c r="Y199" s="561"/>
      <c r="Z199" s="561"/>
      <c r="AA199" s="561"/>
      <c r="AB199" s="561"/>
      <c r="AC199" s="561"/>
      <c r="AD199" s="561"/>
    </row>
    <row r="200" spans="5:30">
      <c r="E200" s="561"/>
      <c r="F200" s="561"/>
      <c r="G200" s="561"/>
      <c r="H200" s="561"/>
      <c r="I200" s="561"/>
      <c r="J200" s="561"/>
      <c r="K200" s="561"/>
      <c r="L200" s="561"/>
      <c r="M200" s="561"/>
      <c r="N200" s="561"/>
      <c r="O200" s="561"/>
      <c r="P200" s="561"/>
      <c r="Q200" s="561"/>
      <c r="R200" s="561"/>
      <c r="S200" s="561"/>
      <c r="T200" s="561"/>
      <c r="U200" s="561"/>
      <c r="V200" s="561"/>
      <c r="W200" s="561"/>
      <c r="X200" s="561"/>
      <c r="Y200" s="561"/>
      <c r="Z200" s="561"/>
      <c r="AA200" s="561"/>
      <c r="AB200" s="561"/>
      <c r="AC200" s="561"/>
      <c r="AD200" s="561"/>
    </row>
    <row r="201" spans="5:30">
      <c r="E201" s="561"/>
      <c r="F201" s="561"/>
      <c r="G201" s="561"/>
      <c r="H201" s="561"/>
      <c r="I201" s="561"/>
      <c r="J201" s="561"/>
      <c r="K201" s="561"/>
      <c r="L201" s="561"/>
      <c r="M201" s="561"/>
      <c r="N201" s="561"/>
      <c r="O201" s="561"/>
      <c r="P201" s="561"/>
      <c r="Q201" s="561"/>
      <c r="R201" s="561"/>
      <c r="S201" s="561"/>
      <c r="T201" s="561"/>
      <c r="U201" s="561"/>
      <c r="V201" s="561"/>
      <c r="W201" s="561"/>
      <c r="X201" s="561"/>
      <c r="Y201" s="561"/>
      <c r="Z201" s="561"/>
      <c r="AA201" s="561"/>
      <c r="AB201" s="561"/>
      <c r="AC201" s="561"/>
      <c r="AD201" s="561"/>
    </row>
    <row r="202" spans="5:30">
      <c r="E202" s="561"/>
      <c r="F202" s="561"/>
      <c r="G202" s="561"/>
      <c r="H202" s="561"/>
      <c r="I202" s="561"/>
      <c r="J202" s="561"/>
      <c r="K202" s="561"/>
      <c r="L202" s="561"/>
      <c r="M202" s="561"/>
      <c r="N202" s="561"/>
      <c r="O202" s="561"/>
      <c r="P202" s="561"/>
      <c r="Q202" s="561"/>
      <c r="R202" s="561"/>
      <c r="S202" s="561"/>
      <c r="T202" s="561"/>
      <c r="U202" s="561"/>
      <c r="V202" s="561"/>
      <c r="W202" s="561"/>
      <c r="X202" s="561"/>
      <c r="Y202" s="561"/>
      <c r="Z202" s="561"/>
      <c r="AA202" s="561"/>
      <c r="AB202" s="561"/>
      <c r="AC202" s="561"/>
      <c r="AD202" s="561"/>
    </row>
    <row r="203" spans="5:30">
      <c r="E203" s="561"/>
      <c r="F203" s="561"/>
      <c r="G203" s="561"/>
      <c r="H203" s="561"/>
      <c r="I203" s="561"/>
      <c r="J203" s="561"/>
      <c r="K203" s="561"/>
      <c r="L203" s="561"/>
      <c r="M203" s="561"/>
      <c r="N203" s="561"/>
      <c r="O203" s="561"/>
      <c r="P203" s="561"/>
      <c r="Q203" s="561"/>
      <c r="R203" s="561"/>
      <c r="S203" s="561"/>
      <c r="T203" s="561"/>
      <c r="U203" s="561"/>
      <c r="V203" s="561"/>
      <c r="W203" s="561"/>
      <c r="X203" s="561"/>
      <c r="Y203" s="561"/>
      <c r="Z203" s="561"/>
      <c r="AA203" s="561"/>
      <c r="AB203" s="561"/>
      <c r="AC203" s="561"/>
      <c r="AD203" s="561"/>
    </row>
    <row r="204" spans="5:30">
      <c r="E204" s="561"/>
      <c r="F204" s="561"/>
      <c r="G204" s="561"/>
      <c r="H204" s="561"/>
      <c r="I204" s="561"/>
      <c r="J204" s="561"/>
      <c r="K204" s="561"/>
      <c r="L204" s="561"/>
      <c r="M204" s="561"/>
      <c r="N204" s="561"/>
      <c r="O204" s="561"/>
      <c r="P204" s="561"/>
      <c r="Q204" s="561"/>
      <c r="R204" s="561"/>
      <c r="S204" s="561"/>
      <c r="T204" s="561"/>
      <c r="U204" s="561"/>
      <c r="V204" s="561"/>
      <c r="W204" s="561"/>
      <c r="X204" s="561"/>
      <c r="Y204" s="561"/>
      <c r="Z204" s="561"/>
      <c r="AA204" s="561"/>
      <c r="AB204" s="561"/>
      <c r="AC204" s="561"/>
      <c r="AD204" s="561"/>
    </row>
    <row r="205" spans="5:30">
      <c r="E205" s="561"/>
      <c r="F205" s="561"/>
      <c r="G205" s="561"/>
      <c r="H205" s="561"/>
      <c r="I205" s="561"/>
      <c r="J205" s="561"/>
      <c r="K205" s="561"/>
      <c r="L205" s="561"/>
      <c r="M205" s="561"/>
      <c r="N205" s="561"/>
      <c r="O205" s="561"/>
      <c r="P205" s="561"/>
      <c r="Q205" s="561"/>
      <c r="R205" s="561"/>
      <c r="S205" s="561"/>
      <c r="T205" s="561"/>
      <c r="U205" s="561"/>
      <c r="V205" s="561"/>
      <c r="W205" s="561"/>
      <c r="X205" s="561"/>
      <c r="Y205" s="561"/>
      <c r="Z205" s="561"/>
      <c r="AA205" s="561"/>
      <c r="AB205" s="561"/>
      <c r="AC205" s="561"/>
      <c r="AD205" s="561"/>
    </row>
    <row r="206" spans="5:30">
      <c r="E206" s="561"/>
      <c r="F206" s="561"/>
      <c r="G206" s="561"/>
      <c r="H206" s="561"/>
      <c r="I206" s="561"/>
      <c r="J206" s="561"/>
      <c r="K206" s="561"/>
      <c r="L206" s="561"/>
      <c r="M206" s="561"/>
      <c r="N206" s="561"/>
      <c r="O206" s="561"/>
      <c r="P206" s="561"/>
      <c r="Q206" s="561"/>
      <c r="R206" s="561"/>
      <c r="S206" s="561"/>
      <c r="T206" s="561"/>
      <c r="U206" s="561"/>
      <c r="V206" s="561"/>
      <c r="W206" s="561"/>
      <c r="X206" s="561"/>
      <c r="Y206" s="561"/>
      <c r="Z206" s="561"/>
      <c r="AA206" s="561"/>
      <c r="AB206" s="561"/>
      <c r="AC206" s="561"/>
      <c r="AD206" s="561"/>
    </row>
    <row r="207" spans="5:30">
      <c r="E207" s="561"/>
      <c r="F207" s="561"/>
      <c r="G207" s="561"/>
      <c r="H207" s="561"/>
      <c r="I207" s="561"/>
      <c r="J207" s="561"/>
      <c r="K207" s="561"/>
      <c r="L207" s="561"/>
      <c r="M207" s="561"/>
      <c r="N207" s="561"/>
      <c r="O207" s="561"/>
      <c r="P207" s="561"/>
      <c r="Q207" s="561"/>
      <c r="R207" s="561"/>
      <c r="S207" s="561"/>
      <c r="T207" s="561"/>
      <c r="U207" s="561"/>
      <c r="V207" s="561"/>
      <c r="W207" s="561"/>
      <c r="X207" s="561"/>
      <c r="Y207" s="561"/>
      <c r="Z207" s="561"/>
      <c r="AA207" s="561"/>
      <c r="AB207" s="561"/>
      <c r="AC207" s="561"/>
      <c r="AD207" s="561"/>
    </row>
    <row r="208" spans="5:30">
      <c r="E208" s="561"/>
      <c r="F208" s="561"/>
      <c r="G208" s="561"/>
      <c r="H208" s="561"/>
      <c r="I208" s="561"/>
      <c r="J208" s="561"/>
      <c r="K208" s="561"/>
      <c r="L208" s="561"/>
      <c r="M208" s="561"/>
      <c r="N208" s="561"/>
      <c r="O208" s="561"/>
      <c r="P208" s="561"/>
      <c r="Q208" s="561"/>
      <c r="R208" s="561"/>
      <c r="S208" s="561"/>
      <c r="T208" s="561"/>
      <c r="U208" s="561"/>
      <c r="V208" s="561"/>
      <c r="W208" s="561"/>
      <c r="X208" s="561"/>
      <c r="Y208" s="561"/>
      <c r="Z208" s="561"/>
      <c r="AA208" s="561"/>
      <c r="AB208" s="561"/>
      <c r="AC208" s="561"/>
      <c r="AD208" s="561"/>
    </row>
    <row r="209" spans="5:30">
      <c r="E209" s="561"/>
      <c r="F209" s="561"/>
      <c r="G209" s="561"/>
      <c r="H209" s="561"/>
      <c r="I209" s="561"/>
      <c r="J209" s="561"/>
      <c r="K209" s="561"/>
      <c r="L209" s="561"/>
      <c r="M209" s="561"/>
      <c r="N209" s="561"/>
      <c r="O209" s="561"/>
      <c r="P209" s="561"/>
      <c r="Q209" s="561"/>
      <c r="R209" s="561"/>
      <c r="S209" s="561"/>
      <c r="T209" s="561"/>
      <c r="U209" s="561"/>
      <c r="V209" s="561"/>
      <c r="W209" s="561"/>
      <c r="X209" s="561"/>
      <c r="Y209" s="561"/>
      <c r="Z209" s="561"/>
      <c r="AA209" s="561"/>
      <c r="AB209" s="561"/>
      <c r="AC209" s="561"/>
      <c r="AD209" s="561"/>
    </row>
    <row r="210" spans="5:30">
      <c r="E210" s="561"/>
      <c r="F210" s="561"/>
      <c r="G210" s="561"/>
      <c r="H210" s="561"/>
      <c r="I210" s="561"/>
      <c r="J210" s="561"/>
      <c r="K210" s="561"/>
      <c r="L210" s="561"/>
      <c r="M210" s="561"/>
      <c r="N210" s="561"/>
      <c r="O210" s="561"/>
      <c r="P210" s="561"/>
      <c r="Q210" s="561"/>
      <c r="R210" s="561"/>
      <c r="S210" s="561"/>
      <c r="T210" s="561"/>
      <c r="U210" s="561"/>
      <c r="V210" s="561"/>
      <c r="W210" s="561"/>
      <c r="X210" s="561"/>
      <c r="Y210" s="561"/>
      <c r="Z210" s="561"/>
      <c r="AA210" s="561"/>
      <c r="AB210" s="561"/>
      <c r="AC210" s="561"/>
      <c r="AD210" s="561"/>
    </row>
    <row r="211" spans="5:30">
      <c r="E211" s="561"/>
      <c r="F211" s="561"/>
      <c r="G211" s="561"/>
      <c r="H211" s="561"/>
      <c r="I211" s="561"/>
      <c r="J211" s="561"/>
      <c r="K211" s="561"/>
      <c r="L211" s="561"/>
      <c r="M211" s="561"/>
      <c r="N211" s="561"/>
      <c r="O211" s="561"/>
      <c r="P211" s="561"/>
      <c r="Q211" s="561"/>
      <c r="R211" s="561"/>
      <c r="S211" s="561"/>
      <c r="T211" s="561"/>
      <c r="U211" s="561"/>
      <c r="V211" s="561"/>
      <c r="W211" s="561"/>
      <c r="X211" s="561"/>
      <c r="Y211" s="561"/>
      <c r="Z211" s="561"/>
      <c r="AA211" s="561"/>
      <c r="AB211" s="561"/>
      <c r="AC211" s="561"/>
      <c r="AD211" s="561"/>
    </row>
    <row r="212" spans="5:30">
      <c r="E212" s="561"/>
      <c r="F212" s="561"/>
      <c r="G212" s="561"/>
      <c r="H212" s="561"/>
      <c r="I212" s="561"/>
      <c r="J212" s="561"/>
      <c r="K212" s="561"/>
      <c r="L212" s="561"/>
      <c r="M212" s="561"/>
      <c r="N212" s="561"/>
      <c r="O212" s="561"/>
      <c r="P212" s="561"/>
      <c r="Q212" s="561"/>
      <c r="R212" s="561"/>
      <c r="S212" s="561"/>
      <c r="T212" s="561"/>
      <c r="U212" s="561"/>
      <c r="V212" s="561"/>
      <c r="W212" s="561"/>
      <c r="X212" s="561"/>
      <c r="Y212" s="561"/>
      <c r="Z212" s="561"/>
      <c r="AA212" s="561"/>
      <c r="AB212" s="561"/>
      <c r="AC212" s="561"/>
      <c r="AD212" s="561"/>
    </row>
    <row r="213" spans="5:30">
      <c r="E213" s="561"/>
      <c r="F213" s="561"/>
      <c r="G213" s="561"/>
      <c r="H213" s="561"/>
      <c r="I213" s="561"/>
      <c r="J213" s="561"/>
      <c r="K213" s="561"/>
      <c r="L213" s="561"/>
      <c r="M213" s="561"/>
      <c r="N213" s="561"/>
      <c r="O213" s="561"/>
      <c r="P213" s="561"/>
      <c r="Q213" s="561"/>
      <c r="R213" s="561"/>
      <c r="S213" s="561"/>
      <c r="T213" s="561"/>
      <c r="U213" s="561"/>
      <c r="V213" s="561"/>
      <c r="W213" s="561"/>
      <c r="X213" s="561"/>
      <c r="Y213" s="561"/>
      <c r="Z213" s="561"/>
      <c r="AA213" s="561"/>
      <c r="AB213" s="561"/>
      <c r="AC213" s="561"/>
      <c r="AD213" s="561"/>
    </row>
    <row r="214" spans="5:30">
      <c r="E214" s="561"/>
      <c r="F214" s="561"/>
      <c r="G214" s="561"/>
      <c r="H214" s="561"/>
      <c r="I214" s="561"/>
      <c r="J214" s="561"/>
      <c r="K214" s="561"/>
      <c r="L214" s="561"/>
      <c r="M214" s="561"/>
      <c r="N214" s="561"/>
      <c r="O214" s="561"/>
      <c r="P214" s="561"/>
      <c r="Q214" s="561"/>
      <c r="R214" s="561"/>
      <c r="S214" s="561"/>
      <c r="T214" s="561"/>
      <c r="U214" s="561"/>
      <c r="V214" s="561"/>
      <c r="W214" s="561"/>
      <c r="X214" s="561"/>
      <c r="Y214" s="561"/>
      <c r="Z214" s="561"/>
      <c r="AA214" s="561"/>
      <c r="AB214" s="561"/>
      <c r="AC214" s="561"/>
      <c r="AD214" s="561"/>
    </row>
    <row r="215" spans="5:30">
      <c r="E215" s="561"/>
      <c r="F215" s="561"/>
      <c r="G215" s="561"/>
      <c r="H215" s="561"/>
      <c r="I215" s="561"/>
      <c r="J215" s="561"/>
      <c r="K215" s="561"/>
      <c r="L215" s="561"/>
      <c r="M215" s="561"/>
      <c r="N215" s="561"/>
      <c r="O215" s="561"/>
      <c r="P215" s="561"/>
      <c r="Q215" s="561"/>
      <c r="R215" s="561"/>
      <c r="S215" s="561"/>
      <c r="T215" s="561"/>
      <c r="U215" s="561"/>
      <c r="V215" s="561"/>
      <c r="W215" s="561"/>
      <c r="X215" s="561"/>
      <c r="Y215" s="561"/>
      <c r="Z215" s="561"/>
      <c r="AA215" s="561"/>
      <c r="AB215" s="561"/>
      <c r="AC215" s="561"/>
      <c r="AD215" s="561"/>
    </row>
    <row r="216" spans="5:30">
      <c r="E216" s="561"/>
      <c r="F216" s="561"/>
      <c r="G216" s="561"/>
      <c r="H216" s="561"/>
      <c r="I216" s="561"/>
      <c r="J216" s="561"/>
      <c r="K216" s="561"/>
      <c r="L216" s="561"/>
      <c r="M216" s="561"/>
      <c r="N216" s="561"/>
      <c r="O216" s="561"/>
      <c r="P216" s="561"/>
      <c r="Q216" s="561"/>
      <c r="R216" s="561"/>
      <c r="S216" s="561"/>
      <c r="T216" s="561"/>
      <c r="U216" s="561"/>
      <c r="V216" s="561"/>
      <c r="W216" s="561"/>
      <c r="X216" s="561"/>
      <c r="Y216" s="561"/>
      <c r="Z216" s="561"/>
      <c r="AA216" s="561"/>
      <c r="AB216" s="561"/>
      <c r="AC216" s="561"/>
      <c r="AD216" s="561"/>
    </row>
    <row r="217" spans="5:30">
      <c r="E217" s="561"/>
      <c r="F217" s="561"/>
      <c r="G217" s="561"/>
      <c r="H217" s="561"/>
      <c r="I217" s="561"/>
      <c r="J217" s="561"/>
      <c r="K217" s="561"/>
      <c r="L217" s="561"/>
      <c r="M217" s="561"/>
      <c r="N217" s="561"/>
      <c r="O217" s="561"/>
      <c r="P217" s="561"/>
      <c r="Q217" s="561"/>
      <c r="R217" s="561"/>
      <c r="S217" s="561"/>
      <c r="T217" s="561"/>
      <c r="U217" s="561"/>
      <c r="V217" s="561"/>
      <c r="W217" s="561"/>
      <c r="X217" s="561"/>
      <c r="Y217" s="561"/>
      <c r="Z217" s="561"/>
      <c r="AA217" s="561"/>
      <c r="AB217" s="561"/>
      <c r="AC217" s="561"/>
      <c r="AD217" s="561"/>
    </row>
    <row r="218" spans="5:30">
      <c r="E218" s="561"/>
      <c r="F218" s="561"/>
      <c r="G218" s="561"/>
      <c r="H218" s="561"/>
      <c r="I218" s="561"/>
      <c r="J218" s="561"/>
      <c r="K218" s="561"/>
      <c r="L218" s="561"/>
      <c r="M218" s="561"/>
      <c r="N218" s="561"/>
      <c r="O218" s="561"/>
      <c r="P218" s="561"/>
      <c r="Q218" s="561"/>
      <c r="R218" s="561"/>
      <c r="S218" s="561"/>
      <c r="T218" s="561"/>
      <c r="U218" s="561"/>
      <c r="V218" s="561"/>
      <c r="W218" s="561"/>
      <c r="X218" s="561"/>
      <c r="Y218" s="561"/>
      <c r="Z218" s="561"/>
      <c r="AA218" s="561"/>
      <c r="AB218" s="561"/>
      <c r="AC218" s="561"/>
      <c r="AD218" s="561"/>
    </row>
    <row r="219" spans="5:30">
      <c r="E219" s="561"/>
      <c r="F219" s="561"/>
      <c r="G219" s="561"/>
      <c r="H219" s="561"/>
      <c r="I219" s="561"/>
      <c r="J219" s="561"/>
      <c r="K219" s="561"/>
      <c r="L219" s="561"/>
      <c r="M219" s="561"/>
      <c r="N219" s="561"/>
      <c r="O219" s="561"/>
      <c r="P219" s="561"/>
      <c r="Q219" s="561"/>
      <c r="R219" s="561"/>
      <c r="S219" s="561"/>
      <c r="T219" s="561"/>
      <c r="U219" s="561"/>
      <c r="V219" s="561"/>
      <c r="W219" s="561"/>
      <c r="X219" s="561"/>
      <c r="Y219" s="561"/>
      <c r="Z219" s="561"/>
      <c r="AA219" s="561"/>
      <c r="AB219" s="561"/>
      <c r="AC219" s="561"/>
      <c r="AD219" s="561"/>
    </row>
    <row r="220" spans="5:30">
      <c r="E220" s="561"/>
      <c r="F220" s="561"/>
      <c r="G220" s="561"/>
      <c r="H220" s="561"/>
      <c r="I220" s="561"/>
      <c r="J220" s="561"/>
      <c r="K220" s="561"/>
      <c r="L220" s="561"/>
      <c r="M220" s="561"/>
      <c r="N220" s="561"/>
      <c r="O220" s="561"/>
      <c r="P220" s="561"/>
      <c r="Q220" s="561"/>
      <c r="R220" s="561"/>
      <c r="S220" s="561"/>
      <c r="T220" s="561"/>
      <c r="U220" s="561"/>
      <c r="V220" s="561"/>
      <c r="W220" s="561"/>
      <c r="X220" s="561"/>
      <c r="Y220" s="561"/>
      <c r="Z220" s="561"/>
      <c r="AA220" s="561"/>
      <c r="AB220" s="561"/>
      <c r="AC220" s="561"/>
      <c r="AD220" s="561"/>
    </row>
    <row r="221" spans="5:30">
      <c r="E221" s="561"/>
      <c r="F221" s="561"/>
      <c r="G221" s="561"/>
      <c r="H221" s="561"/>
      <c r="I221" s="561"/>
      <c r="J221" s="561"/>
      <c r="K221" s="561"/>
      <c r="L221" s="561"/>
      <c r="M221" s="561"/>
      <c r="N221" s="561"/>
      <c r="O221" s="561"/>
      <c r="P221" s="561"/>
      <c r="Q221" s="561"/>
      <c r="R221" s="561"/>
      <c r="S221" s="561"/>
      <c r="T221" s="561"/>
      <c r="U221" s="561"/>
      <c r="V221" s="561"/>
      <c r="W221" s="561"/>
      <c r="X221" s="561"/>
      <c r="Y221" s="561"/>
      <c r="Z221" s="561"/>
      <c r="AA221" s="561"/>
      <c r="AB221" s="561"/>
      <c r="AC221" s="561"/>
      <c r="AD221" s="561"/>
    </row>
    <row r="222" spans="5:30">
      <c r="E222" s="561"/>
      <c r="F222" s="561"/>
      <c r="G222" s="561"/>
      <c r="H222" s="561"/>
      <c r="I222" s="561"/>
      <c r="J222" s="561"/>
      <c r="K222" s="561"/>
      <c r="L222" s="561"/>
      <c r="M222" s="561"/>
      <c r="N222" s="561"/>
      <c r="O222" s="561"/>
      <c r="P222" s="561"/>
      <c r="Q222" s="561"/>
      <c r="R222" s="561"/>
      <c r="S222" s="561"/>
      <c r="T222" s="561"/>
      <c r="U222" s="561"/>
      <c r="V222" s="561"/>
      <c r="W222" s="561"/>
      <c r="X222" s="561"/>
      <c r="Y222" s="561"/>
      <c r="Z222" s="561"/>
      <c r="AA222" s="561"/>
      <c r="AB222" s="561"/>
      <c r="AC222" s="561"/>
      <c r="AD222" s="561"/>
    </row>
    <row r="223" spans="5:30">
      <c r="E223" s="561"/>
      <c r="F223" s="561"/>
      <c r="G223" s="561"/>
      <c r="H223" s="561"/>
      <c r="I223" s="561"/>
      <c r="J223" s="561"/>
      <c r="K223" s="561"/>
      <c r="L223" s="561"/>
      <c r="M223" s="561"/>
      <c r="N223" s="561"/>
      <c r="O223" s="561"/>
      <c r="P223" s="561"/>
      <c r="Q223" s="561"/>
      <c r="R223" s="561"/>
      <c r="S223" s="561"/>
      <c r="T223" s="561"/>
      <c r="U223" s="561"/>
      <c r="V223" s="561"/>
      <c r="W223" s="561"/>
      <c r="X223" s="561"/>
      <c r="Y223" s="561"/>
      <c r="Z223" s="561"/>
      <c r="AA223" s="561"/>
      <c r="AB223" s="561"/>
      <c r="AC223" s="561"/>
      <c r="AD223" s="561"/>
    </row>
    <row r="224" spans="5:30">
      <c r="E224" s="561"/>
      <c r="F224" s="561"/>
      <c r="G224" s="561"/>
      <c r="H224" s="561"/>
      <c r="I224" s="561"/>
      <c r="J224" s="561"/>
      <c r="K224" s="561"/>
      <c r="L224" s="561"/>
      <c r="M224" s="561"/>
      <c r="N224" s="561"/>
      <c r="O224" s="561"/>
      <c r="P224" s="561"/>
      <c r="Q224" s="561"/>
      <c r="R224" s="561"/>
      <c r="S224" s="561"/>
      <c r="T224" s="561"/>
      <c r="U224" s="561"/>
      <c r="V224" s="561"/>
      <c r="W224" s="561"/>
      <c r="X224" s="561"/>
      <c r="Y224" s="561"/>
      <c r="Z224" s="561"/>
      <c r="AA224" s="561"/>
      <c r="AB224" s="561"/>
      <c r="AC224" s="561"/>
      <c r="AD224" s="561"/>
    </row>
    <row r="225" spans="5:30">
      <c r="E225" s="561"/>
      <c r="F225" s="561"/>
      <c r="G225" s="561"/>
      <c r="H225" s="561"/>
      <c r="I225" s="561"/>
      <c r="J225" s="561"/>
      <c r="K225" s="561"/>
      <c r="L225" s="561"/>
      <c r="M225" s="561"/>
      <c r="N225" s="561"/>
      <c r="O225" s="561"/>
      <c r="P225" s="561"/>
      <c r="Q225" s="561"/>
      <c r="R225" s="561"/>
      <c r="S225" s="561"/>
      <c r="T225" s="561"/>
      <c r="U225" s="561"/>
      <c r="V225" s="561"/>
      <c r="W225" s="561"/>
      <c r="X225" s="561"/>
      <c r="Y225" s="561"/>
      <c r="Z225" s="561"/>
      <c r="AA225" s="561"/>
      <c r="AB225" s="561"/>
      <c r="AC225" s="561"/>
      <c r="AD225" s="561"/>
    </row>
    <row r="226" spans="5:30">
      <c r="E226" s="561"/>
      <c r="F226" s="561"/>
      <c r="G226" s="561"/>
      <c r="H226" s="561"/>
      <c r="I226" s="561"/>
      <c r="J226" s="561"/>
      <c r="K226" s="561"/>
      <c r="L226" s="561"/>
      <c r="M226" s="561"/>
      <c r="N226" s="561"/>
      <c r="O226" s="561"/>
      <c r="P226" s="561"/>
      <c r="Q226" s="561"/>
      <c r="R226" s="561"/>
      <c r="S226" s="561"/>
      <c r="T226" s="561"/>
      <c r="U226" s="561"/>
      <c r="V226" s="561"/>
      <c r="W226" s="561"/>
      <c r="X226" s="561"/>
      <c r="Y226" s="561"/>
      <c r="Z226" s="561"/>
      <c r="AA226" s="561"/>
      <c r="AB226" s="561"/>
      <c r="AC226" s="561"/>
      <c r="AD226" s="561"/>
    </row>
    <row r="227" spans="5:30">
      <c r="E227" s="561"/>
      <c r="F227" s="561"/>
      <c r="G227" s="561"/>
      <c r="H227" s="561"/>
      <c r="I227" s="561"/>
      <c r="J227" s="561"/>
      <c r="K227" s="561"/>
      <c r="L227" s="561"/>
      <c r="M227" s="561"/>
      <c r="N227" s="561"/>
      <c r="O227" s="561"/>
      <c r="P227" s="561"/>
      <c r="Q227" s="561"/>
      <c r="R227" s="561"/>
      <c r="S227" s="561"/>
      <c r="T227" s="561"/>
      <c r="U227" s="561"/>
      <c r="V227" s="561"/>
      <c r="W227" s="561"/>
      <c r="X227" s="561"/>
      <c r="Y227" s="561"/>
      <c r="Z227" s="561"/>
      <c r="AA227" s="561"/>
      <c r="AB227" s="561"/>
      <c r="AC227" s="561"/>
      <c r="AD227" s="561"/>
    </row>
    <row r="228" spans="5:30">
      <c r="E228" s="561"/>
      <c r="F228" s="561"/>
      <c r="G228" s="561"/>
      <c r="H228" s="561"/>
      <c r="I228" s="561"/>
      <c r="J228" s="561"/>
      <c r="K228" s="561"/>
      <c r="L228" s="561"/>
      <c r="M228" s="561"/>
      <c r="N228" s="561"/>
      <c r="O228" s="561"/>
      <c r="P228" s="561"/>
      <c r="Q228" s="561"/>
      <c r="R228" s="561"/>
      <c r="S228" s="561"/>
      <c r="T228" s="561"/>
      <c r="U228" s="561"/>
      <c r="V228" s="561"/>
      <c r="W228" s="561"/>
      <c r="X228" s="561"/>
      <c r="Y228" s="561"/>
      <c r="Z228" s="561"/>
      <c r="AA228" s="561"/>
      <c r="AB228" s="561"/>
      <c r="AC228" s="561"/>
      <c r="AD228" s="561"/>
    </row>
    <row r="229" spans="5:30">
      <c r="E229" s="561"/>
      <c r="F229" s="561"/>
      <c r="G229" s="561"/>
      <c r="H229" s="561"/>
      <c r="I229" s="561"/>
      <c r="J229" s="561"/>
      <c r="K229" s="561"/>
      <c r="L229" s="561"/>
      <c r="M229" s="561"/>
      <c r="N229" s="561"/>
      <c r="O229" s="561"/>
      <c r="P229" s="561"/>
      <c r="Q229" s="561"/>
      <c r="R229" s="561"/>
      <c r="S229" s="561"/>
      <c r="T229" s="561"/>
      <c r="U229" s="561"/>
      <c r="V229" s="561"/>
      <c r="W229" s="561"/>
      <c r="X229" s="561"/>
      <c r="Y229" s="561"/>
      <c r="Z229" s="561"/>
      <c r="AA229" s="561"/>
      <c r="AB229" s="561"/>
      <c r="AC229" s="561"/>
      <c r="AD229" s="561"/>
    </row>
    <row r="230" spans="5:30">
      <c r="E230" s="561"/>
      <c r="F230" s="561"/>
      <c r="G230" s="561"/>
      <c r="H230" s="561"/>
      <c r="I230" s="561"/>
      <c r="J230" s="561"/>
      <c r="K230" s="561"/>
      <c r="L230" s="561"/>
      <c r="M230" s="561"/>
      <c r="N230" s="561"/>
      <c r="O230" s="561"/>
      <c r="P230" s="561"/>
      <c r="Q230" s="561"/>
      <c r="R230" s="561"/>
      <c r="S230" s="561"/>
      <c r="T230" s="561"/>
      <c r="U230" s="561"/>
      <c r="V230" s="561"/>
      <c r="W230" s="561"/>
      <c r="X230" s="561"/>
      <c r="Y230" s="561"/>
      <c r="Z230" s="561"/>
      <c r="AA230" s="561"/>
      <c r="AB230" s="561"/>
      <c r="AC230" s="561"/>
      <c r="AD230" s="561"/>
    </row>
    <row r="231" spans="5:30">
      <c r="E231" s="561"/>
      <c r="F231" s="561"/>
      <c r="G231" s="561"/>
      <c r="H231" s="561"/>
      <c r="I231" s="561"/>
      <c r="J231" s="561"/>
      <c r="K231" s="561"/>
      <c r="L231" s="561"/>
      <c r="M231" s="561"/>
      <c r="N231" s="561"/>
      <c r="O231" s="561"/>
      <c r="P231" s="561"/>
      <c r="Q231" s="561"/>
      <c r="R231" s="561"/>
      <c r="S231" s="561"/>
      <c r="T231" s="561"/>
      <c r="U231" s="561"/>
      <c r="V231" s="561"/>
      <c r="W231" s="561"/>
      <c r="X231" s="561"/>
      <c r="Y231" s="561"/>
      <c r="Z231" s="561"/>
      <c r="AA231" s="561"/>
      <c r="AB231" s="561"/>
      <c r="AC231" s="561"/>
      <c r="AD231" s="561"/>
    </row>
    <row r="232" spans="5:30">
      <c r="E232" s="561"/>
      <c r="F232" s="561"/>
      <c r="G232" s="561"/>
      <c r="H232" s="561"/>
      <c r="I232" s="561"/>
      <c r="J232" s="561"/>
      <c r="K232" s="561"/>
      <c r="L232" s="561"/>
      <c r="M232" s="561"/>
      <c r="N232" s="561"/>
      <c r="O232" s="561"/>
      <c r="P232" s="561"/>
      <c r="Q232" s="561"/>
      <c r="R232" s="561"/>
      <c r="S232" s="561"/>
      <c r="T232" s="561"/>
      <c r="U232" s="561"/>
      <c r="V232" s="561"/>
      <c r="W232" s="561"/>
      <c r="X232" s="561"/>
      <c r="Y232" s="561"/>
      <c r="Z232" s="561"/>
      <c r="AA232" s="561"/>
      <c r="AB232" s="561"/>
      <c r="AC232" s="561"/>
      <c r="AD232" s="561"/>
    </row>
    <row r="233" spans="5:30">
      <c r="E233" s="561"/>
      <c r="F233" s="561"/>
      <c r="G233" s="561"/>
      <c r="H233" s="561"/>
      <c r="I233" s="561"/>
      <c r="J233" s="561"/>
      <c r="K233" s="561"/>
      <c r="L233" s="561"/>
      <c r="M233" s="561"/>
      <c r="N233" s="561"/>
      <c r="O233" s="561"/>
      <c r="P233" s="561"/>
      <c r="Q233" s="561"/>
      <c r="R233" s="561"/>
      <c r="S233" s="561"/>
      <c r="T233" s="561"/>
      <c r="U233" s="561"/>
      <c r="V233" s="561"/>
      <c r="W233" s="561"/>
      <c r="X233" s="561"/>
      <c r="Y233" s="561"/>
      <c r="Z233" s="561"/>
      <c r="AA233" s="561"/>
      <c r="AB233" s="561"/>
      <c r="AC233" s="561"/>
      <c r="AD233" s="561"/>
    </row>
    <row r="234" spans="5:30">
      <c r="E234" s="561"/>
      <c r="F234" s="561"/>
      <c r="G234" s="561"/>
      <c r="H234" s="561"/>
      <c r="I234" s="561"/>
      <c r="J234" s="561"/>
      <c r="K234" s="561"/>
      <c r="L234" s="561"/>
      <c r="M234" s="561"/>
      <c r="N234" s="561"/>
      <c r="O234" s="561"/>
      <c r="P234" s="561"/>
      <c r="Q234" s="561"/>
      <c r="R234" s="561"/>
      <c r="S234" s="561"/>
      <c r="T234" s="561"/>
      <c r="U234" s="561"/>
      <c r="V234" s="561"/>
      <c r="W234" s="561"/>
      <c r="X234" s="561"/>
      <c r="Y234" s="561"/>
      <c r="Z234" s="561"/>
      <c r="AA234" s="561"/>
      <c r="AB234" s="561"/>
      <c r="AC234" s="561"/>
      <c r="AD234" s="561"/>
    </row>
    <row r="235" spans="5:30">
      <c r="E235" s="561"/>
      <c r="F235" s="561"/>
      <c r="G235" s="561"/>
      <c r="H235" s="561"/>
      <c r="I235" s="561"/>
      <c r="J235" s="561"/>
      <c r="K235" s="561"/>
      <c r="L235" s="561"/>
      <c r="M235" s="561"/>
      <c r="N235" s="561"/>
      <c r="O235" s="561"/>
      <c r="P235" s="561"/>
      <c r="Q235" s="561"/>
      <c r="R235" s="561"/>
      <c r="S235" s="561"/>
      <c r="T235" s="561"/>
      <c r="U235" s="561"/>
      <c r="V235" s="561"/>
      <c r="W235" s="561"/>
      <c r="X235" s="561"/>
      <c r="Y235" s="561"/>
      <c r="Z235" s="561"/>
      <c r="AA235" s="561"/>
      <c r="AB235" s="561"/>
      <c r="AC235" s="561"/>
      <c r="AD235" s="561"/>
    </row>
    <row r="236" spans="5:30">
      <c r="E236" s="561"/>
      <c r="F236" s="561"/>
      <c r="G236" s="561"/>
      <c r="H236" s="561"/>
      <c r="I236" s="561"/>
      <c r="J236" s="561"/>
      <c r="K236" s="561"/>
      <c r="L236" s="561"/>
      <c r="M236" s="561"/>
      <c r="N236" s="561"/>
      <c r="O236" s="561"/>
      <c r="P236" s="561"/>
      <c r="Q236" s="561"/>
      <c r="R236" s="561"/>
      <c r="S236" s="561"/>
      <c r="T236" s="561"/>
      <c r="U236" s="561"/>
      <c r="V236" s="561"/>
      <c r="W236" s="561"/>
      <c r="X236" s="561"/>
      <c r="Y236" s="561"/>
      <c r="Z236" s="561"/>
      <c r="AA236" s="561"/>
      <c r="AB236" s="561"/>
      <c r="AC236" s="561"/>
      <c r="AD236" s="561"/>
    </row>
    <row r="237" spans="5:30">
      <c r="E237" s="561"/>
      <c r="F237" s="561"/>
      <c r="G237" s="561"/>
      <c r="H237" s="561"/>
      <c r="I237" s="561"/>
      <c r="J237" s="561"/>
      <c r="K237" s="561"/>
      <c r="L237" s="561"/>
      <c r="M237" s="561"/>
      <c r="N237" s="561"/>
      <c r="O237" s="561"/>
      <c r="P237" s="561"/>
      <c r="Q237" s="561"/>
      <c r="R237" s="561"/>
      <c r="S237" s="561"/>
      <c r="T237" s="561"/>
      <c r="U237" s="561"/>
      <c r="V237" s="561"/>
      <c r="W237" s="561"/>
      <c r="X237" s="561"/>
      <c r="Y237" s="561"/>
      <c r="Z237" s="561"/>
      <c r="AA237" s="561"/>
      <c r="AB237" s="561"/>
      <c r="AC237" s="561"/>
      <c r="AD237" s="561"/>
    </row>
    <row r="238" spans="5:30">
      <c r="E238" s="561"/>
      <c r="F238" s="561"/>
      <c r="G238" s="561"/>
      <c r="H238" s="561"/>
      <c r="I238" s="561"/>
      <c r="J238" s="561"/>
      <c r="K238" s="561"/>
      <c r="L238" s="561"/>
      <c r="M238" s="561"/>
      <c r="N238" s="561"/>
      <c r="O238" s="561"/>
      <c r="P238" s="561"/>
      <c r="Q238" s="561"/>
      <c r="R238" s="561"/>
      <c r="S238" s="561"/>
      <c r="T238" s="561"/>
      <c r="U238" s="561"/>
      <c r="V238" s="561"/>
      <c r="W238" s="561"/>
      <c r="X238" s="561"/>
      <c r="Y238" s="561"/>
      <c r="Z238" s="561"/>
      <c r="AA238" s="561"/>
      <c r="AB238" s="561"/>
      <c r="AC238" s="561"/>
      <c r="AD238" s="561"/>
    </row>
    <row r="239" spans="5:30">
      <c r="E239" s="561"/>
      <c r="F239" s="561"/>
      <c r="G239" s="561"/>
      <c r="H239" s="561"/>
      <c r="I239" s="561"/>
      <c r="J239" s="561"/>
      <c r="K239" s="561"/>
      <c r="L239" s="561"/>
      <c r="M239" s="561"/>
      <c r="N239" s="561"/>
      <c r="O239" s="561"/>
      <c r="P239" s="561"/>
      <c r="Q239" s="561"/>
      <c r="R239" s="561"/>
      <c r="S239" s="561"/>
      <c r="T239" s="561"/>
      <c r="U239" s="561"/>
      <c r="V239" s="561"/>
      <c r="W239" s="561"/>
      <c r="X239" s="561"/>
      <c r="Y239" s="561"/>
      <c r="Z239" s="561"/>
      <c r="AA239" s="561"/>
      <c r="AB239" s="561"/>
      <c r="AC239" s="561"/>
      <c r="AD239" s="561"/>
    </row>
    <row r="240" spans="5:30">
      <c r="E240" s="561"/>
      <c r="F240" s="561"/>
      <c r="G240" s="561"/>
      <c r="H240" s="561"/>
      <c r="I240" s="561"/>
      <c r="J240" s="561"/>
      <c r="K240" s="561"/>
      <c r="L240" s="561"/>
      <c r="M240" s="561"/>
      <c r="N240" s="561"/>
      <c r="O240" s="561"/>
      <c r="P240" s="561"/>
      <c r="Q240" s="561"/>
      <c r="R240" s="561"/>
      <c r="S240" s="561"/>
      <c r="T240" s="561"/>
      <c r="U240" s="561"/>
      <c r="V240" s="561"/>
      <c r="W240" s="561"/>
      <c r="X240" s="561"/>
      <c r="Y240" s="561"/>
      <c r="Z240" s="561"/>
      <c r="AA240" s="561"/>
      <c r="AB240" s="561"/>
      <c r="AC240" s="561"/>
      <c r="AD240" s="561"/>
    </row>
    <row r="241" spans="5:30">
      <c r="E241" s="561"/>
      <c r="F241" s="561"/>
      <c r="G241" s="561"/>
      <c r="H241" s="561"/>
      <c r="I241" s="561"/>
      <c r="J241" s="561"/>
      <c r="K241" s="561"/>
      <c r="L241" s="561"/>
      <c r="M241" s="561"/>
      <c r="N241" s="561"/>
      <c r="O241" s="561"/>
      <c r="P241" s="561"/>
      <c r="Q241" s="561"/>
      <c r="R241" s="561"/>
      <c r="S241" s="561"/>
      <c r="T241" s="561"/>
      <c r="U241" s="561"/>
      <c r="V241" s="561"/>
      <c r="W241" s="561"/>
      <c r="X241" s="561"/>
      <c r="Y241" s="561"/>
      <c r="Z241" s="561"/>
      <c r="AA241" s="561"/>
      <c r="AB241" s="561"/>
      <c r="AC241" s="561"/>
      <c r="AD241" s="561"/>
    </row>
    <row r="242" spans="5:30">
      <c r="E242" s="561"/>
      <c r="F242" s="561"/>
      <c r="G242" s="561"/>
      <c r="H242" s="561"/>
      <c r="I242" s="561"/>
      <c r="J242" s="561"/>
      <c r="K242" s="561"/>
      <c r="L242" s="561"/>
      <c r="M242" s="561"/>
      <c r="N242" s="561"/>
      <c r="O242" s="561"/>
      <c r="P242" s="561"/>
      <c r="Q242" s="561"/>
      <c r="R242" s="561"/>
      <c r="S242" s="561"/>
      <c r="T242" s="561"/>
      <c r="U242" s="561"/>
      <c r="V242" s="561"/>
      <c r="W242" s="561"/>
      <c r="X242" s="561"/>
      <c r="Y242" s="561"/>
      <c r="Z242" s="561"/>
      <c r="AA242" s="561"/>
      <c r="AB242" s="561"/>
      <c r="AC242" s="561"/>
      <c r="AD242" s="561"/>
    </row>
    <row r="243" spans="5:30">
      <c r="E243" s="561"/>
      <c r="F243" s="561"/>
      <c r="G243" s="561"/>
      <c r="H243" s="561"/>
      <c r="I243" s="561"/>
      <c r="J243" s="561"/>
      <c r="K243" s="561"/>
      <c r="L243" s="561"/>
      <c r="M243" s="561"/>
      <c r="N243" s="561"/>
      <c r="O243" s="561"/>
      <c r="P243" s="561"/>
      <c r="Q243" s="561"/>
      <c r="R243" s="561"/>
      <c r="S243" s="561"/>
      <c r="T243" s="561"/>
      <c r="U243" s="561"/>
      <c r="V243" s="561"/>
      <c r="W243" s="561"/>
      <c r="X243" s="561"/>
      <c r="Y243" s="561"/>
      <c r="Z243" s="561"/>
      <c r="AA243" s="561"/>
      <c r="AB243" s="561"/>
      <c r="AC243" s="561"/>
      <c r="AD243" s="561"/>
    </row>
    <row r="244" spans="5:30">
      <c r="E244" s="561"/>
      <c r="F244" s="561"/>
      <c r="G244" s="561"/>
      <c r="H244" s="561"/>
      <c r="I244" s="561"/>
      <c r="J244" s="561"/>
      <c r="K244" s="561"/>
      <c r="L244" s="561"/>
      <c r="M244" s="561"/>
      <c r="N244" s="561"/>
      <c r="O244" s="561"/>
      <c r="P244" s="561"/>
      <c r="Q244" s="561"/>
      <c r="R244" s="561"/>
      <c r="S244" s="561"/>
      <c r="T244" s="561"/>
      <c r="U244" s="561"/>
      <c r="V244" s="561"/>
      <c r="W244" s="561"/>
      <c r="X244" s="561"/>
      <c r="Y244" s="561"/>
      <c r="Z244" s="561"/>
      <c r="AA244" s="561"/>
      <c r="AB244" s="561"/>
      <c r="AC244" s="561"/>
      <c r="AD244" s="561"/>
    </row>
    <row r="245" spans="5:30">
      <c r="E245" s="561"/>
      <c r="F245" s="561"/>
      <c r="G245" s="561"/>
      <c r="H245" s="561"/>
      <c r="I245" s="561"/>
      <c r="J245" s="561"/>
      <c r="K245" s="561"/>
      <c r="L245" s="561"/>
      <c r="M245" s="561"/>
      <c r="N245" s="561"/>
      <c r="O245" s="561"/>
      <c r="P245" s="561"/>
      <c r="Q245" s="561"/>
      <c r="R245" s="561"/>
      <c r="S245" s="561"/>
      <c r="T245" s="561"/>
      <c r="U245" s="561"/>
      <c r="V245" s="561"/>
      <c r="W245" s="561"/>
      <c r="X245" s="561"/>
      <c r="Y245" s="561"/>
      <c r="Z245" s="561"/>
      <c r="AA245" s="561"/>
      <c r="AB245" s="561"/>
      <c r="AC245" s="561"/>
      <c r="AD245" s="561"/>
    </row>
    <row r="246" spans="5:30">
      <c r="E246" s="561"/>
      <c r="F246" s="561"/>
      <c r="G246" s="561"/>
      <c r="H246" s="561"/>
      <c r="I246" s="561"/>
      <c r="J246" s="561"/>
      <c r="K246" s="561"/>
      <c r="L246" s="561"/>
      <c r="M246" s="561"/>
      <c r="N246" s="561"/>
      <c r="O246" s="561"/>
      <c r="P246" s="561"/>
      <c r="Q246" s="561"/>
      <c r="R246" s="561"/>
      <c r="S246" s="561"/>
      <c r="T246" s="561"/>
      <c r="U246" s="561"/>
      <c r="V246" s="561"/>
      <c r="W246" s="561"/>
      <c r="X246" s="561"/>
      <c r="Y246" s="561"/>
      <c r="Z246" s="561"/>
      <c r="AA246" s="561"/>
      <c r="AB246" s="561"/>
      <c r="AC246" s="561"/>
      <c r="AD246" s="561"/>
    </row>
    <row r="247" spans="5:30">
      <c r="E247" s="561"/>
      <c r="F247" s="561"/>
      <c r="G247" s="561"/>
      <c r="H247" s="561"/>
      <c r="I247" s="561"/>
      <c r="J247" s="561"/>
      <c r="K247" s="561"/>
      <c r="L247" s="561"/>
      <c r="M247" s="561"/>
      <c r="N247" s="561"/>
      <c r="O247" s="561"/>
      <c r="P247" s="561"/>
      <c r="Q247" s="561"/>
      <c r="R247" s="561"/>
      <c r="S247" s="561"/>
      <c r="T247" s="561"/>
      <c r="U247" s="561"/>
      <c r="V247" s="561"/>
      <c r="W247" s="561"/>
      <c r="X247" s="561"/>
      <c r="Y247" s="561"/>
      <c r="Z247" s="561"/>
      <c r="AA247" s="561"/>
      <c r="AB247" s="561"/>
      <c r="AC247" s="561"/>
      <c r="AD247" s="561"/>
    </row>
    <row r="248" spans="5:30">
      <c r="E248" s="561"/>
      <c r="F248" s="561"/>
      <c r="G248" s="561"/>
      <c r="H248" s="561"/>
      <c r="I248" s="561"/>
      <c r="J248" s="561"/>
      <c r="K248" s="561"/>
      <c r="L248" s="561"/>
      <c r="M248" s="561"/>
      <c r="N248" s="561"/>
      <c r="O248" s="561"/>
      <c r="P248" s="561"/>
      <c r="Q248" s="561"/>
      <c r="R248" s="561"/>
      <c r="S248" s="561"/>
      <c r="T248" s="561"/>
      <c r="U248" s="561"/>
      <c r="V248" s="561"/>
      <c r="W248" s="561"/>
      <c r="X248" s="561"/>
      <c r="Y248" s="561"/>
      <c r="Z248" s="561"/>
      <c r="AA248" s="561"/>
      <c r="AB248" s="561"/>
      <c r="AC248" s="561"/>
      <c r="AD248" s="561"/>
    </row>
    <row r="249" spans="5:30">
      <c r="E249" s="561"/>
      <c r="F249" s="561"/>
      <c r="G249" s="561"/>
      <c r="H249" s="561"/>
      <c r="I249" s="561"/>
      <c r="J249" s="561"/>
      <c r="K249" s="561"/>
      <c r="L249" s="561"/>
      <c r="M249" s="561"/>
      <c r="N249" s="561"/>
      <c r="O249" s="561"/>
      <c r="P249" s="561"/>
      <c r="Q249" s="561"/>
      <c r="R249" s="561"/>
      <c r="S249" s="561"/>
      <c r="T249" s="561"/>
      <c r="U249" s="561"/>
      <c r="V249" s="561"/>
      <c r="W249" s="561"/>
      <c r="X249" s="561"/>
      <c r="Y249" s="561"/>
      <c r="Z249" s="561"/>
      <c r="AA249" s="561"/>
      <c r="AB249" s="561"/>
      <c r="AC249" s="561"/>
      <c r="AD249" s="561"/>
    </row>
    <row r="250" spans="5:30">
      <c r="E250" s="561"/>
      <c r="F250" s="561"/>
      <c r="G250" s="561"/>
      <c r="H250" s="561"/>
      <c r="I250" s="561"/>
      <c r="J250" s="561"/>
      <c r="K250" s="561"/>
      <c r="L250" s="561"/>
      <c r="M250" s="561"/>
      <c r="N250" s="561"/>
      <c r="O250" s="561"/>
      <c r="P250" s="561"/>
      <c r="Q250" s="561"/>
      <c r="R250" s="561"/>
      <c r="S250" s="561"/>
      <c r="T250" s="561"/>
      <c r="U250" s="561"/>
      <c r="V250" s="561"/>
      <c r="W250" s="561"/>
      <c r="X250" s="561"/>
      <c r="Y250" s="561"/>
      <c r="Z250" s="561"/>
      <c r="AA250" s="561"/>
      <c r="AB250" s="561"/>
      <c r="AC250" s="561"/>
      <c r="AD250" s="561"/>
    </row>
    <row r="251" spans="5:30">
      <c r="E251" s="561"/>
      <c r="F251" s="561"/>
      <c r="G251" s="561"/>
      <c r="H251" s="561"/>
      <c r="I251" s="561"/>
      <c r="J251" s="561"/>
      <c r="K251" s="561"/>
      <c r="L251" s="561"/>
      <c r="M251" s="561"/>
      <c r="N251" s="561"/>
      <c r="O251" s="561"/>
      <c r="P251" s="561"/>
      <c r="Q251" s="561"/>
      <c r="R251" s="561"/>
      <c r="S251" s="561"/>
      <c r="T251" s="561"/>
      <c r="U251" s="561"/>
      <c r="V251" s="561"/>
      <c r="W251" s="561"/>
      <c r="X251" s="561"/>
      <c r="Y251" s="561"/>
      <c r="Z251" s="561"/>
      <c r="AA251" s="561"/>
      <c r="AB251" s="561"/>
      <c r="AC251" s="561"/>
      <c r="AD251" s="561"/>
    </row>
    <row r="252" spans="5:30">
      <c r="E252" s="561"/>
      <c r="F252" s="561"/>
      <c r="G252" s="561"/>
      <c r="H252" s="561"/>
      <c r="I252" s="561"/>
      <c r="J252" s="561"/>
      <c r="K252" s="561"/>
      <c r="L252" s="561"/>
      <c r="M252" s="561"/>
      <c r="N252" s="561"/>
      <c r="O252" s="561"/>
      <c r="P252" s="561"/>
      <c r="Q252" s="561"/>
      <c r="R252" s="561"/>
      <c r="S252" s="561"/>
      <c r="T252" s="561"/>
      <c r="U252" s="561"/>
      <c r="V252" s="561"/>
      <c r="W252" s="561"/>
      <c r="X252" s="561"/>
      <c r="Y252" s="561"/>
      <c r="Z252" s="561"/>
      <c r="AA252" s="561"/>
      <c r="AB252" s="561"/>
      <c r="AC252" s="561"/>
      <c r="AD252" s="561"/>
    </row>
    <row r="253" spans="5:30">
      <c r="E253" s="561"/>
      <c r="F253" s="561"/>
      <c r="G253" s="561"/>
      <c r="H253" s="561"/>
      <c r="I253" s="561"/>
      <c r="J253" s="561"/>
      <c r="K253" s="561"/>
      <c r="L253" s="561"/>
      <c r="M253" s="561"/>
      <c r="N253" s="561"/>
      <c r="O253" s="561"/>
      <c r="P253" s="561"/>
      <c r="Q253" s="561"/>
      <c r="R253" s="561"/>
      <c r="S253" s="561"/>
      <c r="T253" s="561"/>
      <c r="U253" s="561"/>
      <c r="V253" s="561"/>
      <c r="W253" s="561"/>
      <c r="X253" s="561"/>
      <c r="Y253" s="561"/>
      <c r="Z253" s="561"/>
      <c r="AA253" s="561"/>
      <c r="AB253" s="561"/>
      <c r="AC253" s="561"/>
      <c r="AD253" s="561"/>
    </row>
    <row r="254" spans="5:30">
      <c r="E254" s="561"/>
      <c r="F254" s="561"/>
      <c r="G254" s="561"/>
      <c r="H254" s="561"/>
      <c r="I254" s="561"/>
      <c r="J254" s="561"/>
      <c r="K254" s="561"/>
      <c r="L254" s="561"/>
      <c r="M254" s="561"/>
      <c r="N254" s="561"/>
      <c r="O254" s="561"/>
      <c r="P254" s="561"/>
      <c r="Q254" s="561"/>
      <c r="R254" s="561"/>
      <c r="S254" s="561"/>
      <c r="T254" s="561"/>
      <c r="U254" s="561"/>
      <c r="V254" s="561"/>
      <c r="W254" s="561"/>
      <c r="X254" s="561"/>
      <c r="Y254" s="561"/>
      <c r="Z254" s="561"/>
      <c r="AA254" s="561"/>
      <c r="AB254" s="561"/>
      <c r="AC254" s="561"/>
      <c r="AD254" s="561"/>
    </row>
    <row r="255" spans="5:30">
      <c r="E255" s="561"/>
      <c r="F255" s="561"/>
      <c r="G255" s="561"/>
      <c r="H255" s="561"/>
      <c r="I255" s="561"/>
      <c r="J255" s="561"/>
      <c r="K255" s="561"/>
      <c r="L255" s="561"/>
      <c r="M255" s="561"/>
      <c r="N255" s="561"/>
      <c r="O255" s="561"/>
      <c r="P255" s="561"/>
      <c r="Q255" s="561"/>
      <c r="R255" s="561"/>
      <c r="S255" s="561"/>
      <c r="T255" s="561"/>
      <c r="U255" s="561"/>
      <c r="V255" s="561"/>
      <c r="W255" s="561"/>
      <c r="X255" s="561"/>
      <c r="Y255" s="561"/>
      <c r="Z255" s="561"/>
      <c r="AA255" s="561"/>
      <c r="AB255" s="561"/>
      <c r="AC255" s="561"/>
      <c r="AD255" s="561"/>
    </row>
    <row r="256" spans="5:30">
      <c r="E256" s="561"/>
      <c r="F256" s="561"/>
      <c r="G256" s="561"/>
      <c r="H256" s="561"/>
      <c r="I256" s="561"/>
      <c r="J256" s="561"/>
      <c r="K256" s="561"/>
      <c r="L256" s="561"/>
      <c r="M256" s="561"/>
      <c r="N256" s="561"/>
      <c r="O256" s="561"/>
      <c r="P256" s="561"/>
      <c r="Q256" s="561"/>
      <c r="R256" s="561"/>
      <c r="S256" s="561"/>
      <c r="T256" s="561"/>
      <c r="U256" s="561"/>
      <c r="V256" s="561"/>
      <c r="W256" s="561"/>
      <c r="X256" s="561"/>
      <c r="Y256" s="561"/>
      <c r="Z256" s="561"/>
      <c r="AA256" s="561"/>
      <c r="AB256" s="561"/>
      <c r="AC256" s="561"/>
      <c r="AD256" s="561"/>
    </row>
    <row r="257" spans="5:30">
      <c r="E257" s="561"/>
      <c r="F257" s="561"/>
      <c r="G257" s="561"/>
      <c r="H257" s="561"/>
      <c r="I257" s="561"/>
      <c r="J257" s="561"/>
      <c r="K257" s="561"/>
      <c r="L257" s="561"/>
      <c r="M257" s="561"/>
      <c r="N257" s="561"/>
      <c r="O257" s="561"/>
      <c r="P257" s="561"/>
      <c r="Q257" s="561"/>
      <c r="R257" s="561"/>
      <c r="S257" s="561"/>
      <c r="T257" s="561"/>
      <c r="U257" s="561"/>
      <c r="V257" s="561"/>
      <c r="W257" s="561"/>
      <c r="X257" s="561"/>
      <c r="Y257" s="561"/>
      <c r="Z257" s="561"/>
      <c r="AA257" s="561"/>
      <c r="AB257" s="561"/>
      <c r="AC257" s="561"/>
      <c r="AD257" s="561"/>
    </row>
    <row r="258" spans="5:30">
      <c r="E258" s="561"/>
      <c r="F258" s="561"/>
      <c r="G258" s="561"/>
      <c r="H258" s="561"/>
      <c r="I258" s="561"/>
      <c r="J258" s="561"/>
      <c r="K258" s="561"/>
      <c r="L258" s="561"/>
      <c r="M258" s="561"/>
      <c r="N258" s="561"/>
      <c r="O258" s="561"/>
      <c r="P258" s="561"/>
      <c r="Q258" s="561"/>
      <c r="R258" s="561"/>
      <c r="S258" s="561"/>
      <c r="T258" s="561"/>
      <c r="U258" s="561"/>
      <c r="V258" s="561"/>
      <c r="W258" s="561"/>
      <c r="X258" s="561"/>
      <c r="Y258" s="561"/>
      <c r="Z258" s="561"/>
      <c r="AA258" s="561"/>
      <c r="AB258" s="561"/>
      <c r="AC258" s="561"/>
      <c r="AD258" s="561"/>
    </row>
    <row r="259" spans="5:30">
      <c r="E259" s="561"/>
      <c r="F259" s="561"/>
      <c r="G259" s="561"/>
      <c r="H259" s="561"/>
      <c r="I259" s="561"/>
      <c r="J259" s="561"/>
      <c r="K259" s="561"/>
      <c r="L259" s="561"/>
      <c r="M259" s="561"/>
      <c r="N259" s="561"/>
      <c r="O259" s="561"/>
      <c r="P259" s="561"/>
      <c r="Q259" s="561"/>
      <c r="R259" s="561"/>
      <c r="S259" s="561"/>
      <c r="T259" s="561"/>
      <c r="U259" s="561"/>
      <c r="V259" s="561"/>
      <c r="W259" s="561"/>
      <c r="X259" s="561"/>
      <c r="Y259" s="561"/>
      <c r="Z259" s="561"/>
      <c r="AA259" s="561"/>
      <c r="AB259" s="561"/>
      <c r="AC259" s="561"/>
      <c r="AD259" s="561"/>
    </row>
    <row r="260" spans="5:30">
      <c r="E260" s="561"/>
      <c r="F260" s="561"/>
      <c r="G260" s="561"/>
      <c r="H260" s="561"/>
      <c r="I260" s="561"/>
      <c r="J260" s="561"/>
      <c r="K260" s="561"/>
      <c r="L260" s="561"/>
      <c r="M260" s="561"/>
      <c r="N260" s="561"/>
      <c r="O260" s="561"/>
      <c r="P260" s="561"/>
      <c r="Q260" s="561"/>
      <c r="R260" s="561"/>
      <c r="S260" s="561"/>
      <c r="T260" s="561"/>
      <c r="U260" s="561"/>
      <c r="V260" s="561"/>
      <c r="W260" s="561"/>
      <c r="X260" s="561"/>
      <c r="Y260" s="561"/>
      <c r="Z260" s="561"/>
      <c r="AA260" s="561"/>
      <c r="AB260" s="561"/>
      <c r="AC260" s="561"/>
      <c r="AD260" s="561"/>
    </row>
    <row r="261" spans="5:30">
      <c r="E261" s="561"/>
      <c r="F261" s="561"/>
      <c r="G261" s="561"/>
      <c r="H261" s="561"/>
      <c r="I261" s="561"/>
      <c r="J261" s="561"/>
      <c r="K261" s="561"/>
      <c r="L261" s="561"/>
      <c r="M261" s="561"/>
      <c r="N261" s="561"/>
      <c r="O261" s="561"/>
      <c r="P261" s="561"/>
      <c r="Q261" s="561"/>
      <c r="R261" s="561"/>
      <c r="S261" s="561"/>
      <c r="T261" s="561"/>
      <c r="U261" s="561"/>
      <c r="V261" s="561"/>
      <c r="W261" s="561"/>
      <c r="X261" s="561"/>
      <c r="Y261" s="561"/>
      <c r="Z261" s="561"/>
      <c r="AA261" s="561"/>
      <c r="AB261" s="561"/>
      <c r="AC261" s="561"/>
      <c r="AD261" s="561"/>
    </row>
    <row r="262" spans="5:30">
      <c r="E262" s="561"/>
      <c r="F262" s="561"/>
      <c r="G262" s="561"/>
      <c r="H262" s="561"/>
      <c r="I262" s="561"/>
      <c r="J262" s="561"/>
      <c r="K262" s="561"/>
      <c r="L262" s="561"/>
      <c r="M262" s="561"/>
      <c r="N262" s="561"/>
      <c r="O262" s="561"/>
      <c r="P262" s="561"/>
      <c r="Q262" s="561"/>
      <c r="R262" s="561"/>
      <c r="S262" s="561"/>
      <c r="T262" s="561"/>
      <c r="U262" s="561"/>
      <c r="V262" s="561"/>
      <c r="W262" s="561"/>
      <c r="X262" s="561"/>
      <c r="Y262" s="561"/>
      <c r="Z262" s="561"/>
      <c r="AA262" s="561"/>
      <c r="AB262" s="561"/>
      <c r="AC262" s="561"/>
      <c r="AD262" s="561"/>
    </row>
    <row r="263" spans="5:30">
      <c r="E263" s="561"/>
      <c r="F263" s="561"/>
      <c r="G263" s="561"/>
      <c r="H263" s="561"/>
      <c r="I263" s="561"/>
      <c r="J263" s="561"/>
      <c r="K263" s="561"/>
      <c r="L263" s="561"/>
      <c r="M263" s="561"/>
      <c r="N263" s="561"/>
      <c r="O263" s="561"/>
      <c r="P263" s="561"/>
      <c r="Q263" s="561"/>
      <c r="R263" s="561"/>
      <c r="S263" s="561"/>
      <c r="T263" s="561"/>
      <c r="U263" s="561"/>
      <c r="V263" s="561"/>
      <c r="W263" s="561"/>
      <c r="X263" s="561"/>
      <c r="Y263" s="561"/>
      <c r="Z263" s="561"/>
      <c r="AA263" s="561"/>
      <c r="AB263" s="561"/>
      <c r="AC263" s="561"/>
      <c r="AD263" s="561"/>
    </row>
    <row r="264" spans="5:30">
      <c r="E264" s="561"/>
      <c r="F264" s="561"/>
      <c r="G264" s="561"/>
      <c r="H264" s="561"/>
      <c r="I264" s="561"/>
      <c r="J264" s="561"/>
      <c r="K264" s="561"/>
      <c r="L264" s="561"/>
      <c r="M264" s="561"/>
      <c r="N264" s="561"/>
      <c r="O264" s="561"/>
      <c r="P264" s="561"/>
      <c r="Q264" s="561"/>
      <c r="R264" s="561"/>
      <c r="S264" s="561"/>
      <c r="T264" s="561"/>
      <c r="U264" s="561"/>
      <c r="V264" s="561"/>
      <c r="W264" s="561"/>
      <c r="X264" s="561"/>
      <c r="Y264" s="561"/>
      <c r="Z264" s="561"/>
      <c r="AA264" s="561"/>
      <c r="AB264" s="561"/>
      <c r="AC264" s="561"/>
      <c r="AD264" s="561"/>
    </row>
    <row r="265" spans="5:30">
      <c r="E265" s="561"/>
      <c r="F265" s="561"/>
      <c r="G265" s="561"/>
      <c r="H265" s="561"/>
      <c r="I265" s="561"/>
      <c r="J265" s="561"/>
      <c r="K265" s="561"/>
      <c r="L265" s="561"/>
      <c r="M265" s="561"/>
      <c r="N265" s="561"/>
      <c r="O265" s="561"/>
      <c r="P265" s="561"/>
      <c r="Q265" s="561"/>
      <c r="R265" s="561"/>
      <c r="S265" s="561"/>
      <c r="T265" s="561"/>
      <c r="U265" s="561"/>
      <c r="V265" s="561"/>
      <c r="W265" s="561"/>
      <c r="X265" s="561"/>
      <c r="Y265" s="561"/>
      <c r="Z265" s="561"/>
      <c r="AA265" s="561"/>
      <c r="AB265" s="561"/>
      <c r="AC265" s="561"/>
      <c r="AD265" s="561"/>
    </row>
    <row r="266" spans="5:30">
      <c r="E266" s="561"/>
      <c r="F266" s="561"/>
      <c r="G266" s="561"/>
      <c r="H266" s="561"/>
      <c r="I266" s="561"/>
      <c r="J266" s="561"/>
      <c r="K266" s="561"/>
      <c r="L266" s="561"/>
      <c r="M266" s="561"/>
      <c r="N266" s="561"/>
      <c r="O266" s="561"/>
      <c r="P266" s="561"/>
      <c r="Q266" s="561"/>
      <c r="R266" s="561"/>
      <c r="S266" s="561"/>
      <c r="T266" s="561"/>
      <c r="U266" s="561"/>
      <c r="V266" s="561"/>
      <c r="W266" s="561"/>
      <c r="X266" s="561"/>
      <c r="Y266" s="561"/>
      <c r="Z266" s="561"/>
      <c r="AA266" s="561"/>
      <c r="AB266" s="561"/>
      <c r="AC266" s="561"/>
      <c r="AD266" s="561"/>
    </row>
    <row r="267" spans="5:30">
      <c r="E267" s="561"/>
      <c r="F267" s="561"/>
      <c r="G267" s="561"/>
      <c r="H267" s="561"/>
      <c r="I267" s="561"/>
      <c r="J267" s="561"/>
      <c r="K267" s="561"/>
      <c r="L267" s="561"/>
      <c r="M267" s="561"/>
      <c r="N267" s="561"/>
      <c r="O267" s="561"/>
      <c r="P267" s="561"/>
      <c r="Q267" s="561"/>
      <c r="R267" s="561"/>
      <c r="S267" s="561"/>
      <c r="T267" s="561"/>
      <c r="U267" s="561"/>
      <c r="V267" s="561"/>
      <c r="W267" s="561"/>
      <c r="X267" s="561"/>
      <c r="Y267" s="561"/>
      <c r="Z267" s="561"/>
      <c r="AA267" s="561"/>
      <c r="AB267" s="561"/>
      <c r="AC267" s="561"/>
      <c r="AD267" s="561"/>
    </row>
    <row r="268" spans="5:30">
      <c r="E268" s="561"/>
      <c r="F268" s="561"/>
      <c r="G268" s="561"/>
      <c r="H268" s="561"/>
      <c r="I268" s="561"/>
      <c r="J268" s="561"/>
      <c r="K268" s="561"/>
      <c r="L268" s="561"/>
      <c r="M268" s="561"/>
      <c r="N268" s="561"/>
      <c r="O268" s="561"/>
      <c r="P268" s="561"/>
      <c r="Q268" s="561"/>
      <c r="R268" s="561"/>
      <c r="S268" s="561"/>
      <c r="T268" s="561"/>
      <c r="U268" s="561"/>
      <c r="V268" s="561"/>
      <c r="W268" s="561"/>
      <c r="X268" s="561"/>
      <c r="Y268" s="561"/>
      <c r="Z268" s="561"/>
      <c r="AA268" s="561"/>
      <c r="AB268" s="561"/>
      <c r="AC268" s="561"/>
      <c r="AD268" s="561"/>
    </row>
    <row r="269" spans="5:30">
      <c r="E269" s="561"/>
      <c r="F269" s="561"/>
      <c r="G269" s="561"/>
      <c r="H269" s="561"/>
      <c r="I269" s="561"/>
      <c r="J269" s="561"/>
      <c r="K269" s="561"/>
      <c r="L269" s="561"/>
      <c r="M269" s="561"/>
      <c r="N269" s="561"/>
      <c r="O269" s="561"/>
      <c r="P269" s="561"/>
      <c r="Q269" s="561"/>
      <c r="R269" s="561"/>
      <c r="S269" s="561"/>
      <c r="T269" s="561"/>
      <c r="U269" s="561"/>
      <c r="V269" s="561"/>
      <c r="W269" s="561"/>
      <c r="X269" s="561"/>
      <c r="Y269" s="561"/>
      <c r="Z269" s="561"/>
      <c r="AA269" s="561"/>
      <c r="AB269" s="561"/>
      <c r="AC269" s="561"/>
      <c r="AD269" s="561"/>
    </row>
    <row r="270" spans="5:30">
      <c r="E270" s="561"/>
      <c r="F270" s="561"/>
      <c r="G270" s="561"/>
      <c r="H270" s="561"/>
      <c r="I270" s="561"/>
      <c r="J270" s="561"/>
      <c r="K270" s="561"/>
      <c r="L270" s="561"/>
      <c r="M270" s="561"/>
      <c r="N270" s="561"/>
      <c r="O270" s="561"/>
      <c r="P270" s="561"/>
      <c r="Q270" s="561"/>
      <c r="R270" s="561"/>
      <c r="S270" s="561"/>
      <c r="T270" s="561"/>
      <c r="U270" s="561"/>
      <c r="V270" s="561"/>
      <c r="W270" s="561"/>
      <c r="X270" s="561"/>
      <c r="Y270" s="561"/>
      <c r="Z270" s="561"/>
      <c r="AA270" s="561"/>
      <c r="AB270" s="561"/>
      <c r="AC270" s="561"/>
      <c r="AD270" s="561"/>
    </row>
    <row r="271" spans="5:30">
      <c r="E271" s="561"/>
      <c r="F271" s="561"/>
      <c r="G271" s="561"/>
      <c r="H271" s="561"/>
      <c r="I271" s="561"/>
      <c r="J271" s="561"/>
      <c r="K271" s="561"/>
      <c r="L271" s="561"/>
      <c r="M271" s="561"/>
      <c r="N271" s="561"/>
      <c r="O271" s="561"/>
      <c r="P271" s="561"/>
      <c r="Q271" s="561"/>
      <c r="R271" s="561"/>
      <c r="S271" s="561"/>
      <c r="T271" s="561"/>
      <c r="U271" s="561"/>
      <c r="V271" s="561"/>
      <c r="W271" s="561"/>
      <c r="X271" s="561"/>
      <c r="Y271" s="561"/>
      <c r="Z271" s="561"/>
      <c r="AA271" s="561"/>
      <c r="AB271" s="561"/>
      <c r="AC271" s="561"/>
      <c r="AD271" s="561"/>
    </row>
    <row r="272" spans="5:30">
      <c r="E272" s="561"/>
      <c r="F272" s="561"/>
      <c r="G272" s="561"/>
      <c r="H272" s="561"/>
      <c r="I272" s="561"/>
      <c r="J272" s="561"/>
      <c r="K272" s="561"/>
      <c r="L272" s="561"/>
      <c r="M272" s="561"/>
      <c r="N272" s="561"/>
      <c r="O272" s="561"/>
      <c r="P272" s="561"/>
      <c r="Q272" s="561"/>
      <c r="R272" s="561"/>
      <c r="S272" s="561"/>
      <c r="T272" s="561"/>
      <c r="U272" s="561"/>
      <c r="V272" s="561"/>
      <c r="W272" s="561"/>
      <c r="X272" s="561"/>
      <c r="Y272" s="561"/>
      <c r="Z272" s="561"/>
      <c r="AA272" s="561"/>
      <c r="AB272" s="561"/>
      <c r="AC272" s="561"/>
      <c r="AD272" s="561"/>
    </row>
    <row r="273" spans="5:30">
      <c r="E273" s="561"/>
      <c r="F273" s="561"/>
      <c r="G273" s="561"/>
      <c r="H273" s="561"/>
      <c r="I273" s="561"/>
      <c r="J273" s="561"/>
      <c r="K273" s="561"/>
      <c r="L273" s="561"/>
      <c r="M273" s="561"/>
      <c r="N273" s="561"/>
      <c r="O273" s="561"/>
      <c r="P273" s="561"/>
      <c r="Q273" s="561"/>
      <c r="R273" s="561"/>
      <c r="S273" s="561"/>
      <c r="T273" s="561"/>
      <c r="U273" s="561"/>
      <c r="V273" s="561"/>
      <c r="W273" s="561"/>
      <c r="X273" s="561"/>
      <c r="Y273" s="561"/>
      <c r="Z273" s="561"/>
      <c r="AA273" s="561"/>
      <c r="AB273" s="561"/>
      <c r="AC273" s="561"/>
      <c r="AD273" s="561"/>
    </row>
    <row r="274" spans="5:30">
      <c r="E274" s="561"/>
      <c r="F274" s="561"/>
      <c r="G274" s="561"/>
      <c r="H274" s="561"/>
      <c r="I274" s="561"/>
      <c r="J274" s="561"/>
      <c r="K274" s="561"/>
      <c r="L274" s="561"/>
      <c r="M274" s="561"/>
      <c r="N274" s="561"/>
      <c r="O274" s="561"/>
      <c r="P274" s="561"/>
      <c r="Q274" s="561"/>
      <c r="R274" s="561"/>
      <c r="S274" s="561"/>
      <c r="T274" s="561"/>
      <c r="U274" s="561"/>
      <c r="V274" s="561"/>
      <c r="W274" s="561"/>
      <c r="X274" s="561"/>
      <c r="Y274" s="561"/>
      <c r="Z274" s="561"/>
      <c r="AA274" s="561"/>
      <c r="AB274" s="561"/>
      <c r="AC274" s="561"/>
      <c r="AD274" s="561"/>
    </row>
    <row r="275" spans="5:30">
      <c r="E275" s="561"/>
      <c r="F275" s="561"/>
      <c r="G275" s="561"/>
      <c r="H275" s="561"/>
      <c r="I275" s="561"/>
      <c r="J275" s="561"/>
      <c r="K275" s="561"/>
      <c r="L275" s="561"/>
      <c r="M275" s="561"/>
      <c r="N275" s="561"/>
      <c r="O275" s="561"/>
      <c r="P275" s="561"/>
      <c r="Q275" s="561"/>
      <c r="R275" s="561"/>
      <c r="S275" s="561"/>
      <c r="T275" s="561"/>
      <c r="U275" s="561"/>
      <c r="V275" s="561"/>
      <c r="W275" s="561"/>
      <c r="X275" s="561"/>
      <c r="Y275" s="561"/>
      <c r="Z275" s="561"/>
      <c r="AA275" s="561"/>
      <c r="AB275" s="561"/>
      <c r="AC275" s="561"/>
      <c r="AD275" s="561"/>
    </row>
    <row r="276" spans="5:30">
      <c r="E276" s="561"/>
      <c r="F276" s="561"/>
      <c r="G276" s="561"/>
      <c r="H276" s="561"/>
      <c r="I276" s="561"/>
      <c r="J276" s="561"/>
      <c r="K276" s="561"/>
      <c r="L276" s="561"/>
      <c r="M276" s="561"/>
      <c r="N276" s="561"/>
      <c r="O276" s="561"/>
      <c r="P276" s="561"/>
      <c r="Q276" s="561"/>
      <c r="R276" s="561"/>
      <c r="S276" s="561"/>
      <c r="T276" s="561"/>
      <c r="U276" s="561"/>
      <c r="V276" s="561"/>
      <c r="W276" s="561"/>
      <c r="X276" s="561"/>
      <c r="Y276" s="561"/>
      <c r="Z276" s="561"/>
      <c r="AA276" s="561"/>
      <c r="AB276" s="561"/>
      <c r="AC276" s="561"/>
      <c r="AD276" s="561"/>
    </row>
    <row r="277" spans="5:30">
      <c r="E277" s="561"/>
      <c r="F277" s="561"/>
      <c r="G277" s="561"/>
      <c r="H277" s="561"/>
      <c r="I277" s="561"/>
      <c r="J277" s="561"/>
      <c r="K277" s="561"/>
      <c r="L277" s="561"/>
      <c r="M277" s="561"/>
      <c r="N277" s="561"/>
      <c r="O277" s="561"/>
      <c r="P277" s="561"/>
      <c r="Q277" s="561"/>
      <c r="R277" s="561"/>
      <c r="S277" s="561"/>
      <c r="T277" s="561"/>
      <c r="U277" s="561"/>
      <c r="V277" s="561"/>
      <c r="W277" s="561"/>
      <c r="X277" s="561"/>
      <c r="Y277" s="561"/>
      <c r="Z277" s="561"/>
      <c r="AA277" s="561"/>
      <c r="AB277" s="561"/>
      <c r="AC277" s="561"/>
      <c r="AD277" s="561"/>
    </row>
    <row r="278" spans="5:30">
      <c r="E278" s="561"/>
      <c r="F278" s="561"/>
      <c r="G278" s="561"/>
      <c r="H278" s="561"/>
      <c r="I278" s="561"/>
      <c r="J278" s="561"/>
      <c r="K278" s="561"/>
      <c r="L278" s="561"/>
      <c r="M278" s="561"/>
      <c r="N278" s="561"/>
      <c r="O278" s="561"/>
      <c r="P278" s="561"/>
      <c r="Q278" s="561"/>
      <c r="R278" s="561"/>
      <c r="S278" s="561"/>
      <c r="T278" s="561"/>
      <c r="U278" s="561"/>
      <c r="V278" s="561"/>
      <c r="W278" s="561"/>
      <c r="X278" s="561"/>
      <c r="Y278" s="561"/>
      <c r="Z278" s="561"/>
      <c r="AA278" s="561"/>
      <c r="AB278" s="561"/>
      <c r="AC278" s="561"/>
      <c r="AD278" s="561"/>
    </row>
    <row r="279" spans="5:30">
      <c r="E279" s="561"/>
      <c r="F279" s="561"/>
      <c r="G279" s="561"/>
      <c r="H279" s="561"/>
      <c r="I279" s="561"/>
      <c r="J279" s="561"/>
      <c r="K279" s="561"/>
      <c r="L279" s="561"/>
      <c r="M279" s="561"/>
      <c r="N279" s="561"/>
      <c r="O279" s="561"/>
      <c r="P279" s="561"/>
      <c r="Q279" s="561"/>
      <c r="R279" s="561"/>
      <c r="S279" s="561"/>
      <c r="T279" s="561"/>
      <c r="U279" s="561"/>
      <c r="V279" s="561"/>
      <c r="W279" s="561"/>
      <c r="X279" s="561"/>
      <c r="Y279" s="561"/>
      <c r="Z279" s="561"/>
      <c r="AA279" s="561"/>
      <c r="AB279" s="561"/>
      <c r="AC279" s="561"/>
      <c r="AD279" s="561"/>
    </row>
    <row r="280" spans="5:30">
      <c r="E280" s="561"/>
      <c r="F280" s="561"/>
      <c r="G280" s="561"/>
      <c r="H280" s="561"/>
      <c r="I280" s="561"/>
      <c r="J280" s="561"/>
      <c r="K280" s="561"/>
      <c r="L280" s="561"/>
      <c r="M280" s="561"/>
      <c r="N280" s="561"/>
      <c r="O280" s="561"/>
      <c r="P280" s="561"/>
      <c r="Q280" s="561"/>
      <c r="R280" s="561"/>
      <c r="S280" s="561"/>
      <c r="T280" s="561"/>
      <c r="U280" s="561"/>
      <c r="V280" s="561"/>
      <c r="W280" s="561"/>
      <c r="X280" s="561"/>
      <c r="Y280" s="561"/>
      <c r="Z280" s="561"/>
      <c r="AA280" s="561"/>
      <c r="AB280" s="561"/>
      <c r="AC280" s="561"/>
      <c r="AD280" s="561"/>
    </row>
    <row r="281" spans="5:30">
      <c r="E281" s="561"/>
      <c r="F281" s="561"/>
      <c r="G281" s="561"/>
      <c r="H281" s="561"/>
      <c r="I281" s="561"/>
      <c r="J281" s="561"/>
      <c r="K281" s="561"/>
      <c r="L281" s="561"/>
      <c r="M281" s="561"/>
      <c r="N281" s="561"/>
      <c r="O281" s="561"/>
      <c r="P281" s="561"/>
      <c r="Q281" s="561"/>
      <c r="R281" s="561"/>
      <c r="S281" s="561"/>
      <c r="T281" s="561"/>
      <c r="U281" s="561"/>
      <c r="V281" s="561"/>
      <c r="W281" s="561"/>
      <c r="X281" s="561"/>
      <c r="Y281" s="561"/>
      <c r="Z281" s="561"/>
      <c r="AA281" s="561"/>
      <c r="AB281" s="561"/>
      <c r="AC281" s="561"/>
      <c r="AD281" s="561"/>
    </row>
    <row r="282" spans="5:30">
      <c r="E282" s="561"/>
      <c r="F282" s="561"/>
      <c r="G282" s="561"/>
      <c r="H282" s="561"/>
      <c r="I282" s="561"/>
      <c r="J282" s="561"/>
      <c r="K282" s="561"/>
      <c r="L282" s="561"/>
      <c r="M282" s="561"/>
      <c r="N282" s="561"/>
      <c r="O282" s="561"/>
      <c r="P282" s="561"/>
      <c r="Q282" s="561"/>
      <c r="R282" s="561"/>
      <c r="S282" s="561"/>
      <c r="T282" s="561"/>
      <c r="U282" s="561"/>
      <c r="V282" s="561"/>
      <c r="W282" s="561"/>
      <c r="X282" s="561"/>
      <c r="Y282" s="561"/>
      <c r="Z282" s="561"/>
      <c r="AA282" s="561"/>
      <c r="AB282" s="561"/>
      <c r="AC282" s="561"/>
      <c r="AD282" s="561"/>
    </row>
    <row r="283" spans="5:30">
      <c r="E283" s="561"/>
      <c r="F283" s="561"/>
      <c r="G283" s="561"/>
      <c r="H283" s="561"/>
      <c r="I283" s="561"/>
      <c r="J283" s="561"/>
      <c r="K283" s="561"/>
      <c r="L283" s="561"/>
      <c r="M283" s="561"/>
      <c r="N283" s="561"/>
      <c r="O283" s="561"/>
      <c r="P283" s="561"/>
      <c r="Q283" s="561"/>
      <c r="R283" s="561"/>
      <c r="S283" s="561"/>
      <c r="T283" s="561"/>
      <c r="U283" s="561"/>
      <c r="V283" s="561"/>
      <c r="W283" s="561"/>
      <c r="X283" s="561"/>
      <c r="Y283" s="561"/>
      <c r="Z283" s="561"/>
      <c r="AA283" s="561"/>
      <c r="AB283" s="561"/>
      <c r="AC283" s="561"/>
      <c r="AD283" s="561"/>
    </row>
    <row r="284" spans="5:30">
      <c r="E284" s="561"/>
      <c r="F284" s="561"/>
      <c r="G284" s="561"/>
      <c r="H284" s="561"/>
      <c r="I284" s="561"/>
      <c r="J284" s="561"/>
      <c r="K284" s="561"/>
      <c r="L284" s="561"/>
      <c r="M284" s="561"/>
      <c r="N284" s="561"/>
      <c r="O284" s="561"/>
      <c r="P284" s="561"/>
      <c r="Q284" s="561"/>
      <c r="R284" s="561"/>
      <c r="S284" s="561"/>
      <c r="T284" s="561"/>
      <c r="U284" s="561"/>
      <c r="V284" s="561"/>
      <c r="W284" s="561"/>
      <c r="X284" s="561"/>
      <c r="Y284" s="561"/>
      <c r="Z284" s="561"/>
      <c r="AA284" s="561"/>
      <c r="AB284" s="561"/>
      <c r="AC284" s="561"/>
      <c r="AD284" s="561"/>
    </row>
    <row r="285" spans="5:30">
      <c r="E285" s="561"/>
      <c r="F285" s="561"/>
      <c r="G285" s="561"/>
      <c r="H285" s="561"/>
      <c r="I285" s="561"/>
      <c r="J285" s="561"/>
      <c r="K285" s="561"/>
      <c r="L285" s="561"/>
      <c r="M285" s="561"/>
      <c r="N285" s="561"/>
      <c r="O285" s="561"/>
      <c r="P285" s="561"/>
      <c r="Q285" s="561"/>
      <c r="R285" s="561"/>
      <c r="S285" s="561"/>
      <c r="T285" s="561"/>
      <c r="U285" s="561"/>
      <c r="V285" s="561"/>
      <c r="W285" s="561"/>
      <c r="X285" s="561"/>
      <c r="Y285" s="561"/>
      <c r="Z285" s="561"/>
      <c r="AA285" s="561"/>
      <c r="AB285" s="561"/>
      <c r="AC285" s="561"/>
      <c r="AD285" s="561"/>
    </row>
    <row r="286" spans="5:30">
      <c r="E286" s="561"/>
      <c r="F286" s="561"/>
      <c r="G286" s="561"/>
      <c r="H286" s="561"/>
      <c r="I286" s="561"/>
      <c r="J286" s="561"/>
      <c r="K286" s="561"/>
      <c r="L286" s="561"/>
      <c r="M286" s="561"/>
      <c r="N286" s="561"/>
      <c r="O286" s="561"/>
      <c r="P286" s="561"/>
      <c r="Q286" s="561"/>
      <c r="R286" s="561"/>
      <c r="S286" s="561"/>
      <c r="T286" s="561"/>
      <c r="U286" s="561"/>
      <c r="V286" s="561"/>
      <c r="W286" s="561"/>
      <c r="X286" s="561"/>
      <c r="Y286" s="561"/>
      <c r="Z286" s="561"/>
      <c r="AA286" s="561"/>
      <c r="AB286" s="561"/>
      <c r="AC286" s="561"/>
      <c r="AD286" s="561"/>
    </row>
    <row r="287" spans="5:30">
      <c r="E287" s="561"/>
      <c r="F287" s="561"/>
      <c r="G287" s="561"/>
      <c r="H287" s="561"/>
      <c r="I287" s="561"/>
      <c r="J287" s="561"/>
      <c r="K287" s="561"/>
      <c r="L287" s="561"/>
      <c r="M287" s="561"/>
      <c r="N287" s="561"/>
      <c r="O287" s="561"/>
      <c r="P287" s="561"/>
      <c r="Q287" s="561"/>
      <c r="R287" s="561"/>
      <c r="S287" s="561"/>
      <c r="T287" s="561"/>
      <c r="U287" s="561"/>
      <c r="V287" s="561"/>
      <c r="W287" s="561"/>
      <c r="X287" s="561"/>
      <c r="Y287" s="561"/>
      <c r="Z287" s="561"/>
      <c r="AA287" s="561"/>
      <c r="AB287" s="561"/>
      <c r="AC287" s="561"/>
      <c r="AD287" s="561"/>
    </row>
    <row r="288" spans="5:30">
      <c r="E288" s="561"/>
      <c r="F288" s="561"/>
      <c r="G288" s="561"/>
      <c r="H288" s="561"/>
      <c r="I288" s="561"/>
      <c r="J288" s="561"/>
      <c r="K288" s="561"/>
      <c r="L288" s="561"/>
      <c r="M288" s="561"/>
      <c r="N288" s="561"/>
      <c r="O288" s="561"/>
      <c r="P288" s="561"/>
      <c r="Q288" s="561"/>
      <c r="R288" s="561"/>
      <c r="S288" s="561"/>
      <c r="T288" s="561"/>
      <c r="U288" s="561"/>
      <c r="V288" s="561"/>
      <c r="W288" s="561"/>
      <c r="X288" s="561"/>
      <c r="Y288" s="561"/>
      <c r="Z288" s="561"/>
      <c r="AA288" s="561"/>
      <c r="AB288" s="561"/>
      <c r="AC288" s="561"/>
      <c r="AD288" s="561"/>
    </row>
    <row r="289" spans="5:30">
      <c r="E289" s="561"/>
      <c r="F289" s="561"/>
      <c r="G289" s="561"/>
      <c r="H289" s="561"/>
      <c r="I289" s="561"/>
      <c r="J289" s="561"/>
      <c r="K289" s="561"/>
      <c r="L289" s="561"/>
      <c r="M289" s="561"/>
      <c r="N289" s="561"/>
      <c r="O289" s="561"/>
      <c r="P289" s="561"/>
      <c r="Q289" s="561"/>
      <c r="R289" s="561"/>
      <c r="S289" s="561"/>
      <c r="T289" s="561"/>
      <c r="U289" s="561"/>
      <c r="V289" s="561"/>
      <c r="W289" s="561"/>
      <c r="X289" s="561"/>
      <c r="Y289" s="561"/>
      <c r="Z289" s="561"/>
      <c r="AA289" s="561"/>
      <c r="AB289" s="561"/>
      <c r="AC289" s="561"/>
      <c r="AD289" s="561"/>
    </row>
    <row r="290" spans="5:30">
      <c r="E290" s="561"/>
      <c r="F290" s="561"/>
      <c r="G290" s="561"/>
      <c r="H290" s="561"/>
      <c r="I290" s="561"/>
      <c r="J290" s="561"/>
      <c r="K290" s="561"/>
      <c r="L290" s="561"/>
      <c r="M290" s="561"/>
      <c r="N290" s="561"/>
      <c r="O290" s="561"/>
      <c r="P290" s="561"/>
      <c r="Q290" s="561"/>
      <c r="R290" s="561"/>
      <c r="S290" s="561"/>
      <c r="T290" s="561"/>
      <c r="U290" s="561"/>
      <c r="V290" s="561"/>
      <c r="W290" s="561"/>
      <c r="X290" s="561"/>
      <c r="Y290" s="561"/>
      <c r="Z290" s="561"/>
      <c r="AA290" s="561"/>
      <c r="AB290" s="561"/>
      <c r="AC290" s="561"/>
      <c r="AD290" s="561"/>
    </row>
    <row r="291" spans="5:30">
      <c r="E291" s="561"/>
      <c r="F291" s="561"/>
      <c r="G291" s="561"/>
      <c r="H291" s="561"/>
      <c r="I291" s="561"/>
      <c r="J291" s="561"/>
      <c r="K291" s="561"/>
      <c r="L291" s="561"/>
      <c r="M291" s="561"/>
      <c r="N291" s="561"/>
      <c r="O291" s="561"/>
      <c r="P291" s="561"/>
      <c r="Q291" s="561"/>
      <c r="R291" s="561"/>
      <c r="S291" s="561"/>
      <c r="T291" s="561"/>
      <c r="U291" s="561"/>
      <c r="V291" s="561"/>
      <c r="W291" s="561"/>
      <c r="X291" s="561"/>
      <c r="Y291" s="561"/>
      <c r="Z291" s="561"/>
      <c r="AA291" s="561"/>
      <c r="AB291" s="561"/>
      <c r="AC291" s="561"/>
      <c r="AD291" s="561"/>
    </row>
    <row r="292" spans="5:30">
      <c r="E292" s="561"/>
      <c r="F292" s="561"/>
      <c r="G292" s="561"/>
      <c r="H292" s="561"/>
      <c r="I292" s="561"/>
      <c r="J292" s="561"/>
      <c r="K292" s="561"/>
      <c r="L292" s="561"/>
      <c r="M292" s="561"/>
      <c r="N292" s="561"/>
      <c r="O292" s="561"/>
      <c r="P292" s="561"/>
      <c r="Q292" s="561"/>
      <c r="R292" s="561"/>
      <c r="S292" s="561"/>
      <c r="T292" s="561"/>
      <c r="U292" s="561"/>
      <c r="V292" s="561"/>
      <c r="W292" s="561"/>
      <c r="X292" s="561"/>
      <c r="Y292" s="561"/>
      <c r="Z292" s="561"/>
      <c r="AA292" s="561"/>
      <c r="AB292" s="561"/>
      <c r="AC292" s="561"/>
      <c r="AD292" s="561"/>
    </row>
    <row r="293" spans="5:30">
      <c r="E293" s="561"/>
      <c r="F293" s="561"/>
      <c r="G293" s="561"/>
      <c r="H293" s="561"/>
      <c r="I293" s="561"/>
      <c r="J293" s="561"/>
      <c r="K293" s="561"/>
      <c r="L293" s="561"/>
      <c r="M293" s="561"/>
      <c r="N293" s="561"/>
      <c r="O293" s="561"/>
      <c r="P293" s="561"/>
      <c r="Q293" s="561"/>
      <c r="R293" s="561"/>
      <c r="S293" s="561"/>
      <c r="T293" s="561"/>
      <c r="U293" s="561"/>
      <c r="V293" s="561"/>
      <c r="W293" s="561"/>
      <c r="X293" s="561"/>
      <c r="Y293" s="561"/>
      <c r="Z293" s="561"/>
      <c r="AA293" s="561"/>
      <c r="AB293" s="561"/>
      <c r="AC293" s="561"/>
      <c r="AD293" s="561"/>
    </row>
    <row r="294" spans="5:30">
      <c r="E294" s="561"/>
      <c r="F294" s="561"/>
      <c r="G294" s="561"/>
      <c r="H294" s="561"/>
      <c r="I294" s="561"/>
      <c r="J294" s="561"/>
      <c r="K294" s="561"/>
      <c r="L294" s="561"/>
      <c r="M294" s="561"/>
      <c r="N294" s="561"/>
      <c r="O294" s="561"/>
      <c r="P294" s="561"/>
      <c r="Q294" s="561"/>
      <c r="R294" s="561"/>
      <c r="S294" s="561"/>
      <c r="T294" s="561"/>
      <c r="U294" s="561"/>
      <c r="V294" s="561"/>
      <c r="W294" s="561"/>
      <c r="X294" s="561"/>
      <c r="Y294" s="561"/>
      <c r="Z294" s="561"/>
      <c r="AA294" s="561"/>
      <c r="AB294" s="561"/>
      <c r="AC294" s="561"/>
      <c r="AD294" s="561"/>
    </row>
    <row r="295" spans="5:30">
      <c r="E295" s="561"/>
      <c r="F295" s="561"/>
      <c r="G295" s="561"/>
      <c r="H295" s="561"/>
      <c r="I295" s="561"/>
      <c r="J295" s="561"/>
      <c r="K295" s="561"/>
      <c r="L295" s="561"/>
      <c r="M295" s="561"/>
      <c r="N295" s="561"/>
      <c r="O295" s="561"/>
      <c r="P295" s="561"/>
      <c r="Q295" s="561"/>
      <c r="R295" s="561"/>
      <c r="S295" s="561"/>
      <c r="T295" s="561"/>
      <c r="U295" s="561"/>
      <c r="V295" s="561"/>
      <c r="W295" s="561"/>
      <c r="X295" s="561"/>
      <c r="Y295" s="561"/>
      <c r="Z295" s="561"/>
      <c r="AA295" s="561"/>
      <c r="AB295" s="561"/>
      <c r="AC295" s="561"/>
      <c r="AD295" s="561"/>
    </row>
    <row r="296" spans="5:30">
      <c r="E296" s="561"/>
      <c r="F296" s="561"/>
      <c r="G296" s="561"/>
      <c r="H296" s="561"/>
      <c r="I296" s="561"/>
      <c r="J296" s="561"/>
      <c r="K296" s="561"/>
      <c r="L296" s="561"/>
      <c r="M296" s="561"/>
      <c r="N296" s="561"/>
      <c r="O296" s="561"/>
      <c r="P296" s="561"/>
      <c r="Q296" s="561"/>
      <c r="R296" s="561"/>
      <c r="S296" s="561"/>
      <c r="T296" s="561"/>
      <c r="U296" s="561"/>
      <c r="V296" s="561"/>
      <c r="W296" s="561"/>
      <c r="X296" s="561"/>
      <c r="Y296" s="561"/>
      <c r="Z296" s="561"/>
      <c r="AA296" s="561"/>
      <c r="AB296" s="561"/>
      <c r="AC296" s="561"/>
      <c r="AD296" s="561"/>
    </row>
    <row r="297" spans="5:30">
      <c r="E297" s="561"/>
      <c r="F297" s="561"/>
      <c r="G297" s="561"/>
      <c r="H297" s="561"/>
      <c r="I297" s="561"/>
      <c r="J297" s="561"/>
      <c r="K297" s="561"/>
      <c r="L297" s="561"/>
      <c r="M297" s="561"/>
      <c r="N297" s="561"/>
      <c r="O297" s="561"/>
      <c r="P297" s="561"/>
      <c r="Q297" s="561"/>
      <c r="R297" s="561"/>
      <c r="S297" s="561"/>
      <c r="T297" s="561"/>
      <c r="U297" s="561"/>
      <c r="V297" s="561"/>
      <c r="W297" s="561"/>
      <c r="X297" s="561"/>
      <c r="Y297" s="561"/>
      <c r="Z297" s="561"/>
      <c r="AA297" s="561"/>
      <c r="AB297" s="561"/>
      <c r="AC297" s="561"/>
      <c r="AD297" s="561"/>
    </row>
    <row r="298" spans="5:30">
      <c r="E298" s="561"/>
      <c r="F298" s="561"/>
      <c r="G298" s="561"/>
      <c r="H298" s="561"/>
      <c r="I298" s="561"/>
      <c r="J298" s="561"/>
      <c r="K298" s="561"/>
      <c r="L298" s="561"/>
      <c r="M298" s="561"/>
      <c r="N298" s="561"/>
      <c r="O298" s="561"/>
      <c r="P298" s="561"/>
      <c r="Q298" s="561"/>
      <c r="R298" s="561"/>
      <c r="S298" s="561"/>
      <c r="T298" s="561"/>
      <c r="U298" s="561"/>
      <c r="V298" s="561"/>
      <c r="W298" s="561"/>
      <c r="X298" s="561"/>
      <c r="Y298" s="561"/>
      <c r="Z298" s="561"/>
      <c r="AA298" s="561"/>
      <c r="AB298" s="561"/>
      <c r="AC298" s="561"/>
      <c r="AD298" s="561"/>
    </row>
    <row r="299" spans="5:30">
      <c r="E299" s="561"/>
      <c r="F299" s="561"/>
      <c r="G299" s="561"/>
      <c r="H299" s="561"/>
      <c r="I299" s="561"/>
      <c r="J299" s="561"/>
      <c r="K299" s="561"/>
      <c r="L299" s="561"/>
      <c r="M299" s="561"/>
      <c r="N299" s="561"/>
      <c r="O299" s="561"/>
      <c r="P299" s="561"/>
      <c r="Q299" s="561"/>
      <c r="R299" s="561"/>
      <c r="S299" s="561"/>
      <c r="T299" s="561"/>
      <c r="U299" s="561"/>
      <c r="V299" s="561"/>
      <c r="W299" s="561"/>
      <c r="X299" s="561"/>
      <c r="Y299" s="561"/>
      <c r="Z299" s="561"/>
      <c r="AA299" s="561"/>
      <c r="AB299" s="561"/>
      <c r="AC299" s="561"/>
      <c r="AD299" s="561"/>
    </row>
    <row r="300" spans="5:30">
      <c r="E300" s="561"/>
      <c r="F300" s="561"/>
      <c r="G300" s="561"/>
      <c r="H300" s="561"/>
      <c r="I300" s="561"/>
      <c r="J300" s="561"/>
      <c r="K300" s="561"/>
      <c r="L300" s="561"/>
      <c r="M300" s="561"/>
      <c r="N300" s="561"/>
      <c r="O300" s="561"/>
      <c r="P300" s="561"/>
      <c r="Q300" s="561"/>
      <c r="R300" s="561"/>
      <c r="S300" s="561"/>
      <c r="T300" s="561"/>
      <c r="U300" s="561"/>
      <c r="V300" s="561"/>
      <c r="W300" s="561"/>
      <c r="X300" s="561"/>
      <c r="Y300" s="561"/>
      <c r="Z300" s="561"/>
      <c r="AA300" s="561"/>
      <c r="AB300" s="561"/>
      <c r="AC300" s="561"/>
      <c r="AD300" s="561"/>
    </row>
    <row r="301" spans="5:30">
      <c r="E301" s="561"/>
      <c r="F301" s="561"/>
      <c r="G301" s="561"/>
      <c r="H301" s="561"/>
      <c r="I301" s="561"/>
      <c r="J301" s="561"/>
      <c r="K301" s="561"/>
      <c r="L301" s="561"/>
      <c r="M301" s="561"/>
      <c r="N301" s="561"/>
      <c r="O301" s="561"/>
      <c r="P301" s="561"/>
      <c r="Q301" s="561"/>
      <c r="R301" s="561"/>
      <c r="S301" s="561"/>
      <c r="T301" s="561"/>
      <c r="U301" s="561"/>
      <c r="V301" s="561"/>
      <c r="W301" s="561"/>
      <c r="X301" s="561"/>
      <c r="Y301" s="561"/>
      <c r="Z301" s="561"/>
      <c r="AA301" s="561"/>
      <c r="AB301" s="561"/>
      <c r="AC301" s="561"/>
      <c r="AD301" s="561"/>
    </row>
    <row r="302" spans="5:30">
      <c r="E302" s="561"/>
      <c r="F302" s="561"/>
      <c r="G302" s="561"/>
      <c r="H302" s="561"/>
      <c r="I302" s="561"/>
      <c r="J302" s="561"/>
      <c r="K302" s="561"/>
      <c r="L302" s="561"/>
      <c r="M302" s="561"/>
      <c r="N302" s="561"/>
      <c r="O302" s="561"/>
      <c r="P302" s="561"/>
      <c r="Q302" s="561"/>
      <c r="R302" s="561"/>
      <c r="S302" s="561"/>
      <c r="T302" s="561"/>
      <c r="U302" s="561"/>
      <c r="V302" s="561"/>
      <c r="W302" s="561"/>
      <c r="X302" s="561"/>
      <c r="Y302" s="561"/>
      <c r="Z302" s="561"/>
      <c r="AA302" s="561"/>
      <c r="AB302" s="561"/>
      <c r="AC302" s="561"/>
      <c r="AD302" s="561"/>
    </row>
    <row r="303" spans="5:30">
      <c r="E303" s="561"/>
      <c r="F303" s="561"/>
      <c r="G303" s="561"/>
      <c r="H303" s="561"/>
      <c r="I303" s="561"/>
      <c r="J303" s="561"/>
      <c r="K303" s="561"/>
      <c r="L303" s="561"/>
      <c r="M303" s="561"/>
      <c r="N303" s="561"/>
      <c r="O303" s="561"/>
      <c r="P303" s="561"/>
      <c r="Q303" s="561"/>
      <c r="R303" s="561"/>
      <c r="S303" s="561"/>
      <c r="T303" s="561"/>
      <c r="U303" s="561"/>
      <c r="V303" s="561"/>
      <c r="W303" s="561"/>
      <c r="X303" s="561"/>
      <c r="Y303" s="561"/>
      <c r="Z303" s="561"/>
      <c r="AA303" s="561"/>
      <c r="AB303" s="561"/>
      <c r="AC303" s="561"/>
      <c r="AD303" s="561"/>
    </row>
    <row r="304" spans="5:30">
      <c r="E304" s="561"/>
      <c r="F304" s="561"/>
      <c r="G304" s="561"/>
      <c r="H304" s="561"/>
      <c r="I304" s="561"/>
      <c r="J304" s="561"/>
      <c r="K304" s="561"/>
      <c r="L304" s="561"/>
      <c r="M304" s="561"/>
      <c r="N304" s="561"/>
      <c r="O304" s="561"/>
      <c r="P304" s="561"/>
      <c r="Q304" s="561"/>
      <c r="R304" s="561"/>
      <c r="S304" s="561"/>
      <c r="T304" s="561"/>
      <c r="U304" s="561"/>
      <c r="V304" s="561"/>
      <c r="W304" s="561"/>
      <c r="X304" s="561"/>
      <c r="Y304" s="561"/>
      <c r="Z304" s="561"/>
      <c r="AA304" s="561"/>
      <c r="AB304" s="561"/>
      <c r="AC304" s="561"/>
      <c r="AD304" s="561"/>
    </row>
    <row r="305" spans="5:30">
      <c r="E305" s="561"/>
      <c r="F305" s="561"/>
      <c r="G305" s="561"/>
      <c r="H305" s="561"/>
      <c r="I305" s="561"/>
      <c r="J305" s="561"/>
      <c r="K305" s="561"/>
      <c r="L305" s="561"/>
      <c r="M305" s="561"/>
      <c r="N305" s="561"/>
      <c r="O305" s="561"/>
      <c r="P305" s="561"/>
      <c r="Q305" s="561"/>
      <c r="R305" s="561"/>
      <c r="S305" s="561"/>
      <c r="T305" s="561"/>
      <c r="U305" s="561"/>
      <c r="V305" s="561"/>
      <c r="W305" s="561"/>
      <c r="X305" s="561"/>
      <c r="Y305" s="561"/>
      <c r="Z305" s="561"/>
      <c r="AA305" s="561"/>
      <c r="AB305" s="561"/>
      <c r="AC305" s="561"/>
      <c r="AD305" s="561"/>
    </row>
    <row r="306" spans="5:30">
      <c r="E306" s="561"/>
      <c r="F306" s="561"/>
      <c r="G306" s="561"/>
      <c r="H306" s="561"/>
      <c r="I306" s="561"/>
      <c r="J306" s="561"/>
      <c r="K306" s="561"/>
      <c r="L306" s="561"/>
      <c r="M306" s="561"/>
      <c r="N306" s="561"/>
      <c r="O306" s="561"/>
      <c r="P306" s="561"/>
      <c r="Q306" s="561"/>
      <c r="R306" s="561"/>
      <c r="S306" s="561"/>
      <c r="T306" s="561"/>
      <c r="U306" s="561"/>
      <c r="V306" s="561"/>
      <c r="W306" s="561"/>
      <c r="X306" s="561"/>
      <c r="Y306" s="561"/>
      <c r="Z306" s="561"/>
      <c r="AA306" s="561"/>
      <c r="AB306" s="561"/>
      <c r="AC306" s="561"/>
      <c r="AD306" s="561"/>
    </row>
    <row r="307" spans="5:30">
      <c r="E307" s="561"/>
      <c r="F307" s="561"/>
      <c r="G307" s="561"/>
      <c r="H307" s="561"/>
      <c r="I307" s="561"/>
      <c r="J307" s="561"/>
      <c r="K307" s="561"/>
      <c r="L307" s="561"/>
      <c r="M307" s="561"/>
      <c r="N307" s="561"/>
      <c r="O307" s="561"/>
      <c r="P307" s="561"/>
      <c r="Q307" s="561"/>
      <c r="R307" s="561"/>
      <c r="S307" s="561"/>
      <c r="T307" s="561"/>
      <c r="U307" s="561"/>
      <c r="V307" s="561"/>
      <c r="W307" s="561"/>
      <c r="X307" s="561"/>
      <c r="Y307" s="561"/>
      <c r="Z307" s="561"/>
      <c r="AA307" s="561"/>
      <c r="AB307" s="561"/>
      <c r="AC307" s="561"/>
      <c r="AD307" s="561"/>
    </row>
    <row r="308" spans="5:30">
      <c r="E308" s="561"/>
      <c r="F308" s="561"/>
      <c r="G308" s="561"/>
      <c r="H308" s="561"/>
      <c r="I308" s="561"/>
      <c r="J308" s="561"/>
      <c r="K308" s="561"/>
      <c r="L308" s="561"/>
      <c r="M308" s="561"/>
      <c r="N308" s="561"/>
      <c r="O308" s="561"/>
      <c r="P308" s="561"/>
      <c r="Q308" s="561"/>
      <c r="R308" s="561"/>
      <c r="S308" s="561"/>
      <c r="T308" s="561"/>
      <c r="U308" s="561"/>
      <c r="V308" s="561"/>
      <c r="W308" s="561"/>
      <c r="X308" s="561"/>
      <c r="Y308" s="561"/>
      <c r="Z308" s="561"/>
      <c r="AA308" s="561"/>
      <c r="AB308" s="561"/>
      <c r="AC308" s="561"/>
      <c r="AD308" s="561"/>
    </row>
    <row r="309" spans="5:30">
      <c r="E309" s="561"/>
      <c r="F309" s="561"/>
      <c r="G309" s="561"/>
      <c r="H309" s="561"/>
      <c r="I309" s="561"/>
      <c r="J309" s="561"/>
      <c r="K309" s="561"/>
      <c r="L309" s="561"/>
      <c r="M309" s="561"/>
      <c r="N309" s="561"/>
      <c r="O309" s="561"/>
      <c r="P309" s="561"/>
      <c r="Q309" s="561"/>
      <c r="R309" s="561"/>
      <c r="S309" s="561"/>
      <c r="T309" s="561"/>
      <c r="U309" s="561"/>
      <c r="V309" s="561"/>
      <c r="W309" s="561"/>
      <c r="X309" s="561"/>
      <c r="Y309" s="561"/>
      <c r="Z309" s="561"/>
      <c r="AA309" s="561"/>
      <c r="AB309" s="561"/>
      <c r="AC309" s="561"/>
      <c r="AD309" s="561"/>
    </row>
    <row r="310" spans="5:30">
      <c r="E310" s="561"/>
      <c r="F310" s="561"/>
      <c r="G310" s="561"/>
      <c r="H310" s="561"/>
      <c r="I310" s="561"/>
      <c r="J310" s="561"/>
      <c r="K310" s="561"/>
      <c r="L310" s="561"/>
      <c r="M310" s="561"/>
      <c r="N310" s="561"/>
      <c r="O310" s="561"/>
      <c r="P310" s="561"/>
      <c r="Q310" s="561"/>
      <c r="R310" s="561"/>
      <c r="S310" s="561"/>
      <c r="T310" s="561"/>
      <c r="U310" s="561"/>
      <c r="V310" s="561"/>
      <c r="W310" s="561"/>
      <c r="X310" s="561"/>
      <c r="Y310" s="561"/>
      <c r="Z310" s="561"/>
      <c r="AA310" s="561"/>
      <c r="AB310" s="561"/>
      <c r="AC310" s="561"/>
      <c r="AD310" s="561"/>
    </row>
    <row r="311" spans="5:30">
      <c r="E311" s="561"/>
      <c r="F311" s="561"/>
      <c r="G311" s="561"/>
      <c r="H311" s="561"/>
      <c r="I311" s="561"/>
      <c r="J311" s="561"/>
      <c r="K311" s="561"/>
      <c r="L311" s="561"/>
      <c r="M311" s="561"/>
      <c r="N311" s="561"/>
      <c r="O311" s="561"/>
      <c r="P311" s="561"/>
      <c r="Q311" s="561"/>
      <c r="R311" s="561"/>
      <c r="S311" s="561"/>
      <c r="T311" s="561"/>
      <c r="U311" s="561"/>
      <c r="V311" s="561"/>
      <c r="W311" s="561"/>
      <c r="X311" s="561"/>
      <c r="Y311" s="561"/>
      <c r="Z311" s="561"/>
      <c r="AA311" s="561"/>
      <c r="AB311" s="561"/>
      <c r="AC311" s="561"/>
      <c r="AD311" s="561"/>
    </row>
    <row r="312" spans="5:30">
      <c r="E312" s="561"/>
      <c r="F312" s="561"/>
      <c r="G312" s="561"/>
      <c r="H312" s="561"/>
      <c r="I312" s="561"/>
      <c r="J312" s="561"/>
      <c r="K312" s="561"/>
      <c r="L312" s="561"/>
      <c r="M312" s="561"/>
      <c r="N312" s="561"/>
      <c r="O312" s="561"/>
      <c r="P312" s="561"/>
      <c r="Q312" s="561"/>
      <c r="R312" s="561"/>
      <c r="S312" s="561"/>
      <c r="T312" s="561"/>
      <c r="U312" s="561"/>
      <c r="V312" s="561"/>
      <c r="W312" s="561"/>
      <c r="X312" s="561"/>
      <c r="Y312" s="561"/>
      <c r="Z312" s="561"/>
      <c r="AA312" s="561"/>
      <c r="AB312" s="561"/>
      <c r="AC312" s="561"/>
      <c r="AD312" s="561"/>
    </row>
    <row r="313" spans="5:30">
      <c r="E313" s="561"/>
      <c r="F313" s="561"/>
      <c r="G313" s="561"/>
      <c r="H313" s="561"/>
      <c r="I313" s="561"/>
      <c r="J313" s="561"/>
      <c r="K313" s="561"/>
      <c r="L313" s="561"/>
      <c r="M313" s="561"/>
      <c r="N313" s="561"/>
      <c r="O313" s="561"/>
      <c r="P313" s="561"/>
      <c r="Q313" s="561"/>
      <c r="R313" s="561"/>
      <c r="S313" s="561"/>
      <c r="T313" s="561"/>
      <c r="U313" s="561"/>
      <c r="V313" s="561"/>
      <c r="W313" s="561"/>
      <c r="X313" s="561"/>
      <c r="Y313" s="561"/>
      <c r="Z313" s="561"/>
      <c r="AA313" s="561"/>
      <c r="AB313" s="561"/>
      <c r="AC313" s="561"/>
      <c r="AD313" s="561"/>
    </row>
    <row r="314" spans="5:30">
      <c r="E314" s="561"/>
      <c r="F314" s="561"/>
      <c r="G314" s="561"/>
      <c r="H314" s="561"/>
      <c r="I314" s="561"/>
      <c r="J314" s="561"/>
      <c r="K314" s="561"/>
      <c r="L314" s="561"/>
      <c r="M314" s="561"/>
      <c r="N314" s="561"/>
      <c r="O314" s="561"/>
      <c r="P314" s="561"/>
      <c r="Q314" s="561"/>
      <c r="R314" s="561"/>
      <c r="S314" s="561"/>
      <c r="T314" s="561"/>
      <c r="U314" s="561"/>
      <c r="V314" s="561"/>
      <c r="W314" s="561"/>
      <c r="X314" s="561"/>
      <c r="Y314" s="561"/>
      <c r="Z314" s="561"/>
      <c r="AA314" s="561"/>
      <c r="AB314" s="561"/>
      <c r="AC314" s="561"/>
      <c r="AD314" s="561"/>
    </row>
    <row r="315" spans="5:30">
      <c r="E315" s="561"/>
      <c r="F315" s="561"/>
      <c r="G315" s="561"/>
      <c r="H315" s="561"/>
      <c r="I315" s="561"/>
      <c r="J315" s="561"/>
      <c r="K315" s="561"/>
      <c r="L315" s="561"/>
      <c r="M315" s="561"/>
      <c r="N315" s="561"/>
      <c r="O315" s="561"/>
      <c r="P315" s="561"/>
      <c r="Q315" s="561"/>
      <c r="R315" s="561"/>
      <c r="S315" s="561"/>
      <c r="T315" s="561"/>
      <c r="U315" s="561"/>
      <c r="V315" s="561"/>
      <c r="W315" s="561"/>
      <c r="X315" s="561"/>
      <c r="Y315" s="561"/>
      <c r="Z315" s="561"/>
      <c r="AA315" s="561"/>
      <c r="AB315" s="561"/>
      <c r="AC315" s="561"/>
      <c r="AD315" s="561"/>
    </row>
    <row r="316" spans="5:30">
      <c r="E316" s="561"/>
      <c r="F316" s="561"/>
      <c r="G316" s="561"/>
      <c r="H316" s="561"/>
      <c r="I316" s="561"/>
      <c r="J316" s="561"/>
      <c r="K316" s="561"/>
      <c r="L316" s="561"/>
      <c r="M316" s="561"/>
      <c r="N316" s="561"/>
      <c r="O316" s="561"/>
      <c r="P316" s="561"/>
      <c r="Q316" s="561"/>
      <c r="R316" s="561"/>
      <c r="S316" s="561"/>
      <c r="T316" s="561"/>
      <c r="U316" s="561"/>
      <c r="V316" s="561"/>
      <c r="W316" s="561"/>
      <c r="X316" s="561"/>
      <c r="Y316" s="561"/>
      <c r="Z316" s="561"/>
      <c r="AA316" s="561"/>
      <c r="AB316" s="561"/>
      <c r="AC316" s="561"/>
      <c r="AD316" s="561"/>
    </row>
    <row r="317" spans="5:30">
      <c r="E317" s="561"/>
      <c r="F317" s="561"/>
      <c r="G317" s="561"/>
      <c r="H317" s="561"/>
      <c r="I317" s="561"/>
      <c r="J317" s="561"/>
      <c r="K317" s="561"/>
      <c r="L317" s="561"/>
      <c r="M317" s="561"/>
      <c r="N317" s="561"/>
      <c r="O317" s="561"/>
      <c r="P317" s="561"/>
      <c r="Q317" s="561"/>
      <c r="R317" s="561"/>
      <c r="S317" s="561"/>
      <c r="T317" s="561"/>
      <c r="U317" s="561"/>
      <c r="V317" s="561"/>
      <c r="W317" s="561"/>
      <c r="X317" s="561"/>
      <c r="Y317" s="561"/>
      <c r="Z317" s="561"/>
      <c r="AA317" s="561"/>
      <c r="AB317" s="561"/>
      <c r="AC317" s="561"/>
      <c r="AD317" s="561"/>
    </row>
    <row r="318" spans="5:30">
      <c r="E318" s="561"/>
      <c r="F318" s="561"/>
      <c r="G318" s="561"/>
      <c r="H318" s="561"/>
      <c r="I318" s="561"/>
      <c r="J318" s="561"/>
      <c r="K318" s="561"/>
      <c r="L318" s="561"/>
      <c r="M318" s="561"/>
      <c r="N318" s="561"/>
      <c r="O318" s="561"/>
      <c r="P318" s="561"/>
      <c r="Q318" s="561"/>
      <c r="R318" s="561"/>
      <c r="S318" s="561"/>
      <c r="T318" s="561"/>
      <c r="U318" s="561"/>
      <c r="V318" s="561"/>
      <c r="W318" s="561"/>
      <c r="X318" s="561"/>
      <c r="Y318" s="561"/>
      <c r="Z318" s="561"/>
      <c r="AA318" s="561"/>
      <c r="AB318" s="561"/>
      <c r="AC318" s="561"/>
      <c r="AD318" s="561"/>
    </row>
    <row r="319" spans="5:30">
      <c r="E319" s="561"/>
      <c r="F319" s="561"/>
      <c r="G319" s="561"/>
      <c r="H319" s="561"/>
      <c r="I319" s="561"/>
      <c r="J319" s="561"/>
      <c r="K319" s="561"/>
      <c r="L319" s="561"/>
      <c r="M319" s="561"/>
      <c r="N319" s="561"/>
      <c r="O319" s="561"/>
      <c r="P319" s="561"/>
      <c r="Q319" s="561"/>
      <c r="R319" s="561"/>
      <c r="S319" s="561"/>
      <c r="T319" s="561"/>
      <c r="U319" s="561"/>
      <c r="V319" s="561"/>
      <c r="W319" s="561"/>
      <c r="X319" s="561"/>
      <c r="Y319" s="561"/>
      <c r="Z319" s="561"/>
      <c r="AA319" s="561"/>
      <c r="AB319" s="561"/>
      <c r="AC319" s="561"/>
      <c r="AD319" s="561"/>
    </row>
    <row r="320" spans="5:30">
      <c r="E320" s="561"/>
      <c r="F320" s="561"/>
      <c r="G320" s="561"/>
      <c r="H320" s="561"/>
      <c r="I320" s="561"/>
      <c r="J320" s="561"/>
      <c r="K320" s="561"/>
      <c r="L320" s="561"/>
      <c r="M320" s="561"/>
      <c r="N320" s="561"/>
      <c r="O320" s="561"/>
      <c r="P320" s="561"/>
      <c r="Q320" s="561"/>
      <c r="R320" s="561"/>
      <c r="S320" s="561"/>
      <c r="T320" s="561"/>
      <c r="U320" s="561"/>
      <c r="V320" s="561"/>
      <c r="W320" s="561"/>
      <c r="X320" s="561"/>
      <c r="Y320" s="561"/>
      <c r="Z320" s="561"/>
      <c r="AA320" s="561"/>
      <c r="AB320" s="561"/>
      <c r="AC320" s="561"/>
      <c r="AD320" s="561"/>
    </row>
    <row r="321" spans="5:30">
      <c r="E321" s="561"/>
      <c r="F321" s="561"/>
      <c r="G321" s="561"/>
      <c r="H321" s="561"/>
      <c r="I321" s="561"/>
      <c r="J321" s="561"/>
      <c r="K321" s="561"/>
      <c r="L321" s="561"/>
      <c r="M321" s="561"/>
      <c r="N321" s="561"/>
      <c r="O321" s="561"/>
      <c r="P321" s="561"/>
      <c r="Q321" s="561"/>
      <c r="R321" s="561"/>
      <c r="S321" s="561"/>
      <c r="T321" s="561"/>
      <c r="U321" s="561"/>
      <c r="V321" s="561"/>
      <c r="W321" s="561"/>
      <c r="X321" s="561"/>
      <c r="Y321" s="561"/>
      <c r="Z321" s="561"/>
      <c r="AA321" s="561"/>
      <c r="AB321" s="561"/>
      <c r="AC321" s="561"/>
      <c r="AD321" s="561"/>
    </row>
    <row r="322" spans="5:30">
      <c r="E322" s="561"/>
      <c r="F322" s="561"/>
      <c r="G322" s="561"/>
      <c r="H322" s="561"/>
      <c r="I322" s="561"/>
      <c r="J322" s="561"/>
      <c r="K322" s="561"/>
      <c r="L322" s="561"/>
      <c r="M322" s="561"/>
      <c r="N322" s="561"/>
      <c r="O322" s="561"/>
      <c r="P322" s="561"/>
      <c r="Q322" s="561"/>
      <c r="R322" s="561"/>
      <c r="S322" s="561"/>
      <c r="T322" s="561"/>
      <c r="U322" s="561"/>
      <c r="V322" s="561"/>
      <c r="W322" s="561"/>
      <c r="X322" s="561"/>
      <c r="Y322" s="561"/>
      <c r="Z322" s="561"/>
      <c r="AA322" s="561"/>
      <c r="AB322" s="561"/>
      <c r="AC322" s="561"/>
      <c r="AD322" s="561"/>
    </row>
    <row r="323" spans="5:30">
      <c r="E323" s="561"/>
      <c r="F323" s="561"/>
      <c r="G323" s="561"/>
      <c r="H323" s="561"/>
      <c r="I323" s="561"/>
      <c r="J323" s="561"/>
      <c r="K323" s="561"/>
      <c r="L323" s="561"/>
      <c r="M323" s="561"/>
      <c r="N323" s="561"/>
      <c r="O323" s="561"/>
      <c r="P323" s="561"/>
      <c r="Q323" s="561"/>
      <c r="R323" s="561"/>
      <c r="S323" s="561"/>
      <c r="T323" s="561"/>
      <c r="U323" s="561"/>
      <c r="V323" s="561"/>
      <c r="W323" s="561"/>
      <c r="X323" s="561"/>
      <c r="Y323" s="561"/>
      <c r="Z323" s="561"/>
      <c r="AA323" s="561"/>
      <c r="AB323" s="561"/>
      <c r="AC323" s="561"/>
      <c r="AD323" s="561"/>
    </row>
    <row r="324" spans="5:30">
      <c r="E324" s="561"/>
      <c r="F324" s="561"/>
      <c r="G324" s="561"/>
      <c r="H324" s="561"/>
      <c r="I324" s="561"/>
      <c r="J324" s="561"/>
      <c r="K324" s="561"/>
      <c r="L324" s="561"/>
      <c r="M324" s="561"/>
      <c r="N324" s="561"/>
      <c r="O324" s="561"/>
      <c r="P324" s="561"/>
      <c r="Q324" s="561"/>
      <c r="R324" s="561"/>
      <c r="S324" s="561"/>
      <c r="T324" s="561"/>
      <c r="U324" s="561"/>
      <c r="V324" s="561"/>
      <c r="W324" s="561"/>
      <c r="X324" s="561"/>
      <c r="Y324" s="561"/>
      <c r="Z324" s="561"/>
      <c r="AA324" s="561"/>
      <c r="AB324" s="561"/>
      <c r="AC324" s="561"/>
      <c r="AD324" s="561"/>
    </row>
    <row r="325" spans="5:30">
      <c r="E325" s="561"/>
      <c r="F325" s="561"/>
      <c r="G325" s="561"/>
      <c r="H325" s="561"/>
      <c r="I325" s="561"/>
      <c r="J325" s="561"/>
      <c r="K325" s="561"/>
      <c r="L325" s="561"/>
      <c r="M325" s="561"/>
      <c r="N325" s="561"/>
      <c r="O325" s="561"/>
      <c r="P325" s="561"/>
      <c r="Q325" s="561"/>
      <c r="R325" s="561"/>
      <c r="S325" s="561"/>
      <c r="T325" s="561"/>
      <c r="U325" s="561"/>
      <c r="V325" s="561"/>
      <c r="W325" s="561"/>
      <c r="X325" s="561"/>
      <c r="Y325" s="561"/>
      <c r="Z325" s="561"/>
      <c r="AA325" s="561"/>
      <c r="AB325" s="561"/>
      <c r="AC325" s="561"/>
      <c r="AD325" s="561"/>
    </row>
    <row r="326" spans="5:30">
      <c r="E326" s="561"/>
      <c r="F326" s="561"/>
      <c r="G326" s="561"/>
      <c r="H326" s="561"/>
      <c r="I326" s="561"/>
      <c r="J326" s="561"/>
      <c r="K326" s="561"/>
      <c r="L326" s="561"/>
      <c r="M326" s="561"/>
      <c r="N326" s="561"/>
      <c r="O326" s="561"/>
      <c r="P326" s="561"/>
      <c r="Q326" s="561"/>
      <c r="R326" s="561"/>
      <c r="S326" s="561"/>
      <c r="T326" s="561"/>
      <c r="U326" s="561"/>
      <c r="V326" s="561"/>
      <c r="W326" s="561"/>
      <c r="X326" s="561"/>
      <c r="Y326" s="561"/>
      <c r="Z326" s="561"/>
      <c r="AA326" s="561"/>
      <c r="AB326" s="561"/>
      <c r="AC326" s="561"/>
      <c r="AD326" s="561"/>
    </row>
    <row r="327" spans="5:30">
      <c r="E327" s="561"/>
      <c r="F327" s="561"/>
      <c r="G327" s="561"/>
      <c r="H327" s="561"/>
      <c r="I327" s="561"/>
      <c r="J327" s="561"/>
      <c r="K327" s="561"/>
      <c r="L327" s="561"/>
      <c r="M327" s="561"/>
      <c r="N327" s="561"/>
      <c r="O327" s="561"/>
      <c r="P327" s="561"/>
      <c r="Q327" s="561"/>
      <c r="R327" s="561"/>
      <c r="S327" s="561"/>
      <c r="T327" s="561"/>
      <c r="U327" s="561"/>
      <c r="V327" s="561"/>
      <c r="W327" s="561"/>
      <c r="X327" s="561"/>
      <c r="Y327" s="561"/>
      <c r="Z327" s="561"/>
      <c r="AA327" s="561"/>
      <c r="AB327" s="561"/>
      <c r="AC327" s="561"/>
      <c r="AD327" s="561"/>
    </row>
    <row r="328" spans="5:30">
      <c r="E328" s="561"/>
      <c r="F328" s="561"/>
      <c r="G328" s="561"/>
      <c r="H328" s="561"/>
      <c r="I328" s="561"/>
      <c r="J328" s="561"/>
      <c r="K328" s="561"/>
      <c r="L328" s="561"/>
      <c r="M328" s="561"/>
      <c r="N328" s="561"/>
      <c r="O328" s="561"/>
      <c r="P328" s="561"/>
      <c r="Q328" s="561"/>
      <c r="R328" s="561"/>
      <c r="S328" s="561"/>
      <c r="T328" s="561"/>
      <c r="U328" s="561"/>
      <c r="V328" s="561"/>
      <c r="W328" s="561"/>
      <c r="X328" s="561"/>
      <c r="Y328" s="561"/>
      <c r="Z328" s="561"/>
      <c r="AA328" s="561"/>
      <c r="AB328" s="561"/>
      <c r="AC328" s="561"/>
      <c r="AD328" s="561"/>
    </row>
    <row r="329" spans="5:30">
      <c r="E329" s="561"/>
      <c r="F329" s="561"/>
      <c r="G329" s="561"/>
      <c r="H329" s="561"/>
      <c r="I329" s="561"/>
      <c r="J329" s="561"/>
      <c r="K329" s="561"/>
      <c r="L329" s="561"/>
      <c r="M329" s="561"/>
      <c r="N329" s="561"/>
      <c r="O329" s="561"/>
      <c r="P329" s="561"/>
      <c r="Q329" s="561"/>
      <c r="R329" s="561"/>
      <c r="S329" s="561"/>
      <c r="T329" s="561"/>
      <c r="U329" s="561"/>
      <c r="V329" s="561"/>
      <c r="W329" s="561"/>
      <c r="X329" s="561"/>
      <c r="Y329" s="561"/>
      <c r="Z329" s="561"/>
      <c r="AA329" s="561"/>
      <c r="AB329" s="561"/>
      <c r="AC329" s="561"/>
      <c r="AD329" s="561"/>
    </row>
    <row r="330" spans="5:30">
      <c r="E330" s="561"/>
      <c r="F330" s="561"/>
      <c r="G330" s="561"/>
      <c r="H330" s="561"/>
      <c r="I330" s="561"/>
      <c r="J330" s="561"/>
      <c r="K330" s="561"/>
      <c r="L330" s="561"/>
      <c r="M330" s="561"/>
      <c r="N330" s="561"/>
      <c r="O330" s="561"/>
      <c r="P330" s="561"/>
      <c r="Q330" s="561"/>
      <c r="R330" s="561"/>
      <c r="S330" s="561"/>
      <c r="T330" s="561"/>
      <c r="U330" s="561"/>
      <c r="V330" s="561"/>
      <c r="W330" s="561"/>
      <c r="X330" s="561"/>
      <c r="Y330" s="561"/>
      <c r="Z330" s="561"/>
      <c r="AA330" s="561"/>
      <c r="AB330" s="561"/>
      <c r="AC330" s="561"/>
      <c r="AD330" s="561"/>
    </row>
    <row r="331" spans="5:30">
      <c r="E331" s="561"/>
      <c r="F331" s="561"/>
      <c r="G331" s="561"/>
      <c r="H331" s="561"/>
      <c r="I331" s="561"/>
      <c r="J331" s="561"/>
      <c r="K331" s="561"/>
      <c r="L331" s="561"/>
      <c r="M331" s="561"/>
      <c r="N331" s="561"/>
      <c r="O331" s="561"/>
      <c r="P331" s="561"/>
      <c r="Q331" s="561"/>
      <c r="R331" s="561"/>
      <c r="S331" s="561"/>
      <c r="T331" s="561"/>
      <c r="U331" s="561"/>
      <c r="V331" s="561"/>
      <c r="W331" s="561"/>
      <c r="X331" s="561"/>
      <c r="Y331" s="561"/>
      <c r="Z331" s="561"/>
      <c r="AA331" s="561"/>
      <c r="AB331" s="561"/>
      <c r="AC331" s="561"/>
      <c r="AD331" s="561"/>
    </row>
    <row r="332" spans="5:30">
      <c r="E332" s="561"/>
      <c r="F332" s="561"/>
      <c r="G332" s="561"/>
      <c r="H332" s="561"/>
      <c r="I332" s="561"/>
      <c r="J332" s="561"/>
      <c r="K332" s="561"/>
      <c r="L332" s="561"/>
      <c r="M332" s="561"/>
      <c r="N332" s="561"/>
      <c r="O332" s="561"/>
      <c r="P332" s="561"/>
      <c r="Q332" s="561"/>
      <c r="R332" s="561"/>
      <c r="S332" s="561"/>
      <c r="T332" s="561"/>
      <c r="U332" s="561"/>
      <c r="V332" s="561"/>
      <c r="W332" s="561"/>
      <c r="X332" s="561"/>
      <c r="Y332" s="561"/>
      <c r="Z332" s="561"/>
      <c r="AA332" s="561"/>
      <c r="AB332" s="561"/>
      <c r="AC332" s="561"/>
      <c r="AD332" s="561"/>
    </row>
    <row r="333" spans="5:30">
      <c r="E333" s="561"/>
      <c r="F333" s="561"/>
      <c r="G333" s="561"/>
      <c r="H333" s="561"/>
      <c r="I333" s="561"/>
      <c r="J333" s="561"/>
      <c r="K333" s="561"/>
      <c r="L333" s="561"/>
      <c r="M333" s="561"/>
      <c r="N333" s="561"/>
      <c r="O333" s="561"/>
      <c r="P333" s="561"/>
      <c r="Q333" s="561"/>
      <c r="R333" s="561"/>
      <c r="S333" s="561"/>
      <c r="T333" s="561"/>
      <c r="U333" s="561"/>
      <c r="V333" s="561"/>
      <c r="W333" s="561"/>
      <c r="X333" s="561"/>
      <c r="Y333" s="561"/>
      <c r="Z333" s="561"/>
      <c r="AA333" s="561"/>
      <c r="AB333" s="561"/>
      <c r="AC333" s="561"/>
      <c r="AD333" s="561"/>
    </row>
    <row r="334" spans="5:30">
      <c r="E334" s="561"/>
      <c r="F334" s="561"/>
      <c r="G334" s="561"/>
      <c r="H334" s="561"/>
      <c r="I334" s="561"/>
      <c r="J334" s="561"/>
      <c r="K334" s="561"/>
      <c r="L334" s="561"/>
      <c r="M334" s="561"/>
      <c r="N334" s="561"/>
      <c r="O334" s="561"/>
      <c r="P334" s="561"/>
      <c r="Q334" s="561"/>
      <c r="R334" s="561"/>
      <c r="S334" s="561"/>
      <c r="T334" s="561"/>
      <c r="U334" s="561"/>
      <c r="V334" s="561"/>
      <c r="W334" s="561"/>
      <c r="X334" s="561"/>
      <c r="Y334" s="561"/>
      <c r="Z334" s="561"/>
      <c r="AA334" s="561"/>
      <c r="AB334" s="561"/>
      <c r="AC334" s="561"/>
      <c r="AD334" s="561"/>
    </row>
    <row r="335" spans="5:30">
      <c r="E335" s="561"/>
      <c r="F335" s="561"/>
      <c r="G335" s="561"/>
      <c r="H335" s="561"/>
      <c r="I335" s="561"/>
      <c r="J335" s="561"/>
      <c r="K335" s="561"/>
      <c r="L335" s="561"/>
      <c r="M335" s="561"/>
      <c r="N335" s="561"/>
      <c r="O335" s="561"/>
      <c r="P335" s="561"/>
      <c r="Q335" s="561"/>
      <c r="R335" s="561"/>
      <c r="S335" s="561"/>
      <c r="T335" s="561"/>
      <c r="U335" s="561"/>
      <c r="V335" s="561"/>
      <c r="W335" s="561"/>
      <c r="X335" s="561"/>
      <c r="Y335" s="561"/>
      <c r="Z335" s="561"/>
      <c r="AA335" s="561"/>
      <c r="AB335" s="561"/>
      <c r="AC335" s="561"/>
      <c r="AD335" s="561"/>
    </row>
    <row r="336" spans="5:30">
      <c r="E336" s="561"/>
      <c r="F336" s="561"/>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1"/>
    </row>
    <row r="337" spans="5:30">
      <c r="E337" s="561"/>
      <c r="F337" s="561"/>
      <c r="G337" s="561"/>
      <c r="H337" s="561"/>
      <c r="I337" s="561"/>
      <c r="J337" s="561"/>
      <c r="K337" s="561"/>
      <c r="L337" s="561"/>
      <c r="M337" s="561"/>
      <c r="N337" s="561"/>
      <c r="O337" s="561"/>
      <c r="P337" s="561"/>
      <c r="Q337" s="561"/>
      <c r="R337" s="561"/>
      <c r="S337" s="561"/>
      <c r="T337" s="561"/>
      <c r="U337" s="561"/>
      <c r="V337" s="561"/>
      <c r="W337" s="561"/>
      <c r="X337" s="561"/>
      <c r="Y337" s="561"/>
      <c r="Z337" s="561"/>
      <c r="AA337" s="561"/>
      <c r="AB337" s="561"/>
      <c r="AC337" s="561"/>
      <c r="AD337" s="561"/>
    </row>
    <row r="338" spans="5:30">
      <c r="E338" s="561"/>
      <c r="F338" s="561"/>
      <c r="G338" s="561"/>
      <c r="H338" s="561"/>
      <c r="I338" s="561"/>
      <c r="J338" s="561"/>
      <c r="K338" s="561"/>
      <c r="L338" s="561"/>
      <c r="M338" s="561"/>
      <c r="N338" s="561"/>
      <c r="O338" s="561"/>
      <c r="P338" s="561"/>
      <c r="Q338" s="561"/>
      <c r="R338" s="561"/>
      <c r="S338" s="561"/>
      <c r="T338" s="561"/>
      <c r="U338" s="561"/>
      <c r="V338" s="561"/>
      <c r="W338" s="561"/>
      <c r="X338" s="561"/>
      <c r="Y338" s="561"/>
      <c r="Z338" s="561"/>
      <c r="AA338" s="561"/>
      <c r="AB338" s="561"/>
      <c r="AC338" s="561"/>
      <c r="AD338" s="561"/>
    </row>
    <row r="339" spans="5:30">
      <c r="E339" s="561"/>
      <c r="F339" s="561"/>
      <c r="G339" s="561"/>
      <c r="H339" s="561"/>
      <c r="I339" s="561"/>
      <c r="J339" s="561"/>
      <c r="K339" s="561"/>
      <c r="L339" s="561"/>
      <c r="M339" s="561"/>
      <c r="N339" s="561"/>
      <c r="O339" s="561"/>
      <c r="P339" s="561"/>
      <c r="Q339" s="561"/>
      <c r="R339" s="561"/>
      <c r="S339" s="561"/>
      <c r="T339" s="561"/>
      <c r="U339" s="561"/>
      <c r="V339" s="561"/>
      <c r="W339" s="561"/>
      <c r="X339" s="561"/>
      <c r="Y339" s="561"/>
      <c r="Z339" s="561"/>
      <c r="AA339" s="561"/>
      <c r="AB339" s="561"/>
      <c r="AC339" s="561"/>
      <c r="AD339" s="561"/>
    </row>
    <row r="340" spans="5:30">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row>
    <row r="341" spans="5:30">
      <c r="E341" s="561"/>
      <c r="F341" s="561"/>
      <c r="G341" s="561"/>
      <c r="H341" s="561"/>
      <c r="I341" s="561"/>
      <c r="J341" s="561"/>
      <c r="K341" s="561"/>
      <c r="L341" s="561"/>
      <c r="M341" s="561"/>
      <c r="N341" s="561"/>
      <c r="O341" s="561"/>
      <c r="P341" s="561"/>
      <c r="Q341" s="561"/>
      <c r="R341" s="561"/>
      <c r="S341" s="561"/>
      <c r="T341" s="561"/>
      <c r="U341" s="561"/>
      <c r="V341" s="561"/>
      <c r="W341" s="561"/>
      <c r="X341" s="561"/>
      <c r="Y341" s="561"/>
      <c r="Z341" s="561"/>
      <c r="AA341" s="561"/>
      <c r="AB341" s="561"/>
      <c r="AC341" s="561"/>
      <c r="AD341" s="561"/>
    </row>
    <row r="342" spans="5:30">
      <c r="E342" s="561"/>
      <c r="F342" s="561"/>
      <c r="G342" s="561"/>
      <c r="H342" s="561"/>
      <c r="I342" s="561"/>
      <c r="J342" s="561"/>
      <c r="K342" s="561"/>
      <c r="L342" s="561"/>
      <c r="M342" s="561"/>
      <c r="N342" s="561"/>
      <c r="O342" s="561"/>
      <c r="P342" s="561"/>
      <c r="Q342" s="561"/>
      <c r="R342" s="561"/>
      <c r="S342" s="561"/>
      <c r="T342" s="561"/>
      <c r="U342" s="561"/>
      <c r="V342" s="561"/>
      <c r="W342" s="561"/>
      <c r="X342" s="561"/>
      <c r="Y342" s="561"/>
      <c r="Z342" s="561"/>
      <c r="AA342" s="561"/>
      <c r="AB342" s="561"/>
      <c r="AC342" s="561"/>
      <c r="AD342" s="561"/>
    </row>
    <row r="343" spans="5:30">
      <c r="E343" s="561"/>
      <c r="F343" s="561"/>
      <c r="G343" s="561"/>
      <c r="H343" s="561"/>
      <c r="I343" s="561"/>
      <c r="J343" s="561"/>
      <c r="K343" s="561"/>
      <c r="L343" s="561"/>
      <c r="M343" s="561"/>
      <c r="N343" s="561"/>
      <c r="O343" s="561"/>
      <c r="P343" s="561"/>
      <c r="Q343" s="561"/>
      <c r="R343" s="561"/>
      <c r="S343" s="561"/>
      <c r="T343" s="561"/>
      <c r="U343" s="561"/>
      <c r="V343" s="561"/>
      <c r="W343" s="561"/>
      <c r="X343" s="561"/>
      <c r="Y343" s="561"/>
      <c r="Z343" s="561"/>
      <c r="AA343" s="561"/>
      <c r="AB343" s="561"/>
      <c r="AC343" s="561"/>
      <c r="AD343" s="561"/>
    </row>
    <row r="344" spans="5:30">
      <c r="E344" s="561"/>
      <c r="F344" s="561"/>
      <c r="G344" s="561"/>
      <c r="H344" s="561"/>
      <c r="I344" s="561"/>
      <c r="J344" s="561"/>
      <c r="K344" s="561"/>
      <c r="L344" s="561"/>
      <c r="M344" s="561"/>
      <c r="N344" s="561"/>
      <c r="O344" s="561"/>
      <c r="P344" s="561"/>
      <c r="Q344" s="561"/>
      <c r="R344" s="561"/>
      <c r="S344" s="561"/>
      <c r="T344" s="561"/>
      <c r="U344" s="561"/>
      <c r="V344" s="561"/>
      <c r="W344" s="561"/>
      <c r="X344" s="561"/>
      <c r="Y344" s="561"/>
      <c r="Z344" s="561"/>
      <c r="AA344" s="561"/>
      <c r="AB344" s="561"/>
      <c r="AC344" s="561"/>
      <c r="AD344" s="561"/>
    </row>
    <row r="345" spans="5:30">
      <c r="E345" s="561"/>
      <c r="F345" s="561"/>
      <c r="G345" s="561"/>
      <c r="H345" s="561"/>
      <c r="I345" s="561"/>
      <c r="J345" s="561"/>
      <c r="K345" s="561"/>
      <c r="L345" s="561"/>
      <c r="M345" s="561"/>
      <c r="N345" s="561"/>
      <c r="O345" s="561"/>
      <c r="P345" s="561"/>
      <c r="Q345" s="561"/>
      <c r="R345" s="561"/>
      <c r="S345" s="561"/>
      <c r="T345" s="561"/>
      <c r="U345" s="561"/>
      <c r="V345" s="561"/>
      <c r="W345" s="561"/>
      <c r="X345" s="561"/>
      <c r="Y345" s="561"/>
      <c r="Z345" s="561"/>
      <c r="AA345" s="561"/>
      <c r="AB345" s="561"/>
      <c r="AC345" s="561"/>
      <c r="AD345" s="561"/>
    </row>
    <row r="346" spans="5:30">
      <c r="E346" s="561"/>
      <c r="F346" s="561"/>
      <c r="G346" s="561"/>
      <c r="H346" s="561"/>
      <c r="I346" s="561"/>
      <c r="J346" s="561"/>
      <c r="K346" s="561"/>
      <c r="L346" s="561"/>
      <c r="M346" s="561"/>
      <c r="N346" s="561"/>
      <c r="O346" s="561"/>
      <c r="P346" s="561"/>
      <c r="Q346" s="561"/>
      <c r="R346" s="561"/>
      <c r="S346" s="561"/>
      <c r="T346" s="561"/>
      <c r="U346" s="561"/>
      <c r="V346" s="561"/>
      <c r="W346" s="561"/>
      <c r="X346" s="561"/>
      <c r="Y346" s="561"/>
      <c r="Z346" s="561"/>
      <c r="AA346" s="561"/>
      <c r="AB346" s="561"/>
      <c r="AC346" s="561"/>
      <c r="AD346" s="561"/>
    </row>
    <row r="347" spans="5:30">
      <c r="E347" s="561"/>
      <c r="F347" s="561"/>
      <c r="G347" s="561"/>
      <c r="H347" s="561"/>
      <c r="I347" s="561"/>
      <c r="J347" s="561"/>
      <c r="K347" s="561"/>
      <c r="L347" s="561"/>
      <c r="M347" s="561"/>
      <c r="N347" s="561"/>
      <c r="O347" s="561"/>
      <c r="P347" s="561"/>
      <c r="Q347" s="561"/>
      <c r="R347" s="561"/>
      <c r="S347" s="561"/>
      <c r="T347" s="561"/>
      <c r="U347" s="561"/>
      <c r="V347" s="561"/>
      <c r="W347" s="561"/>
      <c r="X347" s="561"/>
      <c r="Y347" s="561"/>
      <c r="Z347" s="561"/>
      <c r="AA347" s="561"/>
      <c r="AB347" s="561"/>
      <c r="AC347" s="561"/>
      <c r="AD347" s="561"/>
    </row>
    <row r="348" spans="5:30">
      <c r="E348" s="561"/>
      <c r="F348" s="561"/>
      <c r="G348" s="561"/>
      <c r="H348" s="561"/>
      <c r="I348" s="561"/>
      <c r="J348" s="561"/>
      <c r="K348" s="561"/>
      <c r="L348" s="561"/>
      <c r="M348" s="561"/>
      <c r="N348" s="561"/>
      <c r="O348" s="561"/>
      <c r="P348" s="561"/>
      <c r="Q348" s="561"/>
      <c r="R348" s="561"/>
      <c r="S348" s="561"/>
      <c r="T348" s="561"/>
      <c r="U348" s="561"/>
      <c r="V348" s="561"/>
      <c r="W348" s="561"/>
      <c r="X348" s="561"/>
      <c r="Y348" s="561"/>
      <c r="Z348" s="561"/>
      <c r="AA348" s="561"/>
      <c r="AB348" s="561"/>
      <c r="AC348" s="561"/>
      <c r="AD348" s="561"/>
    </row>
    <row r="349" spans="5:30">
      <c r="E349" s="561"/>
      <c r="F349" s="561"/>
      <c r="G349" s="561"/>
      <c r="H349" s="561"/>
      <c r="I349" s="561"/>
      <c r="J349" s="561"/>
      <c r="K349" s="561"/>
      <c r="L349" s="561"/>
      <c r="M349" s="561"/>
      <c r="N349" s="561"/>
      <c r="O349" s="561"/>
      <c r="P349" s="561"/>
      <c r="Q349" s="561"/>
      <c r="R349" s="561"/>
      <c r="S349" s="561"/>
      <c r="T349" s="561"/>
      <c r="U349" s="561"/>
      <c r="V349" s="561"/>
      <c r="W349" s="561"/>
      <c r="X349" s="561"/>
      <c r="Y349" s="561"/>
      <c r="Z349" s="561"/>
      <c r="AA349" s="561"/>
      <c r="AB349" s="561"/>
      <c r="AC349" s="561"/>
      <c r="AD349" s="561"/>
    </row>
    <row r="350" spans="5:30">
      <c r="E350" s="561"/>
      <c r="F350" s="561"/>
      <c r="G350" s="561"/>
      <c r="H350" s="561"/>
      <c r="I350" s="561"/>
      <c r="J350" s="561"/>
      <c r="K350" s="561"/>
      <c r="L350" s="561"/>
      <c r="M350" s="561"/>
      <c r="N350" s="561"/>
      <c r="O350" s="561"/>
      <c r="P350" s="561"/>
      <c r="Q350" s="561"/>
      <c r="R350" s="561"/>
      <c r="S350" s="561"/>
      <c r="T350" s="561"/>
      <c r="U350" s="561"/>
      <c r="V350" s="561"/>
      <c r="W350" s="561"/>
      <c r="X350" s="561"/>
      <c r="Y350" s="561"/>
      <c r="Z350" s="561"/>
      <c r="AA350" s="561"/>
      <c r="AB350" s="561"/>
      <c r="AC350" s="561"/>
      <c r="AD350" s="561"/>
    </row>
    <row r="351" spans="5:30">
      <c r="E351" s="561"/>
      <c r="F351" s="561"/>
      <c r="G351" s="561"/>
      <c r="H351" s="561"/>
      <c r="I351" s="561"/>
      <c r="J351" s="561"/>
      <c r="K351" s="561"/>
      <c r="L351" s="561"/>
      <c r="M351" s="561"/>
      <c r="N351" s="561"/>
      <c r="O351" s="561"/>
      <c r="P351" s="561"/>
      <c r="Q351" s="561"/>
      <c r="R351" s="561"/>
      <c r="S351" s="561"/>
      <c r="T351" s="561"/>
      <c r="U351" s="561"/>
      <c r="V351" s="561"/>
      <c r="W351" s="561"/>
      <c r="X351" s="561"/>
      <c r="Y351" s="561"/>
      <c r="Z351" s="561"/>
      <c r="AA351" s="561"/>
      <c r="AB351" s="561"/>
      <c r="AC351" s="561"/>
      <c r="AD351" s="561"/>
    </row>
    <row r="352" spans="5:30">
      <c r="E352" s="561"/>
      <c r="F352" s="561"/>
      <c r="G352" s="561"/>
      <c r="H352" s="561"/>
      <c r="I352" s="561"/>
      <c r="J352" s="561"/>
      <c r="K352" s="561"/>
      <c r="L352" s="561"/>
      <c r="M352" s="561"/>
      <c r="N352" s="561"/>
      <c r="O352" s="561"/>
      <c r="P352" s="561"/>
      <c r="Q352" s="561"/>
      <c r="R352" s="561"/>
      <c r="S352" s="561"/>
      <c r="T352" s="561"/>
      <c r="U352" s="561"/>
      <c r="V352" s="561"/>
      <c r="W352" s="561"/>
      <c r="X352" s="561"/>
      <c r="Y352" s="561"/>
      <c r="Z352" s="561"/>
      <c r="AA352" s="561"/>
      <c r="AB352" s="561"/>
      <c r="AC352" s="561"/>
      <c r="AD352" s="561"/>
    </row>
    <row r="353" spans="5:30">
      <c r="E353" s="561"/>
      <c r="F353" s="561"/>
      <c r="G353" s="561"/>
      <c r="H353" s="561"/>
      <c r="I353" s="561"/>
      <c r="J353" s="561"/>
      <c r="K353" s="561"/>
      <c r="L353" s="561"/>
      <c r="M353" s="561"/>
      <c r="N353" s="561"/>
      <c r="O353" s="561"/>
      <c r="P353" s="561"/>
      <c r="Q353" s="561"/>
      <c r="R353" s="561"/>
      <c r="S353" s="561"/>
      <c r="T353" s="561"/>
      <c r="U353" s="561"/>
      <c r="V353" s="561"/>
      <c r="W353" s="561"/>
      <c r="X353" s="561"/>
      <c r="Y353" s="561"/>
      <c r="Z353" s="561"/>
      <c r="AA353" s="561"/>
      <c r="AB353" s="561"/>
      <c r="AC353" s="561"/>
      <c r="AD353" s="561"/>
    </row>
    <row r="354" spans="5:30">
      <c r="E354" s="561"/>
      <c r="F354" s="561"/>
      <c r="G354" s="561"/>
      <c r="H354" s="561"/>
      <c r="I354" s="561"/>
      <c r="J354" s="561"/>
      <c r="K354" s="561"/>
      <c r="L354" s="561"/>
      <c r="M354" s="561"/>
      <c r="N354" s="561"/>
      <c r="O354" s="561"/>
      <c r="P354" s="561"/>
      <c r="Q354" s="561"/>
      <c r="R354" s="561"/>
      <c r="S354" s="561"/>
      <c r="T354" s="561"/>
      <c r="U354" s="561"/>
      <c r="V354" s="561"/>
      <c r="W354" s="561"/>
      <c r="X354" s="561"/>
      <c r="Y354" s="561"/>
      <c r="Z354" s="561"/>
      <c r="AA354" s="561"/>
      <c r="AB354" s="561"/>
      <c r="AC354" s="561"/>
      <c r="AD354" s="561"/>
    </row>
    <row r="355" spans="5:30">
      <c r="E355" s="561"/>
      <c r="F355" s="561"/>
      <c r="G355" s="561"/>
      <c r="H355" s="561"/>
      <c r="I355" s="561"/>
      <c r="J355" s="561"/>
      <c r="K355" s="561"/>
      <c r="L355" s="561"/>
      <c r="M355" s="561"/>
      <c r="N355" s="561"/>
      <c r="O355" s="561"/>
      <c r="P355" s="561"/>
      <c r="Q355" s="561"/>
      <c r="R355" s="561"/>
      <c r="S355" s="561"/>
      <c r="T355" s="561"/>
      <c r="U355" s="561"/>
      <c r="V355" s="561"/>
      <c r="W355" s="561"/>
      <c r="X355" s="561"/>
      <c r="Y355" s="561"/>
      <c r="Z355" s="561"/>
      <c r="AA355" s="561"/>
      <c r="AB355" s="561"/>
      <c r="AC355" s="561"/>
      <c r="AD355" s="561"/>
    </row>
    <row r="356" spans="5:30">
      <c r="E356" s="561"/>
      <c r="F356" s="561"/>
      <c r="G356" s="561"/>
      <c r="H356" s="561"/>
      <c r="I356" s="561"/>
      <c r="J356" s="561"/>
      <c r="K356" s="561"/>
      <c r="L356" s="561"/>
      <c r="M356" s="561"/>
      <c r="N356" s="561"/>
      <c r="O356" s="561"/>
      <c r="P356" s="561"/>
      <c r="Q356" s="561"/>
      <c r="R356" s="561"/>
      <c r="S356" s="561"/>
      <c r="T356" s="561"/>
      <c r="U356" s="561"/>
      <c r="V356" s="561"/>
      <c r="W356" s="561"/>
      <c r="X356" s="561"/>
      <c r="Y356" s="561"/>
      <c r="Z356" s="561"/>
      <c r="AA356" s="561"/>
      <c r="AB356" s="561"/>
      <c r="AC356" s="561"/>
      <c r="AD356" s="561"/>
    </row>
    <row r="357" spans="5:30">
      <c r="E357" s="561"/>
      <c r="F357" s="561"/>
      <c r="G357" s="561"/>
      <c r="H357" s="561"/>
      <c r="I357" s="561"/>
      <c r="J357" s="561"/>
      <c r="K357" s="561"/>
      <c r="L357" s="561"/>
      <c r="M357" s="561"/>
      <c r="N357" s="561"/>
      <c r="O357" s="561"/>
      <c r="P357" s="561"/>
      <c r="Q357" s="561"/>
      <c r="R357" s="561"/>
      <c r="S357" s="561"/>
      <c r="T357" s="561"/>
      <c r="U357" s="561"/>
      <c r="V357" s="561"/>
      <c r="W357" s="561"/>
      <c r="X357" s="561"/>
      <c r="Y357" s="561"/>
      <c r="Z357" s="561"/>
      <c r="AA357" s="561"/>
      <c r="AB357" s="561"/>
      <c r="AC357" s="561"/>
      <c r="AD357" s="561"/>
    </row>
    <row r="358" spans="5:30">
      <c r="E358" s="561"/>
      <c r="F358" s="561"/>
      <c r="G358" s="561"/>
      <c r="H358" s="561"/>
      <c r="I358" s="561"/>
      <c r="J358" s="561"/>
      <c r="K358" s="561"/>
      <c r="L358" s="561"/>
      <c r="M358" s="561"/>
      <c r="N358" s="561"/>
      <c r="O358" s="561"/>
      <c r="P358" s="561"/>
      <c r="Q358" s="561"/>
      <c r="R358" s="561"/>
      <c r="S358" s="561"/>
      <c r="T358" s="561"/>
      <c r="U358" s="561"/>
      <c r="V358" s="561"/>
      <c r="W358" s="561"/>
      <c r="X358" s="561"/>
      <c r="Y358" s="561"/>
      <c r="Z358" s="561"/>
      <c r="AA358" s="561"/>
      <c r="AB358" s="561"/>
      <c r="AC358" s="561"/>
      <c r="AD358" s="561"/>
    </row>
    <row r="359" spans="5:30">
      <c r="E359" s="561"/>
      <c r="F359" s="561"/>
      <c r="G359" s="561"/>
      <c r="H359" s="561"/>
      <c r="I359" s="561"/>
      <c r="J359" s="561"/>
      <c r="K359" s="561"/>
      <c r="L359" s="561"/>
      <c r="M359" s="561"/>
      <c r="N359" s="561"/>
      <c r="O359" s="561"/>
      <c r="P359" s="561"/>
      <c r="Q359" s="561"/>
      <c r="R359" s="561"/>
      <c r="S359" s="561"/>
      <c r="T359" s="561"/>
      <c r="U359" s="561"/>
      <c r="V359" s="561"/>
      <c r="W359" s="561"/>
      <c r="X359" s="561"/>
      <c r="Y359" s="561"/>
      <c r="Z359" s="561"/>
      <c r="AA359" s="561"/>
      <c r="AB359" s="561"/>
      <c r="AC359" s="561"/>
      <c r="AD359" s="561"/>
    </row>
    <row r="360" spans="5:30">
      <c r="E360" s="561"/>
      <c r="F360" s="561"/>
      <c r="G360" s="561"/>
      <c r="H360" s="561"/>
      <c r="I360" s="561"/>
      <c r="J360" s="561"/>
      <c r="K360" s="561"/>
      <c r="L360" s="561"/>
      <c r="M360" s="561"/>
      <c r="N360" s="561"/>
      <c r="O360" s="561"/>
      <c r="P360" s="561"/>
      <c r="Q360" s="561"/>
      <c r="R360" s="561"/>
      <c r="S360" s="561"/>
      <c r="T360" s="561"/>
      <c r="U360" s="561"/>
      <c r="V360" s="561"/>
      <c r="W360" s="561"/>
      <c r="X360" s="561"/>
      <c r="Y360" s="561"/>
      <c r="Z360" s="561"/>
      <c r="AA360" s="561"/>
      <c r="AB360" s="561"/>
      <c r="AC360" s="561"/>
      <c r="AD360" s="561"/>
    </row>
    <row r="361" spans="5:30">
      <c r="E361" s="561"/>
      <c r="F361" s="561"/>
      <c r="G361" s="561"/>
      <c r="H361" s="561"/>
      <c r="I361" s="561"/>
      <c r="J361" s="561"/>
      <c r="K361" s="561"/>
      <c r="L361" s="561"/>
      <c r="M361" s="561"/>
      <c r="N361" s="561"/>
      <c r="O361" s="561"/>
      <c r="P361" s="561"/>
      <c r="Q361" s="561"/>
      <c r="R361" s="561"/>
      <c r="S361" s="561"/>
      <c r="T361" s="561"/>
      <c r="U361" s="561"/>
      <c r="V361" s="561"/>
      <c r="W361" s="561"/>
      <c r="X361" s="561"/>
      <c r="Y361" s="561"/>
      <c r="Z361" s="561"/>
      <c r="AA361" s="561"/>
      <c r="AB361" s="561"/>
      <c r="AC361" s="561"/>
      <c r="AD361" s="561"/>
    </row>
    <row r="362" spans="5:30">
      <c r="E362" s="561"/>
      <c r="F362" s="561"/>
      <c r="G362" s="561"/>
      <c r="H362" s="561"/>
      <c r="I362" s="561"/>
      <c r="J362" s="561"/>
      <c r="K362" s="561"/>
      <c r="L362" s="561"/>
      <c r="M362" s="561"/>
      <c r="N362" s="561"/>
      <c r="O362" s="561"/>
      <c r="P362" s="561"/>
      <c r="Q362" s="561"/>
      <c r="R362" s="561"/>
      <c r="S362" s="561"/>
      <c r="T362" s="561"/>
      <c r="U362" s="561"/>
      <c r="V362" s="561"/>
      <c r="W362" s="561"/>
      <c r="X362" s="561"/>
      <c r="Y362" s="561"/>
      <c r="Z362" s="561"/>
      <c r="AA362" s="561"/>
      <c r="AB362" s="561"/>
      <c r="AC362" s="561"/>
      <c r="AD362" s="561"/>
    </row>
    <row r="363" spans="5:30">
      <c r="E363" s="561"/>
      <c r="F363" s="561"/>
      <c r="G363" s="561"/>
      <c r="H363" s="561"/>
      <c r="I363" s="561"/>
      <c r="J363" s="561"/>
      <c r="K363" s="561"/>
      <c r="L363" s="561"/>
      <c r="M363" s="561"/>
      <c r="N363" s="561"/>
      <c r="O363" s="561"/>
      <c r="P363" s="561"/>
      <c r="Q363" s="561"/>
      <c r="R363" s="561"/>
      <c r="S363" s="561"/>
      <c r="T363" s="561"/>
      <c r="U363" s="561"/>
      <c r="V363" s="561"/>
      <c r="W363" s="561"/>
      <c r="X363" s="561"/>
      <c r="Y363" s="561"/>
      <c r="Z363" s="561"/>
      <c r="AA363" s="561"/>
      <c r="AB363" s="561"/>
      <c r="AC363" s="561"/>
      <c r="AD363" s="561"/>
    </row>
    <row r="364" spans="5:30">
      <c r="E364" s="561"/>
      <c r="F364" s="561"/>
      <c r="G364" s="561"/>
      <c r="H364" s="561"/>
      <c r="I364" s="561"/>
      <c r="J364" s="561"/>
      <c r="K364" s="561"/>
      <c r="L364" s="561"/>
      <c r="M364" s="561"/>
      <c r="N364" s="561"/>
      <c r="O364" s="561"/>
      <c r="P364" s="561"/>
      <c r="Q364" s="561"/>
      <c r="R364" s="561"/>
      <c r="S364" s="561"/>
      <c r="T364" s="561"/>
      <c r="U364" s="561"/>
      <c r="V364" s="561"/>
      <c r="W364" s="561"/>
      <c r="X364" s="561"/>
      <c r="Y364" s="561"/>
      <c r="Z364" s="561"/>
      <c r="AA364" s="561"/>
      <c r="AB364" s="561"/>
      <c r="AC364" s="561"/>
      <c r="AD364" s="561"/>
    </row>
    <row r="365" spans="5:30">
      <c r="E365" s="561"/>
      <c r="F365" s="561"/>
      <c r="G365" s="561"/>
      <c r="H365" s="561"/>
      <c r="I365" s="561"/>
      <c r="J365" s="561"/>
      <c r="K365" s="561"/>
      <c r="L365" s="561"/>
      <c r="M365" s="561"/>
      <c r="N365" s="561"/>
      <c r="O365" s="561"/>
      <c r="P365" s="561"/>
      <c r="Q365" s="561"/>
      <c r="R365" s="561"/>
      <c r="S365" s="561"/>
      <c r="T365" s="561"/>
      <c r="U365" s="561"/>
      <c r="V365" s="561"/>
      <c r="W365" s="561"/>
      <c r="X365" s="561"/>
      <c r="Y365" s="561"/>
      <c r="Z365" s="561"/>
      <c r="AA365" s="561"/>
      <c r="AB365" s="561"/>
      <c r="AC365" s="561"/>
      <c r="AD365" s="561"/>
    </row>
    <row r="366" spans="5:30">
      <c r="E366" s="561"/>
      <c r="F366" s="561"/>
      <c r="G366" s="561"/>
      <c r="H366" s="561"/>
      <c r="I366" s="561"/>
      <c r="J366" s="561"/>
      <c r="K366" s="561"/>
      <c r="L366" s="561"/>
      <c r="M366" s="561"/>
      <c r="N366" s="561"/>
      <c r="O366" s="561"/>
      <c r="P366" s="561"/>
      <c r="Q366" s="561"/>
      <c r="R366" s="561"/>
      <c r="S366" s="561"/>
      <c r="T366" s="561"/>
      <c r="U366" s="561"/>
      <c r="V366" s="561"/>
      <c r="W366" s="561"/>
      <c r="X366" s="561"/>
      <c r="Y366" s="561"/>
      <c r="Z366" s="561"/>
      <c r="AA366" s="561"/>
      <c r="AB366" s="561"/>
      <c r="AC366" s="561"/>
      <c r="AD366" s="561"/>
    </row>
    <row r="367" spans="5:30">
      <c r="E367" s="561"/>
      <c r="F367" s="561"/>
      <c r="G367" s="561"/>
      <c r="H367" s="561"/>
      <c r="I367" s="561"/>
      <c r="J367" s="561"/>
      <c r="K367" s="561"/>
      <c r="L367" s="561"/>
      <c r="M367" s="561"/>
      <c r="N367" s="561"/>
      <c r="O367" s="561"/>
      <c r="P367" s="561"/>
      <c r="Q367" s="561"/>
      <c r="R367" s="561"/>
      <c r="S367" s="561"/>
      <c r="T367" s="561"/>
      <c r="U367" s="561"/>
      <c r="V367" s="561"/>
      <c r="W367" s="561"/>
      <c r="X367" s="561"/>
      <c r="Y367" s="561"/>
      <c r="Z367" s="561"/>
      <c r="AA367" s="561"/>
      <c r="AB367" s="561"/>
      <c r="AC367" s="561"/>
      <c r="AD367" s="561"/>
    </row>
    <row r="368" spans="5:30">
      <c r="E368" s="561"/>
      <c r="F368" s="561"/>
      <c r="G368" s="561"/>
      <c r="H368" s="561"/>
      <c r="I368" s="561"/>
      <c r="J368" s="561"/>
      <c r="K368" s="561"/>
      <c r="L368" s="561"/>
      <c r="M368" s="561"/>
      <c r="N368" s="561"/>
      <c r="O368" s="561"/>
      <c r="P368" s="561"/>
      <c r="Q368" s="561"/>
      <c r="R368" s="561"/>
      <c r="S368" s="561"/>
      <c r="T368" s="561"/>
      <c r="U368" s="561"/>
      <c r="V368" s="561"/>
      <c r="W368" s="561"/>
      <c r="X368" s="561"/>
      <c r="Y368" s="561"/>
      <c r="Z368" s="561"/>
      <c r="AA368" s="561"/>
      <c r="AB368" s="561"/>
      <c r="AC368" s="561"/>
      <c r="AD368" s="561"/>
    </row>
    <row r="369" spans="5:30">
      <c r="E369" s="561"/>
      <c r="F369" s="561"/>
      <c r="G369" s="561"/>
      <c r="H369" s="561"/>
      <c r="I369" s="561"/>
      <c r="J369" s="561"/>
      <c r="K369" s="561"/>
      <c r="L369" s="561"/>
      <c r="M369" s="561"/>
      <c r="N369" s="561"/>
      <c r="O369" s="561"/>
      <c r="P369" s="561"/>
      <c r="Q369" s="561"/>
      <c r="R369" s="561"/>
      <c r="S369" s="561"/>
      <c r="T369" s="561"/>
      <c r="U369" s="561"/>
      <c r="V369" s="561"/>
      <c r="W369" s="561"/>
      <c r="X369" s="561"/>
      <c r="Y369" s="561"/>
      <c r="Z369" s="561"/>
      <c r="AA369" s="561"/>
      <c r="AB369" s="561"/>
      <c r="AC369" s="561"/>
      <c r="AD369" s="561"/>
    </row>
    <row r="370" spans="5:30">
      <c r="E370" s="561"/>
      <c r="F370" s="561"/>
      <c r="G370" s="561"/>
      <c r="H370" s="561"/>
      <c r="I370" s="561"/>
      <c r="J370" s="561"/>
      <c r="K370" s="561"/>
      <c r="L370" s="561"/>
      <c r="M370" s="561"/>
      <c r="N370" s="561"/>
      <c r="O370" s="561"/>
      <c r="P370" s="561"/>
      <c r="Q370" s="561"/>
      <c r="R370" s="561"/>
      <c r="S370" s="561"/>
      <c r="T370" s="561"/>
      <c r="U370" s="561"/>
      <c r="V370" s="561"/>
      <c r="W370" s="561"/>
      <c r="X370" s="561"/>
      <c r="Y370" s="561"/>
      <c r="Z370" s="561"/>
      <c r="AA370" s="561"/>
      <c r="AB370" s="561"/>
      <c r="AC370" s="561"/>
      <c r="AD370" s="561"/>
    </row>
    <row r="371" spans="5:30">
      <c r="E371" s="561"/>
      <c r="F371" s="561"/>
      <c r="G371" s="561"/>
      <c r="H371" s="561"/>
      <c r="I371" s="561"/>
      <c r="J371" s="561"/>
      <c r="K371" s="561"/>
      <c r="L371" s="561"/>
      <c r="M371" s="561"/>
      <c r="N371" s="561"/>
      <c r="O371" s="561"/>
      <c r="P371" s="561"/>
      <c r="Q371" s="561"/>
      <c r="R371" s="561"/>
      <c r="S371" s="561"/>
      <c r="T371" s="561"/>
      <c r="U371" s="561"/>
      <c r="V371" s="561"/>
      <c r="W371" s="561"/>
      <c r="X371" s="561"/>
      <c r="Y371" s="561"/>
      <c r="Z371" s="561"/>
      <c r="AA371" s="561"/>
      <c r="AB371" s="561"/>
      <c r="AC371" s="561"/>
      <c r="AD371" s="561"/>
    </row>
    <row r="372" spans="5:30">
      <c r="E372" s="561"/>
      <c r="F372" s="561"/>
      <c r="G372" s="561"/>
      <c r="H372" s="561"/>
      <c r="I372" s="561"/>
      <c r="J372" s="561"/>
      <c r="K372" s="561"/>
      <c r="L372" s="561"/>
      <c r="M372" s="561"/>
      <c r="N372" s="561"/>
      <c r="O372" s="561"/>
      <c r="P372" s="561"/>
      <c r="Q372" s="561"/>
      <c r="R372" s="561"/>
      <c r="S372" s="561"/>
      <c r="T372" s="561"/>
      <c r="U372" s="561"/>
      <c r="V372" s="561"/>
      <c r="W372" s="561"/>
      <c r="X372" s="561"/>
      <c r="Y372" s="561"/>
      <c r="Z372" s="561"/>
      <c r="AA372" s="561"/>
      <c r="AB372" s="561"/>
      <c r="AC372" s="561"/>
      <c r="AD372" s="561"/>
    </row>
    <row r="373" spans="5:30">
      <c r="E373" s="561"/>
      <c r="F373" s="561"/>
      <c r="G373" s="561"/>
      <c r="H373" s="561"/>
      <c r="I373" s="561"/>
      <c r="J373" s="561"/>
      <c r="K373" s="561"/>
      <c r="L373" s="561"/>
      <c r="M373" s="561"/>
      <c r="N373" s="561"/>
      <c r="O373" s="561"/>
      <c r="P373" s="561"/>
      <c r="Q373" s="561"/>
      <c r="R373" s="561"/>
      <c r="S373" s="561"/>
      <c r="T373" s="561"/>
      <c r="U373" s="561"/>
      <c r="V373" s="561"/>
      <c r="W373" s="561"/>
      <c r="X373" s="561"/>
      <c r="Y373" s="561"/>
      <c r="Z373" s="561"/>
      <c r="AA373" s="561"/>
      <c r="AB373" s="561"/>
      <c r="AC373" s="561"/>
      <c r="AD373" s="561"/>
    </row>
    <row r="374" spans="5:30">
      <c r="E374" s="561"/>
      <c r="F374" s="561"/>
      <c r="G374" s="561"/>
      <c r="H374" s="561"/>
      <c r="I374" s="561"/>
      <c r="J374" s="561"/>
      <c r="K374" s="561"/>
      <c r="L374" s="561"/>
      <c r="M374" s="561"/>
      <c r="N374" s="561"/>
      <c r="O374" s="561"/>
      <c r="P374" s="561"/>
      <c r="Q374" s="561"/>
      <c r="R374" s="561"/>
      <c r="S374" s="561"/>
      <c r="T374" s="561"/>
      <c r="U374" s="561"/>
      <c r="V374" s="561"/>
      <c r="W374" s="561"/>
      <c r="X374" s="561"/>
      <c r="Y374" s="561"/>
      <c r="Z374" s="561"/>
      <c r="AA374" s="561"/>
      <c r="AB374" s="561"/>
      <c r="AC374" s="561"/>
      <c r="AD374" s="561"/>
    </row>
    <row r="375" spans="5:30">
      <c r="E375" s="561"/>
      <c r="F375" s="561"/>
      <c r="G375" s="561"/>
      <c r="H375" s="561"/>
      <c r="I375" s="561"/>
      <c r="J375" s="561"/>
      <c r="K375" s="561"/>
      <c r="L375" s="561"/>
      <c r="M375" s="561"/>
      <c r="N375" s="561"/>
      <c r="O375" s="561"/>
      <c r="P375" s="561"/>
      <c r="Q375" s="561"/>
      <c r="R375" s="561"/>
      <c r="S375" s="561"/>
      <c r="T375" s="561"/>
      <c r="U375" s="561"/>
      <c r="V375" s="561"/>
      <c r="W375" s="561"/>
      <c r="X375" s="561"/>
      <c r="Y375" s="561"/>
      <c r="Z375" s="561"/>
      <c r="AA375" s="561"/>
      <c r="AB375" s="561"/>
      <c r="AC375" s="561"/>
      <c r="AD375" s="561"/>
    </row>
    <row r="376" spans="5:30">
      <c r="E376" s="561"/>
      <c r="F376" s="561"/>
      <c r="G376" s="561"/>
      <c r="H376" s="561"/>
      <c r="I376" s="561"/>
      <c r="J376" s="561"/>
      <c r="K376" s="561"/>
      <c r="L376" s="561"/>
      <c r="M376" s="561"/>
      <c r="N376" s="561"/>
      <c r="O376" s="561"/>
      <c r="P376" s="561"/>
      <c r="Q376" s="561"/>
      <c r="R376" s="561"/>
      <c r="S376" s="561"/>
      <c r="T376" s="561"/>
      <c r="U376" s="561"/>
      <c r="V376" s="561"/>
      <c r="W376" s="561"/>
      <c r="X376" s="561"/>
      <c r="Y376" s="561"/>
      <c r="Z376" s="561"/>
      <c r="AA376" s="561"/>
      <c r="AB376" s="561"/>
      <c r="AC376" s="561"/>
      <c r="AD376" s="561"/>
    </row>
    <row r="377" spans="5:30">
      <c r="E377" s="561"/>
      <c r="F377" s="561"/>
      <c r="G377" s="561"/>
      <c r="H377" s="561"/>
      <c r="I377" s="561"/>
      <c r="J377" s="561"/>
      <c r="K377" s="561"/>
      <c r="L377" s="561"/>
      <c r="M377" s="561"/>
      <c r="N377" s="561"/>
      <c r="O377" s="561"/>
      <c r="P377" s="561"/>
      <c r="Q377" s="561"/>
      <c r="R377" s="561"/>
      <c r="S377" s="561"/>
      <c r="T377" s="561"/>
      <c r="U377" s="561"/>
      <c r="V377" s="561"/>
      <c r="W377" s="561"/>
      <c r="X377" s="561"/>
      <c r="Y377" s="561"/>
      <c r="Z377" s="561"/>
      <c r="AA377" s="561"/>
      <c r="AB377" s="561"/>
      <c r="AC377" s="561"/>
      <c r="AD377" s="561"/>
    </row>
    <row r="378" spans="5:30">
      <c r="E378" s="561"/>
      <c r="F378" s="561"/>
      <c r="G378" s="561"/>
      <c r="H378" s="561"/>
      <c r="I378" s="561"/>
      <c r="J378" s="561"/>
      <c r="K378" s="561"/>
      <c r="L378" s="561"/>
      <c r="M378" s="561"/>
      <c r="N378" s="561"/>
      <c r="O378" s="561"/>
      <c r="P378" s="561"/>
      <c r="Q378" s="561"/>
      <c r="R378" s="561"/>
      <c r="S378" s="561"/>
      <c r="T378" s="561"/>
      <c r="U378" s="561"/>
      <c r="V378" s="561"/>
      <c r="W378" s="561"/>
      <c r="X378" s="561"/>
      <c r="Y378" s="561"/>
      <c r="Z378" s="561"/>
      <c r="AA378" s="561"/>
      <c r="AB378" s="561"/>
      <c r="AC378" s="561"/>
      <c r="AD378" s="561"/>
    </row>
    <row r="379" spans="5:30">
      <c r="E379" s="561"/>
      <c r="F379" s="561"/>
      <c r="G379" s="561"/>
      <c r="H379" s="561"/>
      <c r="I379" s="561"/>
      <c r="J379" s="561"/>
      <c r="K379" s="561"/>
      <c r="L379" s="561"/>
      <c r="M379" s="561"/>
      <c r="N379" s="561"/>
      <c r="O379" s="561"/>
      <c r="P379" s="561"/>
      <c r="Q379" s="561"/>
      <c r="R379" s="561"/>
      <c r="S379" s="561"/>
      <c r="T379" s="561"/>
      <c r="U379" s="561"/>
      <c r="V379" s="561"/>
      <c r="W379" s="561"/>
      <c r="X379" s="561"/>
      <c r="Y379" s="561"/>
      <c r="Z379" s="561"/>
      <c r="AA379" s="561"/>
      <c r="AB379" s="561"/>
      <c r="AC379" s="561"/>
      <c r="AD379" s="561"/>
    </row>
    <row r="380" spans="5:30">
      <c r="E380" s="561"/>
      <c r="F380" s="561"/>
      <c r="G380" s="561"/>
      <c r="H380" s="561"/>
      <c r="I380" s="561"/>
      <c r="J380" s="561"/>
      <c r="K380" s="561"/>
      <c r="L380" s="561"/>
      <c r="M380" s="561"/>
      <c r="N380" s="561"/>
      <c r="O380" s="561"/>
      <c r="P380" s="561"/>
      <c r="Q380" s="561"/>
      <c r="R380" s="561"/>
      <c r="S380" s="561"/>
      <c r="T380" s="561"/>
      <c r="U380" s="561"/>
      <c r="V380" s="561"/>
      <c r="W380" s="561"/>
      <c r="X380" s="561"/>
      <c r="Y380" s="561"/>
      <c r="Z380" s="561"/>
      <c r="AA380" s="561"/>
      <c r="AB380" s="561"/>
      <c r="AC380" s="561"/>
      <c r="AD380" s="561"/>
    </row>
    <row r="381" spans="5:30">
      <c r="E381" s="561"/>
      <c r="F381" s="561"/>
      <c r="G381" s="561"/>
      <c r="H381" s="561"/>
      <c r="I381" s="561"/>
      <c r="J381" s="561"/>
      <c r="K381" s="561"/>
      <c r="L381" s="561"/>
      <c r="M381" s="561"/>
      <c r="N381" s="561"/>
      <c r="O381" s="561"/>
      <c r="P381" s="561"/>
      <c r="Q381" s="561"/>
      <c r="R381" s="561"/>
      <c r="S381" s="561"/>
      <c r="T381" s="561"/>
      <c r="U381" s="561"/>
      <c r="V381" s="561"/>
      <c r="W381" s="561"/>
      <c r="X381" s="561"/>
      <c r="Y381" s="561"/>
      <c r="Z381" s="561"/>
      <c r="AA381" s="561"/>
      <c r="AB381" s="561"/>
      <c r="AC381" s="561"/>
      <c r="AD381" s="561"/>
    </row>
    <row r="382" spans="5:30">
      <c r="E382" s="561"/>
      <c r="F382" s="561"/>
      <c r="G382" s="561"/>
      <c r="H382" s="561"/>
      <c r="I382" s="561"/>
      <c r="J382" s="561"/>
      <c r="K382" s="561"/>
      <c r="L382" s="561"/>
      <c r="M382" s="561"/>
      <c r="N382" s="561"/>
      <c r="O382" s="561"/>
      <c r="P382" s="561"/>
      <c r="Q382" s="561"/>
      <c r="R382" s="561"/>
      <c r="S382" s="561"/>
      <c r="T382" s="561"/>
      <c r="U382" s="561"/>
      <c r="V382" s="561"/>
      <c r="W382" s="561"/>
      <c r="X382" s="561"/>
      <c r="Y382" s="561"/>
      <c r="Z382" s="561"/>
      <c r="AA382" s="561"/>
      <c r="AB382" s="561"/>
      <c r="AC382" s="561"/>
      <c r="AD382" s="561"/>
    </row>
    <row r="383" spans="5:30">
      <c r="E383" s="561"/>
      <c r="F383" s="561"/>
      <c r="G383" s="561"/>
      <c r="H383" s="561"/>
      <c r="I383" s="561"/>
      <c r="J383" s="561"/>
      <c r="K383" s="561"/>
      <c r="L383" s="561"/>
      <c r="M383" s="561"/>
      <c r="N383" s="561"/>
      <c r="O383" s="561"/>
      <c r="P383" s="561"/>
      <c r="Q383" s="561"/>
      <c r="R383" s="561"/>
      <c r="S383" s="561"/>
      <c r="T383" s="561"/>
      <c r="U383" s="561"/>
      <c r="V383" s="561"/>
      <c r="W383" s="561"/>
      <c r="X383" s="561"/>
      <c r="Y383" s="561"/>
      <c r="Z383" s="561"/>
      <c r="AA383" s="561"/>
      <c r="AB383" s="561"/>
      <c r="AC383" s="561"/>
      <c r="AD383" s="561"/>
    </row>
    <row r="384" spans="5:30">
      <c r="E384" s="561"/>
      <c r="F384" s="561"/>
      <c r="G384" s="561"/>
      <c r="H384" s="561"/>
      <c r="I384" s="561"/>
      <c r="J384" s="561"/>
      <c r="K384" s="561"/>
      <c r="L384" s="561"/>
      <c r="M384" s="561"/>
      <c r="N384" s="561"/>
      <c r="O384" s="561"/>
      <c r="P384" s="561"/>
      <c r="Q384" s="561"/>
      <c r="R384" s="561"/>
      <c r="S384" s="561"/>
      <c r="T384" s="561"/>
      <c r="U384" s="561"/>
      <c r="V384" s="561"/>
      <c r="W384" s="561"/>
      <c r="X384" s="561"/>
      <c r="Y384" s="561"/>
      <c r="Z384" s="561"/>
      <c r="AA384" s="561"/>
      <c r="AB384" s="561"/>
      <c r="AC384" s="561"/>
      <c r="AD384" s="561"/>
    </row>
    <row r="385" spans="5:30">
      <c r="E385" s="561"/>
      <c r="F385" s="561"/>
      <c r="G385" s="561"/>
      <c r="H385" s="561"/>
      <c r="I385" s="561"/>
      <c r="J385" s="561"/>
      <c r="K385" s="561"/>
      <c r="L385" s="561"/>
      <c r="M385" s="561"/>
      <c r="N385" s="561"/>
      <c r="O385" s="561"/>
      <c r="P385" s="561"/>
      <c r="Q385" s="561"/>
      <c r="R385" s="561"/>
      <c r="S385" s="561"/>
      <c r="T385" s="561"/>
      <c r="U385" s="561"/>
      <c r="V385" s="561"/>
      <c r="W385" s="561"/>
      <c r="X385" s="561"/>
      <c r="Y385" s="561"/>
      <c r="Z385" s="561"/>
      <c r="AA385" s="561"/>
      <c r="AB385" s="561"/>
      <c r="AC385" s="561"/>
      <c r="AD385" s="561"/>
    </row>
    <row r="386" spans="5:30">
      <c r="E386" s="561"/>
      <c r="F386" s="561"/>
      <c r="G386" s="561"/>
      <c r="H386" s="561"/>
      <c r="I386" s="561"/>
      <c r="J386" s="561"/>
      <c r="K386" s="561"/>
      <c r="L386" s="561"/>
      <c r="M386" s="561"/>
      <c r="N386" s="561"/>
      <c r="O386" s="561"/>
      <c r="P386" s="561"/>
      <c r="Q386" s="561"/>
      <c r="R386" s="561"/>
      <c r="S386" s="561"/>
      <c r="T386" s="561"/>
      <c r="U386" s="561"/>
      <c r="V386" s="561"/>
      <c r="W386" s="561"/>
      <c r="X386" s="561"/>
      <c r="Y386" s="561"/>
      <c r="Z386" s="561"/>
      <c r="AA386" s="561"/>
      <c r="AB386" s="561"/>
      <c r="AC386" s="561"/>
      <c r="AD386" s="561"/>
    </row>
    <row r="387" spans="5:30">
      <c r="E387" s="561"/>
      <c r="F387" s="561"/>
      <c r="G387" s="561"/>
      <c r="H387" s="561"/>
      <c r="I387" s="561"/>
      <c r="J387" s="561"/>
      <c r="K387" s="561"/>
      <c r="L387" s="561"/>
      <c r="M387" s="561"/>
      <c r="N387" s="561"/>
      <c r="O387" s="561"/>
      <c r="P387" s="561"/>
      <c r="Q387" s="561"/>
      <c r="R387" s="561"/>
      <c r="S387" s="561"/>
      <c r="T387" s="561"/>
      <c r="U387" s="561"/>
      <c r="V387" s="561"/>
      <c r="W387" s="561"/>
      <c r="X387" s="561"/>
      <c r="Y387" s="561"/>
      <c r="Z387" s="561"/>
      <c r="AA387" s="561"/>
      <c r="AB387" s="561"/>
      <c r="AC387" s="561"/>
      <c r="AD387" s="561"/>
    </row>
    <row r="388" spans="5:30">
      <c r="E388" s="561"/>
      <c r="F388" s="561"/>
      <c r="G388" s="561"/>
      <c r="H388" s="561"/>
      <c r="I388" s="561"/>
      <c r="J388" s="561"/>
      <c r="K388" s="561"/>
      <c r="L388" s="561"/>
      <c r="M388" s="561"/>
      <c r="N388" s="561"/>
      <c r="O388" s="561"/>
      <c r="P388" s="561"/>
      <c r="Q388" s="561"/>
      <c r="R388" s="561"/>
      <c r="S388" s="561"/>
      <c r="T388" s="561"/>
      <c r="U388" s="561"/>
      <c r="V388" s="561"/>
      <c r="W388" s="561"/>
      <c r="X388" s="561"/>
      <c r="Y388" s="561"/>
      <c r="Z388" s="561"/>
      <c r="AA388" s="561"/>
      <c r="AB388" s="561"/>
      <c r="AC388" s="561"/>
      <c r="AD388" s="561"/>
    </row>
    <row r="389" spans="5:30">
      <c r="E389" s="561"/>
      <c r="F389" s="561"/>
      <c r="G389" s="561"/>
      <c r="H389" s="561"/>
      <c r="I389" s="561"/>
      <c r="J389" s="561"/>
      <c r="K389" s="561"/>
      <c r="L389" s="561"/>
      <c r="M389" s="561"/>
      <c r="N389" s="561"/>
      <c r="O389" s="561"/>
      <c r="P389" s="561"/>
      <c r="Q389" s="561"/>
      <c r="R389" s="561"/>
      <c r="S389" s="561"/>
      <c r="T389" s="561"/>
      <c r="U389" s="561"/>
      <c r="V389" s="561"/>
      <c r="W389" s="561"/>
      <c r="X389" s="561"/>
      <c r="Y389" s="561"/>
      <c r="Z389" s="561"/>
      <c r="AA389" s="561"/>
      <c r="AB389" s="561"/>
      <c r="AC389" s="561"/>
      <c r="AD389" s="561"/>
    </row>
    <row r="390" spans="5:30">
      <c r="E390" s="561"/>
      <c r="F390" s="561"/>
      <c r="G390" s="561"/>
      <c r="H390" s="561"/>
      <c r="I390" s="561"/>
      <c r="J390" s="561"/>
      <c r="K390" s="561"/>
      <c r="L390" s="561"/>
      <c r="M390" s="561"/>
      <c r="N390" s="561"/>
      <c r="O390" s="561"/>
      <c r="P390" s="561"/>
      <c r="Q390" s="561"/>
      <c r="R390" s="561"/>
      <c r="S390" s="561"/>
      <c r="T390" s="561"/>
      <c r="U390" s="561"/>
      <c r="V390" s="561"/>
      <c r="W390" s="561"/>
      <c r="X390" s="561"/>
      <c r="Y390" s="561"/>
      <c r="Z390" s="561"/>
      <c r="AA390" s="561"/>
      <c r="AB390" s="561"/>
      <c r="AC390" s="561"/>
      <c r="AD390" s="561"/>
    </row>
    <row r="391" spans="5:30">
      <c r="E391" s="561"/>
      <c r="F391" s="561"/>
      <c r="G391" s="561"/>
      <c r="H391" s="561"/>
      <c r="I391" s="561"/>
      <c r="J391" s="561"/>
      <c r="K391" s="561"/>
      <c r="L391" s="561"/>
      <c r="M391" s="561"/>
      <c r="N391" s="561"/>
      <c r="O391" s="561"/>
      <c r="P391" s="561"/>
      <c r="Q391" s="561"/>
      <c r="R391" s="561"/>
      <c r="S391" s="561"/>
      <c r="T391" s="561"/>
      <c r="U391" s="561"/>
      <c r="V391" s="561"/>
      <c r="W391" s="561"/>
      <c r="X391" s="561"/>
      <c r="Y391" s="561"/>
      <c r="Z391" s="561"/>
      <c r="AA391" s="561"/>
      <c r="AB391" s="561"/>
      <c r="AC391" s="561"/>
      <c r="AD391" s="561"/>
    </row>
    <row r="392" spans="5:30">
      <c r="E392" s="561"/>
      <c r="F392" s="561"/>
      <c r="G392" s="561"/>
      <c r="H392" s="561"/>
      <c r="I392" s="561"/>
      <c r="J392" s="561"/>
      <c r="K392" s="561"/>
      <c r="L392" s="561"/>
      <c r="M392" s="561"/>
      <c r="N392" s="561"/>
      <c r="O392" s="561"/>
      <c r="P392" s="561"/>
      <c r="Q392" s="561"/>
      <c r="R392" s="561"/>
      <c r="S392" s="561"/>
      <c r="T392" s="561"/>
      <c r="U392" s="561"/>
      <c r="V392" s="561"/>
      <c r="W392" s="561"/>
      <c r="X392" s="561"/>
      <c r="Y392" s="561"/>
      <c r="Z392" s="561"/>
      <c r="AA392" s="561"/>
      <c r="AB392" s="561"/>
      <c r="AC392" s="561"/>
      <c r="AD392" s="561"/>
    </row>
    <row r="393" spans="5:30">
      <c r="E393" s="561"/>
      <c r="F393" s="561"/>
      <c r="G393" s="561"/>
      <c r="H393" s="561"/>
      <c r="I393" s="561"/>
      <c r="J393" s="561"/>
      <c r="K393" s="561"/>
      <c r="L393" s="561"/>
      <c r="M393" s="561"/>
      <c r="N393" s="561"/>
      <c r="O393" s="561"/>
      <c r="P393" s="561"/>
      <c r="Q393" s="561"/>
      <c r="R393" s="561"/>
      <c r="S393" s="561"/>
      <c r="T393" s="561"/>
      <c r="U393" s="561"/>
      <c r="V393" s="561"/>
      <c r="W393" s="561"/>
      <c r="X393" s="561"/>
      <c r="Y393" s="561"/>
      <c r="Z393" s="561"/>
      <c r="AA393" s="561"/>
      <c r="AB393" s="561"/>
      <c r="AC393" s="561"/>
      <c r="AD393" s="561"/>
    </row>
    <row r="394" spans="5:30">
      <c r="E394" s="561"/>
      <c r="F394" s="561"/>
      <c r="G394" s="561"/>
      <c r="H394" s="561"/>
      <c r="I394" s="561"/>
      <c r="J394" s="561"/>
      <c r="K394" s="561"/>
      <c r="L394" s="561"/>
      <c r="M394" s="561"/>
      <c r="N394" s="561"/>
      <c r="O394" s="561"/>
      <c r="P394" s="561"/>
      <c r="Q394" s="561"/>
      <c r="R394" s="561"/>
      <c r="S394" s="561"/>
      <c r="T394" s="561"/>
      <c r="U394" s="561"/>
      <c r="V394" s="561"/>
      <c r="W394" s="561"/>
      <c r="X394" s="561"/>
      <c r="Y394" s="561"/>
      <c r="Z394" s="561"/>
      <c r="AA394" s="561"/>
      <c r="AB394" s="561"/>
      <c r="AC394" s="561"/>
      <c r="AD394" s="561"/>
    </row>
    <row r="395" spans="5:30">
      <c r="E395" s="561"/>
      <c r="F395" s="561"/>
      <c r="G395" s="561"/>
      <c r="H395" s="561"/>
      <c r="I395" s="561"/>
      <c r="J395" s="561"/>
      <c r="K395" s="561"/>
      <c r="L395" s="561"/>
      <c r="M395" s="561"/>
      <c r="N395" s="561"/>
      <c r="O395" s="561"/>
      <c r="P395" s="561"/>
      <c r="Q395" s="561"/>
      <c r="R395" s="561"/>
      <c r="S395" s="561"/>
      <c r="T395" s="561"/>
      <c r="U395" s="561"/>
      <c r="V395" s="561"/>
      <c r="W395" s="561"/>
      <c r="X395" s="561"/>
      <c r="Y395" s="561"/>
      <c r="Z395" s="561"/>
      <c r="AA395" s="561"/>
      <c r="AB395" s="561"/>
      <c r="AC395" s="561"/>
      <c r="AD395" s="561"/>
    </row>
    <row r="396" spans="5:30">
      <c r="E396" s="561"/>
      <c r="F396" s="561"/>
      <c r="G396" s="561"/>
      <c r="H396" s="561"/>
      <c r="I396" s="561"/>
      <c r="J396" s="561"/>
      <c r="K396" s="561"/>
      <c r="L396" s="561"/>
      <c r="M396" s="561"/>
      <c r="N396" s="561"/>
      <c r="O396" s="561"/>
      <c r="P396" s="561"/>
      <c r="Q396" s="561"/>
      <c r="R396" s="561"/>
      <c r="S396" s="561"/>
      <c r="T396" s="561"/>
      <c r="U396" s="561"/>
      <c r="V396" s="561"/>
      <c r="W396" s="561"/>
      <c r="X396" s="561"/>
      <c r="Y396" s="561"/>
      <c r="Z396" s="561"/>
      <c r="AA396" s="561"/>
      <c r="AB396" s="561"/>
      <c r="AC396" s="561"/>
      <c r="AD396" s="561"/>
    </row>
    <row r="397" spans="5:30">
      <c r="E397" s="561"/>
      <c r="F397" s="561"/>
      <c r="G397" s="561"/>
      <c r="H397" s="561"/>
      <c r="I397" s="561"/>
      <c r="J397" s="561"/>
      <c r="K397" s="561"/>
      <c r="L397" s="561"/>
      <c r="M397" s="561"/>
      <c r="N397" s="561"/>
      <c r="O397" s="561"/>
      <c r="P397" s="561"/>
      <c r="Q397" s="561"/>
      <c r="R397" s="561"/>
      <c r="S397" s="561"/>
      <c r="T397" s="561"/>
      <c r="U397" s="561"/>
      <c r="V397" s="561"/>
      <c r="W397" s="561"/>
      <c r="X397" s="561"/>
      <c r="Y397" s="561"/>
      <c r="Z397" s="561"/>
      <c r="AA397" s="561"/>
      <c r="AB397" s="561"/>
      <c r="AC397" s="561"/>
      <c r="AD397" s="561"/>
    </row>
  </sheetData>
  <mergeCells count="22">
    <mergeCell ref="W39:Y39"/>
    <mergeCell ref="M39:N39"/>
    <mergeCell ref="O39:P39"/>
    <mergeCell ref="Q39:R39"/>
    <mergeCell ref="S39:T39"/>
    <mergeCell ref="U39:V39"/>
    <mergeCell ref="C39:D39"/>
    <mergeCell ref="E39:F39"/>
    <mergeCell ref="G39:H39"/>
    <mergeCell ref="I39:J39"/>
    <mergeCell ref="K39:L39"/>
    <mergeCell ref="AC8:AE8"/>
    <mergeCell ref="A1:AE1"/>
    <mergeCell ref="A3:AE3"/>
    <mergeCell ref="A5:AE5"/>
    <mergeCell ref="A32:W32"/>
    <mergeCell ref="C38:V38"/>
    <mergeCell ref="A36:W36"/>
    <mergeCell ref="C8:D8"/>
    <mergeCell ref="E8:F8"/>
    <mergeCell ref="M8:N8"/>
    <mergeCell ref="A34:W34"/>
  </mergeCells>
  <phoneticPr fontId="18" type="noConversion"/>
  <pageMargins left="0.98425196850393704"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E61"/>
  <sheetViews>
    <sheetView zoomScale="75" zoomScaleNormal="75" workbookViewId="0">
      <selection activeCell="S46" sqref="S46"/>
    </sheetView>
  </sheetViews>
  <sheetFormatPr baseColWidth="10" defaultColWidth="11.42578125" defaultRowHeight="12.75"/>
  <cols>
    <col min="1" max="1" width="9.42578125" style="561" customWidth="1"/>
    <col min="2" max="2" width="26.7109375" style="561" customWidth="1"/>
    <col min="3" max="6" width="9.7109375" style="561" customWidth="1"/>
    <col min="7" max="8" width="9.28515625" style="561" customWidth="1"/>
    <col min="9" max="10" width="9.5703125" style="561" customWidth="1"/>
    <col min="11" max="12" width="10.42578125" style="561" customWidth="1"/>
    <col min="13" max="14" width="10.28515625" style="561" customWidth="1"/>
    <col min="15" max="18" width="9.7109375" style="561" customWidth="1"/>
    <col min="19" max="20" width="10" style="561" customWidth="1"/>
    <col min="21" max="22" width="10.5703125" style="561" customWidth="1"/>
    <col min="23" max="24" width="9.5703125" style="561" customWidth="1"/>
    <col min="25" max="26" width="9.28515625" style="561" customWidth="1"/>
    <col min="27" max="30" width="8.28515625" style="561" customWidth="1"/>
    <col min="31" max="31" width="9.7109375" style="561" customWidth="1"/>
    <col min="32" max="16384" width="11.42578125" style="561"/>
  </cols>
  <sheetData>
    <row r="1" spans="1:31">
      <c r="A1" s="1646" t="s">
        <v>193</v>
      </c>
      <c r="B1" s="1646"/>
      <c r="C1" s="1646"/>
      <c r="D1" s="1646"/>
      <c r="E1" s="1646"/>
      <c r="F1" s="1646"/>
      <c r="G1" s="1646"/>
      <c r="H1" s="1646"/>
      <c r="I1" s="1646"/>
      <c r="J1" s="1646"/>
      <c r="K1" s="1646"/>
      <c r="L1" s="1646"/>
      <c r="M1" s="1646"/>
      <c r="N1" s="1646"/>
      <c r="O1" s="1646"/>
      <c r="P1" s="1646"/>
      <c r="Q1" s="1646"/>
      <c r="R1" s="1646"/>
      <c r="S1" s="1646"/>
      <c r="T1" s="1646"/>
      <c r="U1" s="1646"/>
      <c r="V1" s="1646"/>
      <c r="W1" s="1646"/>
      <c r="X1" s="1646"/>
      <c r="Y1" s="1646"/>
      <c r="Z1" s="1646"/>
      <c r="AA1" s="1646"/>
      <c r="AB1" s="1646"/>
      <c r="AC1" s="1646"/>
      <c r="AD1" s="1646"/>
      <c r="AE1" s="1646"/>
    </row>
    <row r="2" spans="1:31">
      <c r="A2" s="570"/>
      <c r="B2" s="576"/>
    </row>
    <row r="3" spans="1:31">
      <c r="A3" s="1646" t="str">
        <f>+'89'!A3</f>
        <v>SERVICIO DE SALUD   ACONCAGUA   2023</v>
      </c>
      <c r="B3" s="1646"/>
      <c r="C3" s="1646"/>
      <c r="D3" s="1646"/>
      <c r="E3" s="1646"/>
      <c r="F3" s="1646"/>
      <c r="G3" s="1646"/>
      <c r="H3" s="1646"/>
      <c r="I3" s="1646"/>
      <c r="J3" s="1646"/>
      <c r="K3" s="1646"/>
      <c r="L3" s="1646"/>
      <c r="M3" s="1646"/>
      <c r="N3" s="1646"/>
      <c r="O3" s="1646"/>
      <c r="P3" s="1646"/>
      <c r="Q3" s="1646"/>
      <c r="R3" s="1646"/>
      <c r="S3" s="1646"/>
      <c r="T3" s="1646"/>
      <c r="U3" s="1646"/>
      <c r="V3" s="1646"/>
      <c r="W3" s="1646"/>
      <c r="X3" s="1646"/>
      <c r="Y3" s="1646"/>
      <c r="Z3" s="1646"/>
      <c r="AA3" s="1646"/>
      <c r="AB3" s="1646"/>
      <c r="AC3" s="1646"/>
      <c r="AD3" s="1646"/>
      <c r="AE3" s="1646"/>
    </row>
    <row r="4" spans="1:31">
      <c r="A4" s="570"/>
      <c r="B4" s="576"/>
    </row>
    <row r="5" spans="1:31">
      <c r="A5" s="1646" t="s">
        <v>215</v>
      </c>
      <c r="B5" s="1646"/>
      <c r="C5" s="1646"/>
      <c r="D5" s="1646"/>
      <c r="E5" s="1646"/>
      <c r="F5" s="1646"/>
      <c r="G5" s="1646"/>
      <c r="H5" s="1646"/>
      <c r="I5" s="1646"/>
      <c r="J5" s="1646"/>
      <c r="K5" s="1646"/>
      <c r="L5" s="1646"/>
      <c r="M5" s="1646"/>
      <c r="N5" s="1646"/>
      <c r="O5" s="1646"/>
      <c r="P5" s="1646"/>
      <c r="Q5" s="1646"/>
      <c r="R5" s="1646"/>
      <c r="S5" s="1646"/>
      <c r="T5" s="1646"/>
      <c r="U5" s="1646"/>
      <c r="V5" s="1646"/>
      <c r="W5" s="1646"/>
      <c r="X5" s="1646"/>
      <c r="Y5" s="1646"/>
      <c r="Z5" s="1646"/>
      <c r="AA5" s="1646"/>
      <c r="AB5" s="1646"/>
      <c r="AC5" s="1646"/>
      <c r="AD5" s="1646"/>
      <c r="AE5" s="1646"/>
    </row>
    <row r="6" spans="1:31">
      <c r="A6" s="577"/>
    </row>
    <row r="7" spans="1:31" ht="18.75" customHeight="1">
      <c r="A7" s="1454" t="s">
        <v>627</v>
      </c>
      <c r="B7" s="1455"/>
      <c r="C7" s="1473"/>
      <c r="D7" s="1473"/>
      <c r="E7" s="1473"/>
      <c r="F7" s="1465" t="s">
        <v>628</v>
      </c>
      <c r="G7" s="1465"/>
      <c r="H7" s="1465"/>
      <c r="I7" s="1465"/>
      <c r="J7" s="1465"/>
      <c r="K7" s="1465"/>
      <c r="L7" s="1465"/>
      <c r="M7" s="1465"/>
      <c r="N7" s="1465"/>
      <c r="O7" s="1465"/>
      <c r="P7" s="1465"/>
      <c r="Q7" s="1465"/>
      <c r="R7" s="1465"/>
      <c r="S7" s="1465"/>
      <c r="T7" s="1465"/>
      <c r="U7" s="1465"/>
      <c r="V7" s="1465"/>
      <c r="W7" s="1465"/>
      <c r="X7" s="1465"/>
      <c r="Y7" s="1465"/>
      <c r="Z7" s="1465"/>
      <c r="AA7" s="1465"/>
      <c r="AB7" s="1465"/>
      <c r="AC7" s="1465"/>
      <c r="AD7" s="1465"/>
      <c r="AE7" s="1474"/>
    </row>
    <row r="8" spans="1:31" ht="23.25" customHeight="1">
      <c r="A8" s="1459" t="s">
        <v>629</v>
      </c>
      <c r="B8" s="1460" t="s">
        <v>630</v>
      </c>
      <c r="C8" s="1636" t="s">
        <v>631</v>
      </c>
      <c r="D8" s="1637"/>
      <c r="E8" s="1638" t="s">
        <v>587</v>
      </c>
      <c r="F8" s="1632"/>
      <c r="G8" s="1475" t="s">
        <v>632</v>
      </c>
      <c r="H8" s="1475"/>
      <c r="I8" s="1475" t="s">
        <v>633</v>
      </c>
      <c r="J8" s="1475"/>
      <c r="K8" s="1475" t="s">
        <v>387</v>
      </c>
      <c r="L8" s="1475"/>
      <c r="M8" s="1639" t="s">
        <v>634</v>
      </c>
      <c r="N8" s="1640"/>
      <c r="O8" s="1475" t="s">
        <v>635</v>
      </c>
      <c r="P8" s="1475"/>
      <c r="Q8" s="1475" t="s">
        <v>351</v>
      </c>
      <c r="R8" s="1475"/>
      <c r="S8" s="1475" t="s">
        <v>369</v>
      </c>
      <c r="T8" s="1475"/>
      <c r="U8" s="1475" t="s">
        <v>374</v>
      </c>
      <c r="V8" s="1475"/>
      <c r="W8" s="1475" t="s">
        <v>636</v>
      </c>
      <c r="X8" s="1475"/>
      <c r="Y8" s="1475" t="s">
        <v>376</v>
      </c>
      <c r="Z8" s="1475"/>
      <c r="AA8" s="1475" t="s">
        <v>637</v>
      </c>
      <c r="AB8" s="1470"/>
      <c r="AC8" s="1641" t="s">
        <v>474</v>
      </c>
      <c r="AD8" s="1642"/>
      <c r="AE8" s="1638"/>
    </row>
    <row r="9" spans="1:31" ht="13.5" thickBot="1">
      <c r="A9" s="1461"/>
      <c r="B9" s="1462"/>
      <c r="C9" s="1456" t="s">
        <v>1301</v>
      </c>
      <c r="D9" s="1474" t="s">
        <v>1302</v>
      </c>
      <c r="E9" s="1082" t="s">
        <v>1301</v>
      </c>
      <c r="F9" s="1084" t="s">
        <v>1302</v>
      </c>
      <c r="G9" s="1083" t="s">
        <v>1301</v>
      </c>
      <c r="H9" s="1084" t="s">
        <v>1302</v>
      </c>
      <c r="I9" s="1082" t="s">
        <v>1301</v>
      </c>
      <c r="J9" s="1084" t="s">
        <v>1302</v>
      </c>
      <c r="K9" s="1082" t="s">
        <v>1301</v>
      </c>
      <c r="L9" s="1084" t="s">
        <v>1302</v>
      </c>
      <c r="M9" s="1456" t="s">
        <v>1301</v>
      </c>
      <c r="N9" s="1474" t="s">
        <v>1302</v>
      </c>
      <c r="O9" s="1083" t="s">
        <v>1301</v>
      </c>
      <c r="P9" s="1084" t="s">
        <v>1302</v>
      </c>
      <c r="Q9" s="1082" t="s">
        <v>1301</v>
      </c>
      <c r="R9" s="1082" t="s">
        <v>1302</v>
      </c>
      <c r="S9" s="1083" t="s">
        <v>1301</v>
      </c>
      <c r="T9" s="1084" t="s">
        <v>1302</v>
      </c>
      <c r="U9" s="1082" t="s">
        <v>1301</v>
      </c>
      <c r="V9" s="1084" t="s">
        <v>1302</v>
      </c>
      <c r="W9" s="1082" t="s">
        <v>1301</v>
      </c>
      <c r="X9" s="1082" t="s">
        <v>1302</v>
      </c>
      <c r="Y9" s="1083" t="s">
        <v>1301</v>
      </c>
      <c r="Z9" s="1084" t="s">
        <v>1302</v>
      </c>
      <c r="AA9" s="1082" t="s">
        <v>1301</v>
      </c>
      <c r="AB9" s="1084" t="s">
        <v>1302</v>
      </c>
      <c r="AC9" s="1456" t="s">
        <v>1301</v>
      </c>
      <c r="AD9" s="1474" t="s">
        <v>1302</v>
      </c>
      <c r="AE9" s="1476" t="s">
        <v>448</v>
      </c>
    </row>
    <row r="10" spans="1:31" ht="18" customHeight="1">
      <c r="A10" s="578" t="s">
        <v>651</v>
      </c>
      <c r="B10" s="579" t="s">
        <v>652</v>
      </c>
      <c r="C10" s="796">
        <f t="shared" ref="C10:D13" si="0">+E10+G10+I10+K10</f>
        <v>2</v>
      </c>
      <c r="D10" s="797">
        <f t="shared" si="0"/>
        <v>1</v>
      </c>
      <c r="E10" s="561">
        <v>2</v>
      </c>
      <c r="F10" s="561">
        <v>1</v>
      </c>
      <c r="G10" s="785"/>
      <c r="H10" s="531"/>
      <c r="I10" s="785"/>
      <c r="J10" s="531"/>
      <c r="M10" s="796">
        <f>+O10+Q10+S10+U10+W10+Y10</f>
        <v>11</v>
      </c>
      <c r="N10" s="797">
        <f>+P10+R10+T10+V10+X10+Z10</f>
        <v>22</v>
      </c>
      <c r="O10" s="561">
        <v>2</v>
      </c>
      <c r="P10" s="561">
        <v>1</v>
      </c>
      <c r="Q10" s="785"/>
      <c r="R10" s="531"/>
      <c r="U10" s="785">
        <v>2</v>
      </c>
      <c r="V10" s="531">
        <v>1</v>
      </c>
      <c r="W10" s="561">
        <v>5</v>
      </c>
      <c r="X10" s="561">
        <v>15</v>
      </c>
      <c r="Y10" s="785">
        <v>2</v>
      </c>
      <c r="Z10" s="531">
        <v>5</v>
      </c>
      <c r="AA10" s="561">
        <v>1</v>
      </c>
      <c r="AB10" s="561">
        <v>1</v>
      </c>
      <c r="AC10" s="796">
        <f t="shared" ref="AC10:AD13" si="1">+M10+C10+AA10</f>
        <v>14</v>
      </c>
      <c r="AD10" s="797">
        <f t="shared" si="1"/>
        <v>24</v>
      </c>
      <c r="AE10" s="1223">
        <f>SUM(AC10:AD10)</f>
        <v>38</v>
      </c>
    </row>
    <row r="11" spans="1:31" ht="20.25" customHeight="1">
      <c r="A11" s="578" t="s">
        <v>640</v>
      </c>
      <c r="B11" s="579" t="s">
        <v>641</v>
      </c>
      <c r="C11" s="798">
        <f t="shared" si="0"/>
        <v>3</v>
      </c>
      <c r="D11" s="799">
        <f t="shared" si="0"/>
        <v>2</v>
      </c>
      <c r="E11" s="561">
        <v>3</v>
      </c>
      <c r="F11" s="561">
        <v>2</v>
      </c>
      <c r="G11" s="572"/>
      <c r="H11" s="573"/>
      <c r="I11" s="572"/>
      <c r="J11" s="573"/>
      <c r="M11" s="798">
        <f t="shared" ref="M11:N26" si="2">+O11+Q11+S11+U11+W11+Y11</f>
        <v>23</v>
      </c>
      <c r="N11" s="799">
        <f t="shared" si="2"/>
        <v>20</v>
      </c>
      <c r="O11" s="561">
        <v>2</v>
      </c>
      <c r="Q11" s="572"/>
      <c r="R11" s="573"/>
      <c r="U11" s="572">
        <v>2</v>
      </c>
      <c r="V11" s="573">
        <v>1</v>
      </c>
      <c r="W11" s="561">
        <v>17</v>
      </c>
      <c r="X11" s="561">
        <v>13</v>
      </c>
      <c r="Y11" s="572">
        <v>2</v>
      </c>
      <c r="Z11" s="573">
        <v>6</v>
      </c>
      <c r="AB11" s="561">
        <v>1</v>
      </c>
      <c r="AC11" s="798">
        <f t="shared" si="1"/>
        <v>26</v>
      </c>
      <c r="AD11" s="799">
        <f t="shared" si="1"/>
        <v>23</v>
      </c>
      <c r="AE11" s="1224">
        <f>SUM(AC11:AD11)</f>
        <v>49</v>
      </c>
    </row>
    <row r="12" spans="1:31" ht="19.5" customHeight="1">
      <c r="A12" s="578" t="s">
        <v>194</v>
      </c>
      <c r="B12" s="579" t="s">
        <v>195</v>
      </c>
      <c r="C12" s="798">
        <f t="shared" si="0"/>
        <v>0</v>
      </c>
      <c r="D12" s="799">
        <f t="shared" si="0"/>
        <v>0</v>
      </c>
      <c r="G12" s="572"/>
      <c r="H12" s="573"/>
      <c r="I12" s="572"/>
      <c r="J12" s="573"/>
      <c r="M12" s="798">
        <f t="shared" si="2"/>
        <v>4</v>
      </c>
      <c r="N12" s="799">
        <f t="shared" si="2"/>
        <v>4</v>
      </c>
      <c r="Q12" s="572"/>
      <c r="R12" s="573"/>
      <c r="U12" s="572"/>
      <c r="V12" s="573"/>
      <c r="W12" s="561">
        <v>3</v>
      </c>
      <c r="X12" s="561">
        <v>4</v>
      </c>
      <c r="Y12" s="572">
        <v>1</v>
      </c>
      <c r="Z12" s="573"/>
      <c r="AC12" s="798">
        <f t="shared" si="1"/>
        <v>4</v>
      </c>
      <c r="AD12" s="799">
        <f t="shared" si="1"/>
        <v>4</v>
      </c>
      <c r="AE12" s="1224">
        <f>SUM(AC12:AD12)</f>
        <v>8</v>
      </c>
    </row>
    <row r="13" spans="1:31" ht="20.25" customHeight="1">
      <c r="A13" s="578" t="s">
        <v>655</v>
      </c>
      <c r="B13" s="579" t="s">
        <v>656</v>
      </c>
      <c r="C13" s="798">
        <f t="shared" si="0"/>
        <v>1</v>
      </c>
      <c r="D13" s="799">
        <f t="shared" si="0"/>
        <v>2</v>
      </c>
      <c r="E13" s="561">
        <v>1</v>
      </c>
      <c r="F13" s="561">
        <v>2</v>
      </c>
      <c r="G13" s="572"/>
      <c r="H13" s="573"/>
      <c r="I13" s="572"/>
      <c r="J13" s="573"/>
      <c r="M13" s="798">
        <f t="shared" si="2"/>
        <v>20</v>
      </c>
      <c r="N13" s="799">
        <f t="shared" si="2"/>
        <v>21</v>
      </c>
      <c r="O13" s="561">
        <v>2</v>
      </c>
      <c r="P13" s="561">
        <v>1</v>
      </c>
      <c r="Q13" s="572"/>
      <c r="R13" s="573"/>
      <c r="T13" s="561">
        <v>1</v>
      </c>
      <c r="U13" s="572"/>
      <c r="V13" s="573"/>
      <c r="W13" s="561">
        <v>14</v>
      </c>
      <c r="X13" s="561">
        <v>14</v>
      </c>
      <c r="Y13" s="572">
        <v>4</v>
      </c>
      <c r="Z13" s="573">
        <v>5</v>
      </c>
      <c r="AC13" s="798">
        <f t="shared" si="1"/>
        <v>21</v>
      </c>
      <c r="AD13" s="799">
        <f t="shared" si="1"/>
        <v>23</v>
      </c>
      <c r="AE13" s="1224">
        <f>SUM(AC13:AD13)</f>
        <v>44</v>
      </c>
    </row>
    <row r="14" spans="1:31" ht="19.5" customHeight="1">
      <c r="A14" s="578" t="s">
        <v>196</v>
      </c>
      <c r="B14" s="579" t="s">
        <v>197</v>
      </c>
      <c r="C14" s="798">
        <f>+E14+G14+I14+K14</f>
        <v>8</v>
      </c>
      <c r="D14" s="799">
        <f>+F14+H14+J14+L14</f>
        <v>5</v>
      </c>
      <c r="E14" s="561">
        <v>8</v>
      </c>
      <c r="F14" s="561">
        <v>4</v>
      </c>
      <c r="G14" s="572"/>
      <c r="H14" s="573">
        <v>1</v>
      </c>
      <c r="I14" s="572"/>
      <c r="J14" s="573"/>
      <c r="M14" s="798">
        <f t="shared" si="2"/>
        <v>29</v>
      </c>
      <c r="N14" s="799">
        <f t="shared" si="2"/>
        <v>21</v>
      </c>
      <c r="O14" s="561">
        <v>10</v>
      </c>
      <c r="P14" s="561">
        <v>2</v>
      </c>
      <c r="Q14" s="572">
        <v>8</v>
      </c>
      <c r="R14" s="573"/>
      <c r="S14" s="561">
        <v>1</v>
      </c>
      <c r="U14" s="572">
        <v>1</v>
      </c>
      <c r="V14" s="573">
        <v>1</v>
      </c>
      <c r="W14" s="561">
        <v>8</v>
      </c>
      <c r="X14" s="561">
        <v>17</v>
      </c>
      <c r="Y14" s="572">
        <v>1</v>
      </c>
      <c r="Z14" s="573">
        <v>1</v>
      </c>
      <c r="AC14" s="798">
        <f>+M14+C14+AA14</f>
        <v>37</v>
      </c>
      <c r="AD14" s="799">
        <f>+N14+D14+AB14</f>
        <v>26</v>
      </c>
      <c r="AE14" s="1224">
        <f>SUM(AC14:AD14)</f>
        <v>63</v>
      </c>
    </row>
    <row r="15" spans="1:31" ht="19.5" customHeight="1">
      <c r="A15" s="578" t="s">
        <v>198</v>
      </c>
      <c r="B15" s="579" t="s">
        <v>199</v>
      </c>
      <c r="C15" s="798">
        <f t="shared" ref="C15:D29" si="3">+E15+G15+I15+K15</f>
        <v>1</v>
      </c>
      <c r="D15" s="799">
        <f t="shared" si="3"/>
        <v>0</v>
      </c>
      <c r="E15" s="561">
        <v>1</v>
      </c>
      <c r="G15" s="572"/>
      <c r="H15" s="573"/>
      <c r="I15" s="572"/>
      <c r="J15" s="573"/>
      <c r="M15" s="798">
        <f t="shared" si="2"/>
        <v>5</v>
      </c>
      <c r="N15" s="799">
        <f t="shared" si="2"/>
        <v>5</v>
      </c>
      <c r="P15" s="561">
        <v>2</v>
      </c>
      <c r="Q15" s="572"/>
      <c r="R15" s="573">
        <v>1</v>
      </c>
      <c r="U15" s="572"/>
      <c r="V15" s="573"/>
      <c r="W15" s="561">
        <v>4</v>
      </c>
      <c r="X15" s="561">
        <v>2</v>
      </c>
      <c r="Y15" s="572">
        <v>1</v>
      </c>
      <c r="Z15" s="573"/>
      <c r="AC15" s="798">
        <f t="shared" ref="AC15:AD29" si="4">+M15+C15+AA15</f>
        <v>6</v>
      </c>
      <c r="AD15" s="799">
        <f t="shared" si="4"/>
        <v>5</v>
      </c>
      <c r="AE15" s="1224">
        <f t="shared" ref="AE15:AE25" si="5">SUM(AC15:AD15)</f>
        <v>11</v>
      </c>
    </row>
    <row r="16" spans="1:31" ht="19.5" customHeight="1">
      <c r="A16" s="578" t="s">
        <v>200</v>
      </c>
      <c r="B16" s="579" t="s">
        <v>201</v>
      </c>
      <c r="C16" s="798">
        <f t="shared" si="3"/>
        <v>0</v>
      </c>
      <c r="D16" s="799">
        <f t="shared" si="3"/>
        <v>0</v>
      </c>
      <c r="G16" s="572"/>
      <c r="H16" s="573"/>
      <c r="I16" s="572"/>
      <c r="J16" s="573"/>
      <c r="M16" s="798">
        <f t="shared" si="2"/>
        <v>0</v>
      </c>
      <c r="N16" s="799">
        <f t="shared" si="2"/>
        <v>1</v>
      </c>
      <c r="Q16" s="572"/>
      <c r="R16" s="573"/>
      <c r="U16" s="572"/>
      <c r="V16" s="573"/>
      <c r="X16" s="561">
        <v>1</v>
      </c>
      <c r="Y16" s="572"/>
      <c r="Z16" s="573"/>
      <c r="AC16" s="798">
        <f t="shared" si="4"/>
        <v>0</v>
      </c>
      <c r="AD16" s="799">
        <f t="shared" si="4"/>
        <v>1</v>
      </c>
      <c r="AE16" s="1224">
        <f t="shared" si="5"/>
        <v>1</v>
      </c>
    </row>
    <row r="17" spans="1:31" ht="20.25" customHeight="1">
      <c r="A17" s="578" t="s">
        <v>638</v>
      </c>
      <c r="B17" s="579" t="s">
        <v>639</v>
      </c>
      <c r="C17" s="798">
        <f t="shared" si="3"/>
        <v>4</v>
      </c>
      <c r="D17" s="799">
        <f t="shared" si="3"/>
        <v>4</v>
      </c>
      <c r="E17" s="561">
        <v>4</v>
      </c>
      <c r="F17" s="561">
        <v>3</v>
      </c>
      <c r="G17" s="572"/>
      <c r="H17" s="573">
        <v>1</v>
      </c>
      <c r="I17" s="572"/>
      <c r="J17" s="573"/>
      <c r="M17" s="798">
        <f t="shared" si="2"/>
        <v>33</v>
      </c>
      <c r="N17" s="799">
        <f t="shared" si="2"/>
        <v>50</v>
      </c>
      <c r="O17" s="561">
        <v>3</v>
      </c>
      <c r="P17" s="561">
        <v>1</v>
      </c>
      <c r="Q17" s="572"/>
      <c r="R17" s="573"/>
      <c r="U17" s="572"/>
      <c r="V17" s="573">
        <v>1</v>
      </c>
      <c r="W17" s="561">
        <v>24</v>
      </c>
      <c r="X17" s="561">
        <v>35</v>
      </c>
      <c r="Y17" s="572">
        <v>6</v>
      </c>
      <c r="Z17" s="573">
        <v>13</v>
      </c>
      <c r="AB17" s="561">
        <v>1</v>
      </c>
      <c r="AC17" s="798">
        <f t="shared" si="4"/>
        <v>37</v>
      </c>
      <c r="AD17" s="799">
        <f t="shared" si="4"/>
        <v>55</v>
      </c>
      <c r="AE17" s="1224">
        <f t="shared" si="5"/>
        <v>92</v>
      </c>
    </row>
    <row r="18" spans="1:31" ht="19.5" customHeight="1">
      <c r="A18" s="578" t="s">
        <v>642</v>
      </c>
      <c r="B18" s="579" t="s">
        <v>643</v>
      </c>
      <c r="C18" s="798">
        <f t="shared" si="3"/>
        <v>13</v>
      </c>
      <c r="D18" s="799">
        <f t="shared" si="3"/>
        <v>12</v>
      </c>
      <c r="E18" s="561">
        <v>13</v>
      </c>
      <c r="F18" s="561">
        <v>10</v>
      </c>
      <c r="G18" s="572"/>
      <c r="H18" s="573">
        <v>1</v>
      </c>
      <c r="I18" s="572"/>
      <c r="J18" s="573"/>
      <c r="L18" s="561">
        <v>1</v>
      </c>
      <c r="M18" s="798">
        <f t="shared" si="2"/>
        <v>96</v>
      </c>
      <c r="N18" s="799">
        <f t="shared" si="2"/>
        <v>106</v>
      </c>
      <c r="O18" s="561">
        <v>13</v>
      </c>
      <c r="P18" s="561">
        <v>9</v>
      </c>
      <c r="Q18" s="572"/>
      <c r="R18" s="573">
        <v>2</v>
      </c>
      <c r="S18" s="561">
        <v>4</v>
      </c>
      <c r="U18" s="572">
        <v>6</v>
      </c>
      <c r="V18" s="573">
        <v>3</v>
      </c>
      <c r="W18" s="561">
        <v>48</v>
      </c>
      <c r="X18" s="561">
        <v>66</v>
      </c>
      <c r="Y18" s="572">
        <v>25</v>
      </c>
      <c r="Z18" s="573">
        <v>26</v>
      </c>
      <c r="AB18" s="561">
        <v>3</v>
      </c>
      <c r="AC18" s="798">
        <f t="shared" si="4"/>
        <v>109</v>
      </c>
      <c r="AD18" s="799">
        <f t="shared" si="4"/>
        <v>121</v>
      </c>
      <c r="AE18" s="1224">
        <f t="shared" si="5"/>
        <v>230</v>
      </c>
    </row>
    <row r="19" spans="1:31" ht="19.5" customHeight="1">
      <c r="A19" s="578" t="s">
        <v>647</v>
      </c>
      <c r="B19" s="579" t="s">
        <v>648</v>
      </c>
      <c r="C19" s="798">
        <f t="shared" si="3"/>
        <v>3</v>
      </c>
      <c r="D19" s="799">
        <f t="shared" si="3"/>
        <v>0</v>
      </c>
      <c r="E19" s="561">
        <v>2</v>
      </c>
      <c r="G19" s="572">
        <v>1</v>
      </c>
      <c r="H19" s="573"/>
      <c r="I19" s="572"/>
      <c r="J19" s="573"/>
      <c r="M19" s="798">
        <f t="shared" si="2"/>
        <v>35</v>
      </c>
      <c r="N19" s="799">
        <f t="shared" si="2"/>
        <v>22</v>
      </c>
      <c r="O19" s="561">
        <v>4</v>
      </c>
      <c r="Q19" s="572"/>
      <c r="R19" s="573"/>
      <c r="S19" s="561">
        <v>1</v>
      </c>
      <c r="U19" s="572">
        <v>1</v>
      </c>
      <c r="V19" s="573"/>
      <c r="W19" s="561">
        <v>25</v>
      </c>
      <c r="X19" s="561">
        <v>13</v>
      </c>
      <c r="Y19" s="572">
        <v>4</v>
      </c>
      <c r="Z19" s="573">
        <v>9</v>
      </c>
      <c r="AA19" s="561">
        <v>1</v>
      </c>
      <c r="AB19" s="561">
        <v>1</v>
      </c>
      <c r="AC19" s="798">
        <f t="shared" si="4"/>
        <v>39</v>
      </c>
      <c r="AD19" s="799">
        <f t="shared" si="4"/>
        <v>23</v>
      </c>
      <c r="AE19" s="1224">
        <f t="shared" si="5"/>
        <v>62</v>
      </c>
    </row>
    <row r="20" spans="1:31" ht="18.75" customHeight="1">
      <c r="A20" s="578" t="s">
        <v>202</v>
      </c>
      <c r="B20" s="579" t="s">
        <v>203</v>
      </c>
      <c r="C20" s="798">
        <f t="shared" si="3"/>
        <v>1</v>
      </c>
      <c r="D20" s="799">
        <f t="shared" si="3"/>
        <v>1</v>
      </c>
      <c r="F20" s="561">
        <v>1</v>
      </c>
      <c r="G20" s="572">
        <v>1</v>
      </c>
      <c r="H20" s="573"/>
      <c r="I20" s="572"/>
      <c r="J20" s="573"/>
      <c r="M20" s="798">
        <f t="shared" si="2"/>
        <v>38</v>
      </c>
      <c r="N20" s="799">
        <f t="shared" si="2"/>
        <v>29</v>
      </c>
      <c r="O20" s="561">
        <v>2</v>
      </c>
      <c r="P20" s="561">
        <v>1</v>
      </c>
      <c r="Q20" s="572"/>
      <c r="R20" s="573"/>
      <c r="U20" s="572">
        <v>2</v>
      </c>
      <c r="V20" s="573">
        <v>1</v>
      </c>
      <c r="W20" s="561">
        <v>26</v>
      </c>
      <c r="X20" s="561">
        <v>24</v>
      </c>
      <c r="Y20" s="572">
        <v>8</v>
      </c>
      <c r="Z20" s="573">
        <v>3</v>
      </c>
      <c r="AB20" s="561">
        <v>1</v>
      </c>
      <c r="AC20" s="798">
        <f t="shared" si="4"/>
        <v>39</v>
      </c>
      <c r="AD20" s="799">
        <f t="shared" si="4"/>
        <v>31</v>
      </c>
      <c r="AE20" s="1224">
        <f t="shared" si="5"/>
        <v>70</v>
      </c>
    </row>
    <row r="21" spans="1:31" ht="19.5" customHeight="1">
      <c r="A21" s="578" t="s">
        <v>204</v>
      </c>
      <c r="B21" s="579" t="s">
        <v>205</v>
      </c>
      <c r="C21" s="798">
        <f t="shared" si="3"/>
        <v>0</v>
      </c>
      <c r="D21" s="799">
        <f t="shared" si="3"/>
        <v>0</v>
      </c>
      <c r="G21" s="572"/>
      <c r="H21" s="573"/>
      <c r="I21" s="572"/>
      <c r="J21" s="573"/>
      <c r="M21" s="798">
        <f t="shared" si="2"/>
        <v>3</v>
      </c>
      <c r="N21" s="799">
        <f t="shared" si="2"/>
        <v>4</v>
      </c>
      <c r="Q21" s="572"/>
      <c r="R21" s="573"/>
      <c r="S21" s="561">
        <v>1</v>
      </c>
      <c r="U21" s="572"/>
      <c r="V21" s="573"/>
      <c r="W21" s="561">
        <v>2</v>
      </c>
      <c r="X21" s="561">
        <v>4</v>
      </c>
      <c r="Y21" s="572"/>
      <c r="Z21" s="573"/>
      <c r="AC21" s="798">
        <f t="shared" si="4"/>
        <v>3</v>
      </c>
      <c r="AD21" s="799">
        <f t="shared" si="4"/>
        <v>4</v>
      </c>
      <c r="AE21" s="1224">
        <f t="shared" si="5"/>
        <v>7</v>
      </c>
    </row>
    <row r="22" spans="1:31" ht="19.5" customHeight="1">
      <c r="A22" s="578" t="s">
        <v>649</v>
      </c>
      <c r="B22" s="579" t="s">
        <v>650</v>
      </c>
      <c r="C22" s="798">
        <f t="shared" si="3"/>
        <v>4</v>
      </c>
      <c r="D22" s="799">
        <f t="shared" si="3"/>
        <v>6</v>
      </c>
      <c r="E22" s="561">
        <v>4</v>
      </c>
      <c r="F22" s="561">
        <v>5</v>
      </c>
      <c r="G22" s="572"/>
      <c r="H22" s="573"/>
      <c r="I22" s="572"/>
      <c r="J22" s="573"/>
      <c r="L22" s="561">
        <v>1</v>
      </c>
      <c r="M22" s="798">
        <f t="shared" si="2"/>
        <v>63</v>
      </c>
      <c r="N22" s="799">
        <f t="shared" si="2"/>
        <v>82</v>
      </c>
      <c r="O22" s="561">
        <v>4</v>
      </c>
      <c r="P22" s="561">
        <v>4</v>
      </c>
      <c r="Q22" s="572">
        <v>1</v>
      </c>
      <c r="R22" s="573"/>
      <c r="S22" s="561">
        <v>2</v>
      </c>
      <c r="U22" s="572">
        <v>3</v>
      </c>
      <c r="V22" s="573">
        <v>3</v>
      </c>
      <c r="W22" s="561">
        <v>35</v>
      </c>
      <c r="X22" s="561">
        <v>55</v>
      </c>
      <c r="Y22" s="572">
        <v>18</v>
      </c>
      <c r="Z22" s="573">
        <v>20</v>
      </c>
      <c r="AB22" s="561">
        <v>2</v>
      </c>
      <c r="AC22" s="798">
        <f t="shared" si="4"/>
        <v>67</v>
      </c>
      <c r="AD22" s="799">
        <f t="shared" si="4"/>
        <v>90</v>
      </c>
      <c r="AE22" s="1224">
        <f t="shared" si="5"/>
        <v>157</v>
      </c>
    </row>
    <row r="23" spans="1:31" ht="18.75" customHeight="1">
      <c r="A23" s="578" t="s">
        <v>206</v>
      </c>
      <c r="B23" s="579" t="s">
        <v>207</v>
      </c>
      <c r="C23" s="798">
        <f t="shared" si="3"/>
        <v>0</v>
      </c>
      <c r="D23" s="799">
        <f t="shared" si="3"/>
        <v>0</v>
      </c>
      <c r="G23" s="572"/>
      <c r="H23" s="573"/>
      <c r="I23" s="572"/>
      <c r="J23" s="573"/>
      <c r="M23" s="798">
        <f t="shared" si="2"/>
        <v>0</v>
      </c>
      <c r="N23" s="799">
        <f t="shared" si="2"/>
        <v>0</v>
      </c>
      <c r="Q23" s="572"/>
      <c r="R23" s="573"/>
      <c r="U23" s="572"/>
      <c r="V23" s="573"/>
      <c r="Y23" s="572"/>
      <c r="Z23" s="573"/>
      <c r="AC23" s="798">
        <f t="shared" si="4"/>
        <v>0</v>
      </c>
      <c r="AD23" s="799">
        <f t="shared" si="4"/>
        <v>0</v>
      </c>
      <c r="AE23" s="1224">
        <f t="shared" si="5"/>
        <v>0</v>
      </c>
    </row>
    <row r="24" spans="1:31" ht="19.5" customHeight="1">
      <c r="A24" s="578" t="s">
        <v>657</v>
      </c>
      <c r="B24" s="579" t="s">
        <v>658</v>
      </c>
      <c r="C24" s="798">
        <f t="shared" si="3"/>
        <v>0</v>
      </c>
      <c r="D24" s="799">
        <f t="shared" si="3"/>
        <v>0</v>
      </c>
      <c r="G24" s="572"/>
      <c r="H24" s="573"/>
      <c r="I24" s="572"/>
      <c r="J24" s="573"/>
      <c r="M24" s="798">
        <f t="shared" si="2"/>
        <v>0</v>
      </c>
      <c r="N24" s="799">
        <f t="shared" si="2"/>
        <v>0</v>
      </c>
      <c r="Q24" s="572"/>
      <c r="R24" s="573"/>
      <c r="U24" s="572"/>
      <c r="V24" s="573"/>
      <c r="Y24" s="572"/>
      <c r="Z24" s="573"/>
      <c r="AC24" s="798">
        <f t="shared" si="4"/>
        <v>0</v>
      </c>
      <c r="AD24" s="799">
        <f t="shared" si="4"/>
        <v>0</v>
      </c>
      <c r="AE24" s="1224">
        <f t="shared" si="5"/>
        <v>0</v>
      </c>
    </row>
    <row r="25" spans="1:31" ht="20.25" customHeight="1">
      <c r="A25" s="578" t="s">
        <v>659</v>
      </c>
      <c r="B25" s="579" t="s">
        <v>660</v>
      </c>
      <c r="C25" s="798">
        <f t="shared" si="3"/>
        <v>0</v>
      </c>
      <c r="D25" s="799">
        <f t="shared" si="3"/>
        <v>0</v>
      </c>
      <c r="G25" s="572"/>
      <c r="H25" s="573"/>
      <c r="I25" s="572"/>
      <c r="J25" s="573"/>
      <c r="M25" s="798">
        <f t="shared" si="2"/>
        <v>0</v>
      </c>
      <c r="N25" s="799">
        <f t="shared" si="2"/>
        <v>0</v>
      </c>
      <c r="Q25" s="572"/>
      <c r="R25" s="573"/>
      <c r="U25" s="572"/>
      <c r="V25" s="573"/>
      <c r="Y25" s="572"/>
      <c r="Z25" s="573"/>
      <c r="AC25" s="798">
        <f t="shared" si="4"/>
        <v>0</v>
      </c>
      <c r="AD25" s="799">
        <f t="shared" si="4"/>
        <v>0</v>
      </c>
      <c r="AE25" s="1224">
        <f t="shared" si="5"/>
        <v>0</v>
      </c>
    </row>
    <row r="26" spans="1:31" ht="21.75" customHeight="1">
      <c r="A26" s="578" t="s">
        <v>653</v>
      </c>
      <c r="B26" s="579" t="s">
        <v>673</v>
      </c>
      <c r="C26" s="798">
        <f t="shared" si="3"/>
        <v>1</v>
      </c>
      <c r="D26" s="799">
        <f t="shared" si="3"/>
        <v>0</v>
      </c>
      <c r="G26" s="572">
        <v>1</v>
      </c>
      <c r="H26" s="573"/>
      <c r="I26" s="572"/>
      <c r="J26" s="573"/>
      <c r="M26" s="798">
        <f t="shared" si="2"/>
        <v>13</v>
      </c>
      <c r="N26" s="799">
        <f t="shared" si="2"/>
        <v>9</v>
      </c>
      <c r="O26" s="561">
        <v>1</v>
      </c>
      <c r="P26" s="561">
        <v>1</v>
      </c>
      <c r="Q26" s="572"/>
      <c r="R26" s="573"/>
      <c r="U26" s="572"/>
      <c r="V26" s="573"/>
      <c r="W26" s="561">
        <v>10</v>
      </c>
      <c r="X26" s="561">
        <v>7</v>
      </c>
      <c r="Y26" s="572">
        <v>2</v>
      </c>
      <c r="Z26" s="573">
        <v>1</v>
      </c>
      <c r="AA26" s="561">
        <v>1</v>
      </c>
      <c r="AC26" s="798">
        <f t="shared" si="4"/>
        <v>15</v>
      </c>
      <c r="AD26" s="799">
        <f t="shared" si="4"/>
        <v>9</v>
      </c>
      <c r="AE26" s="1224">
        <f>SUM(AC26:AD26)</f>
        <v>24</v>
      </c>
    </row>
    <row r="27" spans="1:31" ht="21.75" customHeight="1">
      <c r="A27" s="535" t="s">
        <v>645</v>
      </c>
      <c r="B27" s="539" t="s">
        <v>208</v>
      </c>
      <c r="C27" s="798">
        <f t="shared" si="3"/>
        <v>5</v>
      </c>
      <c r="D27" s="799">
        <f t="shared" si="3"/>
        <v>4</v>
      </c>
      <c r="E27" s="561">
        <v>5</v>
      </c>
      <c r="F27" s="561">
        <v>3</v>
      </c>
      <c r="G27" s="572"/>
      <c r="H27" s="573"/>
      <c r="I27" s="572"/>
      <c r="J27" s="573">
        <v>1</v>
      </c>
      <c r="M27" s="798">
        <f t="shared" ref="M27:N29" si="6">+O27+Q27+S27+U27+W27+Y27</f>
        <v>24</v>
      </c>
      <c r="N27" s="799">
        <f t="shared" si="6"/>
        <v>23</v>
      </c>
      <c r="P27" s="561">
        <v>4</v>
      </c>
      <c r="Q27" s="572"/>
      <c r="R27" s="573"/>
      <c r="T27" s="561">
        <v>1</v>
      </c>
      <c r="U27" s="572">
        <v>1</v>
      </c>
      <c r="V27" s="573"/>
      <c r="W27" s="561">
        <v>21</v>
      </c>
      <c r="X27" s="561">
        <v>13</v>
      </c>
      <c r="Y27" s="572">
        <v>2</v>
      </c>
      <c r="Z27" s="573">
        <v>5</v>
      </c>
      <c r="AA27" s="561">
        <v>2</v>
      </c>
      <c r="AC27" s="798">
        <f t="shared" si="4"/>
        <v>31</v>
      </c>
      <c r="AD27" s="799">
        <f t="shared" si="4"/>
        <v>27</v>
      </c>
      <c r="AE27" s="1224">
        <f>SUM(AC27:AD27)</f>
        <v>58</v>
      </c>
    </row>
    <row r="28" spans="1:31" ht="21.75" customHeight="1">
      <c r="A28" s="181" t="s">
        <v>1437</v>
      </c>
      <c r="B28" s="211" t="s">
        <v>1439</v>
      </c>
      <c r="C28" s="798">
        <f t="shared" si="3"/>
        <v>3</v>
      </c>
      <c r="D28" s="799">
        <f t="shared" si="3"/>
        <v>0</v>
      </c>
      <c r="E28" s="561">
        <v>2</v>
      </c>
      <c r="G28" s="572">
        <v>1</v>
      </c>
      <c r="H28" s="573"/>
      <c r="I28" s="572"/>
      <c r="J28" s="573"/>
      <c r="M28" s="798">
        <f t="shared" si="6"/>
        <v>14</v>
      </c>
      <c r="N28" s="799">
        <f t="shared" si="6"/>
        <v>6</v>
      </c>
      <c r="O28" s="561">
        <v>2</v>
      </c>
      <c r="P28" s="561">
        <v>1</v>
      </c>
      <c r="Q28" s="572"/>
      <c r="R28" s="573"/>
      <c r="U28" s="572">
        <v>1</v>
      </c>
      <c r="V28" s="573"/>
      <c r="W28" s="561">
        <v>7</v>
      </c>
      <c r="X28" s="561">
        <v>3</v>
      </c>
      <c r="Y28" s="572">
        <v>4</v>
      </c>
      <c r="Z28" s="573">
        <v>2</v>
      </c>
      <c r="AC28" s="798">
        <f t="shared" si="4"/>
        <v>17</v>
      </c>
      <c r="AD28" s="799">
        <f t="shared" si="4"/>
        <v>6</v>
      </c>
      <c r="AE28" s="1224">
        <f>SUM(AC28:AD28)</f>
        <v>23</v>
      </c>
    </row>
    <row r="29" spans="1:31" ht="27.75" customHeight="1">
      <c r="A29" s="181" t="s">
        <v>1438</v>
      </c>
      <c r="B29" s="211" t="s">
        <v>1440</v>
      </c>
      <c r="C29" s="798">
        <f t="shared" si="3"/>
        <v>1</v>
      </c>
      <c r="D29" s="799">
        <f t="shared" si="3"/>
        <v>0</v>
      </c>
      <c r="E29" s="561">
        <v>1</v>
      </c>
      <c r="G29" s="572"/>
      <c r="H29" s="573"/>
      <c r="I29" s="572"/>
      <c r="J29" s="573"/>
      <c r="M29" s="798">
        <f t="shared" si="6"/>
        <v>2</v>
      </c>
      <c r="N29" s="799">
        <f t="shared" si="6"/>
        <v>3</v>
      </c>
      <c r="O29" s="561">
        <v>1</v>
      </c>
      <c r="Q29" s="572"/>
      <c r="R29" s="573"/>
      <c r="U29" s="572"/>
      <c r="V29" s="573"/>
      <c r="W29" s="561">
        <v>1</v>
      </c>
      <c r="X29" s="561">
        <v>1</v>
      </c>
      <c r="Y29" s="572"/>
      <c r="Z29" s="573">
        <v>2</v>
      </c>
      <c r="AC29" s="798">
        <f t="shared" si="4"/>
        <v>3</v>
      </c>
      <c r="AD29" s="799">
        <f t="shared" si="4"/>
        <v>3</v>
      </c>
      <c r="AE29" s="1224">
        <f>SUM(AC29:AD29)</f>
        <v>6</v>
      </c>
    </row>
    <row r="30" spans="1:31" ht="21.75" customHeight="1" thickBot="1">
      <c r="A30" s="580"/>
      <c r="B30" s="580" t="s">
        <v>767</v>
      </c>
      <c r="C30" s="1214">
        <f>SUM(C10:C29)</f>
        <v>50</v>
      </c>
      <c r="D30" s="1215">
        <f>SUM(D10:D29)</f>
        <v>37</v>
      </c>
      <c r="E30" s="1216">
        <f>SUM(E10:E29)</f>
        <v>46</v>
      </c>
      <c r="F30" s="1216">
        <f t="shared" ref="F30:AE30" si="7">SUM(F10:F29)</f>
        <v>31</v>
      </c>
      <c r="G30" s="1217">
        <f t="shared" si="7"/>
        <v>4</v>
      </c>
      <c r="H30" s="789">
        <f t="shared" si="7"/>
        <v>3</v>
      </c>
      <c r="I30" s="1217">
        <f t="shared" si="7"/>
        <v>0</v>
      </c>
      <c r="J30" s="789">
        <f t="shared" si="7"/>
        <v>1</v>
      </c>
      <c r="K30" s="1216">
        <f t="shared" si="7"/>
        <v>0</v>
      </c>
      <c r="L30" s="1216">
        <f t="shared" si="7"/>
        <v>2</v>
      </c>
      <c r="M30" s="1214">
        <f t="shared" si="7"/>
        <v>413</v>
      </c>
      <c r="N30" s="1215">
        <f t="shared" si="7"/>
        <v>428</v>
      </c>
      <c r="O30" s="1216">
        <f t="shared" si="7"/>
        <v>46</v>
      </c>
      <c r="P30" s="1216">
        <f t="shared" si="7"/>
        <v>27</v>
      </c>
      <c r="Q30" s="1217">
        <f t="shared" si="7"/>
        <v>9</v>
      </c>
      <c r="R30" s="789">
        <f t="shared" si="7"/>
        <v>3</v>
      </c>
      <c r="S30" s="1216">
        <f t="shared" si="7"/>
        <v>9</v>
      </c>
      <c r="T30" s="1216">
        <f t="shared" si="7"/>
        <v>2</v>
      </c>
      <c r="U30" s="1217">
        <f t="shared" si="7"/>
        <v>19</v>
      </c>
      <c r="V30" s="789">
        <f t="shared" si="7"/>
        <v>11</v>
      </c>
      <c r="W30" s="1216">
        <f t="shared" si="7"/>
        <v>250</v>
      </c>
      <c r="X30" s="1216">
        <f t="shared" si="7"/>
        <v>287</v>
      </c>
      <c r="Y30" s="1217">
        <f t="shared" si="7"/>
        <v>80</v>
      </c>
      <c r="Z30" s="789">
        <f t="shared" si="7"/>
        <v>98</v>
      </c>
      <c r="AA30" s="1216">
        <f t="shared" si="7"/>
        <v>5</v>
      </c>
      <c r="AB30" s="1216">
        <f t="shared" si="7"/>
        <v>10</v>
      </c>
      <c r="AC30" s="1214">
        <f t="shared" si="7"/>
        <v>468</v>
      </c>
      <c r="AD30" s="1215">
        <f t="shared" si="7"/>
        <v>475</v>
      </c>
      <c r="AE30" s="1218">
        <f t="shared" si="7"/>
        <v>943</v>
      </c>
    </row>
    <row r="31" spans="1:31" ht="21.75" customHeight="1">
      <c r="A31" s="563"/>
      <c r="B31" s="563"/>
      <c r="C31" s="563"/>
      <c r="D31" s="563"/>
      <c r="E31" s="563"/>
      <c r="F31" s="563"/>
      <c r="G31" s="563"/>
      <c r="H31" s="563"/>
      <c r="I31" s="563"/>
      <c r="J31" s="563"/>
      <c r="K31" s="563"/>
      <c r="L31" s="563"/>
      <c r="M31" s="563"/>
      <c r="N31" s="563"/>
      <c r="O31" s="563"/>
      <c r="P31" s="563"/>
      <c r="Q31" s="563"/>
      <c r="R31" s="563"/>
      <c r="S31" s="563"/>
      <c r="T31" s="563"/>
      <c r="U31" s="563"/>
      <c r="V31" s="563"/>
      <c r="W31" s="563"/>
      <c r="X31" s="563"/>
      <c r="Y31" s="569"/>
      <c r="Z31" s="569"/>
    </row>
    <row r="32" spans="1:31">
      <c r="A32" s="1646" t="s">
        <v>209</v>
      </c>
      <c r="B32" s="1646"/>
      <c r="C32" s="1646"/>
      <c r="D32" s="1646"/>
      <c r="E32" s="1646"/>
      <c r="F32" s="1646"/>
      <c r="G32" s="1646"/>
      <c r="H32" s="1646"/>
      <c r="I32" s="1646"/>
      <c r="J32" s="1646"/>
      <c r="K32" s="1646"/>
      <c r="L32" s="1646"/>
      <c r="M32" s="1646"/>
      <c r="N32" s="1646"/>
      <c r="O32" s="1646"/>
      <c r="P32" s="1646"/>
      <c r="Q32" s="1646"/>
      <c r="R32" s="1646"/>
      <c r="S32" s="1646"/>
      <c r="T32" s="1646"/>
      <c r="U32" s="1646"/>
      <c r="V32" s="1646"/>
      <c r="W32" s="1646"/>
      <c r="X32" s="570"/>
      <c r="Y32" s="563"/>
      <c r="Z32" s="563"/>
    </row>
    <row r="33" spans="1:25">
      <c r="A33" s="570"/>
      <c r="B33" s="570"/>
      <c r="C33" s="571"/>
      <c r="D33" s="571"/>
      <c r="E33" s="571"/>
      <c r="F33" s="571"/>
      <c r="G33" s="571"/>
      <c r="H33" s="571"/>
      <c r="I33" s="571"/>
      <c r="J33" s="571"/>
    </row>
    <row r="34" spans="1:25">
      <c r="A34" s="1646" t="str">
        <f>+A3</f>
        <v>SERVICIO DE SALUD   ACONCAGUA   2023</v>
      </c>
      <c r="B34" s="1646"/>
      <c r="C34" s="1646"/>
      <c r="D34" s="1646"/>
      <c r="E34" s="1646"/>
      <c r="F34" s="1646"/>
      <c r="G34" s="1646"/>
      <c r="H34" s="1646"/>
      <c r="I34" s="1646"/>
      <c r="J34" s="1646"/>
      <c r="K34" s="1646"/>
      <c r="L34" s="1646"/>
      <c r="M34" s="1646"/>
      <c r="N34" s="1646"/>
      <c r="O34" s="1646"/>
      <c r="P34" s="1646"/>
      <c r="Q34" s="1646"/>
      <c r="R34" s="1646"/>
      <c r="S34" s="1646"/>
      <c r="T34" s="1646"/>
      <c r="U34" s="1646"/>
      <c r="V34" s="1646"/>
      <c r="W34" s="1646"/>
      <c r="X34" s="570"/>
    </row>
    <row r="35" spans="1:25" ht="15.75" customHeight="1">
      <c r="A35" s="570"/>
      <c r="B35" s="570"/>
      <c r="C35" s="571"/>
      <c r="D35" s="571"/>
      <c r="E35" s="571"/>
      <c r="F35" s="571"/>
      <c r="G35" s="571"/>
      <c r="H35" s="571"/>
      <c r="I35" s="571"/>
      <c r="J35" s="571"/>
    </row>
    <row r="36" spans="1:25">
      <c r="A36" s="1646" t="s">
        <v>215</v>
      </c>
      <c r="B36" s="1646"/>
      <c r="C36" s="1646"/>
      <c r="D36" s="1646"/>
      <c r="E36" s="1646"/>
      <c r="F36" s="1646"/>
      <c r="G36" s="1646"/>
      <c r="H36" s="1646"/>
      <c r="I36" s="1646"/>
      <c r="J36" s="1646"/>
      <c r="K36" s="1646"/>
      <c r="L36" s="1646"/>
      <c r="M36" s="1646"/>
      <c r="N36" s="1646"/>
      <c r="O36" s="1646"/>
      <c r="P36" s="1646"/>
      <c r="Q36" s="1646"/>
      <c r="R36" s="1646"/>
      <c r="S36" s="1646"/>
      <c r="T36" s="1646"/>
      <c r="U36" s="1646"/>
      <c r="V36" s="1646"/>
      <c r="W36" s="1646"/>
      <c r="X36" s="570"/>
    </row>
    <row r="38" spans="1:25" ht="21.75" customHeight="1">
      <c r="A38" s="1454" t="s">
        <v>627</v>
      </c>
      <c r="B38" s="1455"/>
      <c r="C38" s="1634" t="s">
        <v>661</v>
      </c>
      <c r="D38" s="1635"/>
      <c r="E38" s="1635"/>
      <c r="F38" s="1635"/>
      <c r="G38" s="1635"/>
      <c r="H38" s="1635"/>
      <c r="I38" s="1635"/>
      <c r="J38" s="1635"/>
      <c r="K38" s="1635"/>
      <c r="L38" s="1635"/>
      <c r="M38" s="1635"/>
      <c r="N38" s="1635"/>
      <c r="O38" s="1635"/>
      <c r="P38" s="1635"/>
      <c r="Q38" s="1635"/>
      <c r="R38" s="1635"/>
      <c r="S38" s="1635"/>
      <c r="T38" s="1635"/>
      <c r="U38" s="1635"/>
      <c r="V38" s="1635"/>
      <c r="W38" s="1457"/>
      <c r="X38" s="1457"/>
      <c r="Y38" s="1458"/>
    </row>
    <row r="39" spans="1:25" ht="23.25" customHeight="1">
      <c r="A39" s="1459" t="s">
        <v>629</v>
      </c>
      <c r="B39" s="1460" t="s">
        <v>630</v>
      </c>
      <c r="C39" s="1632" t="s">
        <v>663</v>
      </c>
      <c r="D39" s="1632"/>
      <c r="E39" s="1632" t="s">
        <v>664</v>
      </c>
      <c r="F39" s="1632"/>
      <c r="G39" s="1632" t="s">
        <v>665</v>
      </c>
      <c r="H39" s="1632"/>
      <c r="I39" s="1632" t="s">
        <v>666</v>
      </c>
      <c r="J39" s="1632"/>
      <c r="K39" s="1632" t="s">
        <v>667</v>
      </c>
      <c r="L39" s="1632"/>
      <c r="M39" s="1632" t="s">
        <v>668</v>
      </c>
      <c r="N39" s="1632"/>
      <c r="O39" s="1632" t="s">
        <v>669</v>
      </c>
      <c r="P39" s="1632"/>
      <c r="Q39" s="1632" t="s">
        <v>670</v>
      </c>
      <c r="R39" s="1632"/>
      <c r="S39" s="1632" t="s">
        <v>671</v>
      </c>
      <c r="T39" s="1632"/>
      <c r="U39" s="1632" t="s">
        <v>672</v>
      </c>
      <c r="V39" s="1632"/>
      <c r="W39" s="1632" t="s">
        <v>474</v>
      </c>
      <c r="X39" s="1632"/>
      <c r="Y39" s="1632"/>
    </row>
    <row r="40" spans="1:25">
      <c r="A40" s="1461"/>
      <c r="B40" s="1462"/>
      <c r="C40" s="1083" t="s">
        <v>1301</v>
      </c>
      <c r="D40" s="1084" t="s">
        <v>1302</v>
      </c>
      <c r="E40" s="1082" t="s">
        <v>1301</v>
      </c>
      <c r="F40" s="1084" t="s">
        <v>1302</v>
      </c>
      <c r="G40" s="1082" t="s">
        <v>1301</v>
      </c>
      <c r="H40" s="1084" t="s">
        <v>1302</v>
      </c>
      <c r="I40" s="1082" t="s">
        <v>1301</v>
      </c>
      <c r="J40" s="1084" t="s">
        <v>1302</v>
      </c>
      <c r="K40" s="1082" t="s">
        <v>1301</v>
      </c>
      <c r="L40" s="1084" t="s">
        <v>1302</v>
      </c>
      <c r="M40" s="1082" t="s">
        <v>1301</v>
      </c>
      <c r="N40" s="1084" t="s">
        <v>1302</v>
      </c>
      <c r="O40" s="1082" t="s">
        <v>1301</v>
      </c>
      <c r="P40" s="1084" t="s">
        <v>1302</v>
      </c>
      <c r="Q40" s="1082" t="s">
        <v>1301</v>
      </c>
      <c r="R40" s="1084" t="s">
        <v>1302</v>
      </c>
      <c r="S40" s="1082" t="s">
        <v>1301</v>
      </c>
      <c r="T40" s="1084" t="s">
        <v>1302</v>
      </c>
      <c r="U40" s="1082" t="s">
        <v>1301</v>
      </c>
      <c r="V40" s="1084" t="s">
        <v>1302</v>
      </c>
      <c r="W40" s="1082" t="s">
        <v>1301</v>
      </c>
      <c r="X40" s="1084" t="s">
        <v>1302</v>
      </c>
      <c r="Y40" s="1463" t="s">
        <v>448</v>
      </c>
    </row>
    <row r="41" spans="1:25" ht="20.25" customHeight="1">
      <c r="A41" s="578" t="s">
        <v>651</v>
      </c>
      <c r="B41" s="579" t="s">
        <v>652</v>
      </c>
      <c r="E41" s="785"/>
      <c r="F41" s="531"/>
      <c r="I41" s="572"/>
      <c r="J41" s="573"/>
      <c r="M41" s="572"/>
      <c r="N41" s="573"/>
      <c r="Q41" s="785">
        <v>3</v>
      </c>
      <c r="R41" s="531">
        <v>3</v>
      </c>
      <c r="S41" s="561">
        <v>7</v>
      </c>
      <c r="T41" s="561">
        <v>3</v>
      </c>
      <c r="U41" s="785">
        <v>4</v>
      </c>
      <c r="V41" s="531">
        <v>18</v>
      </c>
      <c r="W41" s="785">
        <f>+C41+E41+G41+I41+K41+M41+O41+Q41+S41+U41</f>
        <v>14</v>
      </c>
      <c r="X41" s="531">
        <f>+D41+F41+H41+J41+L41+N41+P41+R41+T41+V41</f>
        <v>24</v>
      </c>
      <c r="Y41" s="573">
        <f>SUM(W41:X41)</f>
        <v>38</v>
      </c>
    </row>
    <row r="42" spans="1:25" ht="19.5" customHeight="1">
      <c r="A42" s="578" t="s">
        <v>640</v>
      </c>
      <c r="B42" s="579" t="s">
        <v>641</v>
      </c>
      <c r="E42" s="572"/>
      <c r="F42" s="573"/>
      <c r="I42" s="572"/>
      <c r="J42" s="573"/>
      <c r="M42" s="572"/>
      <c r="N42" s="573"/>
      <c r="Q42" s="572"/>
      <c r="R42" s="573"/>
      <c r="S42" s="561">
        <v>10</v>
      </c>
      <c r="T42" s="561">
        <v>6</v>
      </c>
      <c r="U42" s="572">
        <v>16</v>
      </c>
      <c r="V42" s="573">
        <v>17</v>
      </c>
      <c r="W42" s="572">
        <f>+C42+E42+G42+I42+K42+M42+O42+Q42+S42+U42</f>
        <v>26</v>
      </c>
      <c r="X42" s="573">
        <f>+D42+F42+H42+J42+L42+N42+P42+R42+T42+V42</f>
        <v>23</v>
      </c>
      <c r="Y42" s="573">
        <f>SUM(W42:X42)</f>
        <v>49</v>
      </c>
    </row>
    <row r="43" spans="1:25" ht="18" customHeight="1">
      <c r="A43" s="578" t="s">
        <v>194</v>
      </c>
      <c r="B43" s="579" t="s">
        <v>195</v>
      </c>
      <c r="E43" s="572"/>
      <c r="F43" s="573"/>
      <c r="I43" s="572"/>
      <c r="J43" s="573"/>
      <c r="M43" s="572"/>
      <c r="N43" s="573"/>
      <c r="Q43" s="572">
        <v>1</v>
      </c>
      <c r="R43" s="573">
        <v>1</v>
      </c>
      <c r="S43" s="561">
        <v>1</v>
      </c>
      <c r="T43" s="561">
        <v>1</v>
      </c>
      <c r="U43" s="572">
        <v>2</v>
      </c>
      <c r="V43" s="573">
        <v>2</v>
      </c>
      <c r="W43" s="572">
        <f t="shared" ref="W43:X60" si="8">+C43+E43+G43+I43+K43+M43+O43+Q43+S43+U43</f>
        <v>4</v>
      </c>
      <c r="X43" s="573">
        <f t="shared" si="8"/>
        <v>4</v>
      </c>
      <c r="Y43" s="573">
        <f>SUM(W43:X43)</f>
        <v>8</v>
      </c>
    </row>
    <row r="44" spans="1:25" ht="19.5" customHeight="1">
      <c r="A44" s="578" t="s">
        <v>655</v>
      </c>
      <c r="B44" s="579" t="s">
        <v>656</v>
      </c>
      <c r="E44" s="572"/>
      <c r="F44" s="573"/>
      <c r="I44" s="572"/>
      <c r="J44" s="573"/>
      <c r="M44" s="572"/>
      <c r="N44" s="573"/>
      <c r="Q44" s="572">
        <v>3</v>
      </c>
      <c r="R44" s="573">
        <v>2</v>
      </c>
      <c r="S44" s="561">
        <v>5</v>
      </c>
      <c r="T44" s="561">
        <v>7</v>
      </c>
      <c r="U44" s="572">
        <v>13</v>
      </c>
      <c r="V44" s="573">
        <v>14</v>
      </c>
      <c r="W44" s="572">
        <f t="shared" si="8"/>
        <v>21</v>
      </c>
      <c r="X44" s="573">
        <f t="shared" si="8"/>
        <v>23</v>
      </c>
      <c r="Y44" s="573">
        <f>SUM(W44:X44)</f>
        <v>44</v>
      </c>
    </row>
    <row r="45" spans="1:25" ht="19.5" customHeight="1">
      <c r="A45" s="578" t="s">
        <v>196</v>
      </c>
      <c r="B45" s="579" t="s">
        <v>197</v>
      </c>
      <c r="E45" s="1225"/>
      <c r="F45" s="1226"/>
      <c r="I45" s="572"/>
      <c r="J45" s="573"/>
      <c r="M45" s="572">
        <v>1</v>
      </c>
      <c r="N45" s="573"/>
      <c r="O45" s="561">
        <v>3</v>
      </c>
      <c r="P45" s="561">
        <v>3</v>
      </c>
      <c r="Q45" s="572">
        <v>18</v>
      </c>
      <c r="R45" s="573">
        <v>12</v>
      </c>
      <c r="S45" s="561">
        <v>14</v>
      </c>
      <c r="T45" s="561">
        <v>5</v>
      </c>
      <c r="U45" s="572">
        <v>1</v>
      </c>
      <c r="V45" s="573">
        <v>6</v>
      </c>
      <c r="W45" s="572">
        <f t="shared" si="8"/>
        <v>37</v>
      </c>
      <c r="X45" s="573">
        <f t="shared" si="8"/>
        <v>26</v>
      </c>
      <c r="Y45" s="573">
        <f>SUM(W45:X45)</f>
        <v>63</v>
      </c>
    </row>
    <row r="46" spans="1:25" ht="19.5" customHeight="1">
      <c r="A46" s="578" t="s">
        <v>198</v>
      </c>
      <c r="B46" s="579" t="s">
        <v>199</v>
      </c>
      <c r="E46" s="572"/>
      <c r="F46" s="573"/>
      <c r="I46" s="572"/>
      <c r="J46" s="573"/>
      <c r="M46" s="572"/>
      <c r="N46" s="573"/>
      <c r="Q46" s="572"/>
      <c r="R46" s="573"/>
      <c r="S46" s="561">
        <v>3</v>
      </c>
      <c r="U46" s="572">
        <v>3</v>
      </c>
      <c r="V46" s="573">
        <v>5</v>
      </c>
      <c r="W46" s="572">
        <f t="shared" si="8"/>
        <v>6</v>
      </c>
      <c r="X46" s="573">
        <f t="shared" si="8"/>
        <v>5</v>
      </c>
      <c r="Y46" s="573">
        <f t="shared" ref="Y46:Y60" si="9">SUM(W46:X46)</f>
        <v>11</v>
      </c>
    </row>
    <row r="47" spans="1:25" ht="19.5" customHeight="1">
      <c r="A47" s="578" t="s">
        <v>200</v>
      </c>
      <c r="B47" s="579" t="s">
        <v>201</v>
      </c>
      <c r="E47" s="572"/>
      <c r="F47" s="573"/>
      <c r="I47" s="572"/>
      <c r="J47" s="573"/>
      <c r="M47" s="572"/>
      <c r="N47" s="573"/>
      <c r="Q47" s="572"/>
      <c r="R47" s="573"/>
      <c r="U47" s="572"/>
      <c r="V47" s="573">
        <v>1</v>
      </c>
      <c r="W47" s="572">
        <f t="shared" si="8"/>
        <v>0</v>
      </c>
      <c r="X47" s="573">
        <f t="shared" si="8"/>
        <v>1</v>
      </c>
      <c r="Y47" s="573">
        <f t="shared" si="9"/>
        <v>1</v>
      </c>
    </row>
    <row r="48" spans="1:25" ht="18" customHeight="1">
      <c r="A48" s="578" t="s">
        <v>638</v>
      </c>
      <c r="B48" s="579" t="s">
        <v>639</v>
      </c>
      <c r="E48" s="572"/>
      <c r="F48" s="573"/>
      <c r="I48" s="572"/>
      <c r="J48" s="573"/>
      <c r="M48" s="572"/>
      <c r="N48" s="573"/>
      <c r="P48" s="561">
        <v>1</v>
      </c>
      <c r="Q48" s="572">
        <v>2</v>
      </c>
      <c r="R48" s="573">
        <v>1</v>
      </c>
      <c r="S48" s="561">
        <v>10</v>
      </c>
      <c r="T48" s="561">
        <v>13</v>
      </c>
      <c r="U48" s="572">
        <v>25</v>
      </c>
      <c r="V48" s="573">
        <v>40</v>
      </c>
      <c r="W48" s="572">
        <f t="shared" si="8"/>
        <v>37</v>
      </c>
      <c r="X48" s="573">
        <f t="shared" si="8"/>
        <v>55</v>
      </c>
      <c r="Y48" s="573">
        <f t="shared" si="9"/>
        <v>92</v>
      </c>
    </row>
    <row r="49" spans="1:25" ht="18.75" customHeight="1">
      <c r="A49" s="578" t="s">
        <v>642</v>
      </c>
      <c r="B49" s="579" t="s">
        <v>643</v>
      </c>
      <c r="E49" s="572"/>
      <c r="F49" s="573"/>
      <c r="I49" s="572"/>
      <c r="J49" s="573"/>
      <c r="M49" s="572"/>
      <c r="N49" s="573"/>
      <c r="P49" s="561">
        <v>1</v>
      </c>
      <c r="Q49" s="572">
        <v>11</v>
      </c>
      <c r="R49" s="573">
        <v>6</v>
      </c>
      <c r="S49" s="561">
        <v>16</v>
      </c>
      <c r="T49" s="561">
        <v>9</v>
      </c>
      <c r="U49" s="572">
        <v>82</v>
      </c>
      <c r="V49" s="573">
        <v>105</v>
      </c>
      <c r="W49" s="572">
        <f t="shared" si="8"/>
        <v>109</v>
      </c>
      <c r="X49" s="573">
        <f t="shared" si="8"/>
        <v>121</v>
      </c>
      <c r="Y49" s="573">
        <f t="shared" si="9"/>
        <v>230</v>
      </c>
    </row>
    <row r="50" spans="1:25" ht="19.5" customHeight="1">
      <c r="A50" s="578" t="s">
        <v>647</v>
      </c>
      <c r="B50" s="579" t="s">
        <v>648</v>
      </c>
      <c r="E50" s="572"/>
      <c r="F50" s="573"/>
      <c r="I50" s="572"/>
      <c r="J50" s="573"/>
      <c r="M50" s="572"/>
      <c r="N50" s="573"/>
      <c r="O50" s="561">
        <v>1</v>
      </c>
      <c r="P50" s="561">
        <v>1</v>
      </c>
      <c r="Q50" s="572">
        <v>1</v>
      </c>
      <c r="R50" s="573">
        <v>5</v>
      </c>
      <c r="S50" s="561">
        <v>14</v>
      </c>
      <c r="T50" s="561">
        <v>3</v>
      </c>
      <c r="U50" s="572">
        <v>23</v>
      </c>
      <c r="V50" s="573">
        <v>14</v>
      </c>
      <c r="W50" s="572">
        <f t="shared" si="8"/>
        <v>39</v>
      </c>
      <c r="X50" s="573">
        <f t="shared" si="8"/>
        <v>23</v>
      </c>
      <c r="Y50" s="573">
        <f t="shared" si="9"/>
        <v>62</v>
      </c>
    </row>
    <row r="51" spans="1:25" ht="18" customHeight="1">
      <c r="A51" s="578" t="s">
        <v>202</v>
      </c>
      <c r="B51" s="579" t="s">
        <v>203</v>
      </c>
      <c r="E51" s="572"/>
      <c r="F51" s="573"/>
      <c r="I51" s="572"/>
      <c r="J51" s="573"/>
      <c r="M51" s="572"/>
      <c r="N51" s="573"/>
      <c r="Q51" s="572">
        <v>14</v>
      </c>
      <c r="R51" s="573">
        <v>12</v>
      </c>
      <c r="S51" s="561">
        <v>13</v>
      </c>
      <c r="T51" s="561">
        <v>7</v>
      </c>
      <c r="U51" s="572">
        <v>12</v>
      </c>
      <c r="V51" s="573">
        <v>12</v>
      </c>
      <c r="W51" s="572">
        <f t="shared" si="8"/>
        <v>39</v>
      </c>
      <c r="X51" s="573">
        <f t="shared" si="8"/>
        <v>31</v>
      </c>
      <c r="Y51" s="573">
        <f t="shared" si="9"/>
        <v>70</v>
      </c>
    </row>
    <row r="52" spans="1:25" ht="19.5" customHeight="1">
      <c r="A52" s="578" t="s">
        <v>204</v>
      </c>
      <c r="B52" s="579" t="s">
        <v>205</v>
      </c>
      <c r="E52" s="572"/>
      <c r="F52" s="573"/>
      <c r="I52" s="572"/>
      <c r="J52" s="573"/>
      <c r="M52" s="572"/>
      <c r="N52" s="573"/>
      <c r="Q52" s="572"/>
      <c r="R52" s="573"/>
      <c r="S52" s="561">
        <v>3</v>
      </c>
      <c r="T52" s="561">
        <v>3</v>
      </c>
      <c r="U52" s="572"/>
      <c r="V52" s="573">
        <v>1</v>
      </c>
      <c r="W52" s="572">
        <f t="shared" si="8"/>
        <v>3</v>
      </c>
      <c r="X52" s="573">
        <f t="shared" si="8"/>
        <v>4</v>
      </c>
      <c r="Y52" s="573">
        <f t="shared" si="9"/>
        <v>7</v>
      </c>
    </row>
    <row r="53" spans="1:25" ht="18.75" customHeight="1">
      <c r="A53" s="578" t="s">
        <v>649</v>
      </c>
      <c r="B53" s="579" t="s">
        <v>650</v>
      </c>
      <c r="E53" s="572"/>
      <c r="F53" s="573"/>
      <c r="I53" s="572"/>
      <c r="J53" s="573"/>
      <c r="M53" s="572"/>
      <c r="N53" s="573"/>
      <c r="P53" s="561">
        <v>4</v>
      </c>
      <c r="Q53" s="572">
        <v>7</v>
      </c>
      <c r="R53" s="573">
        <v>22</v>
      </c>
      <c r="S53" s="561">
        <v>17</v>
      </c>
      <c r="T53" s="561">
        <v>23</v>
      </c>
      <c r="U53" s="572">
        <v>43</v>
      </c>
      <c r="V53" s="573">
        <v>41</v>
      </c>
      <c r="W53" s="572">
        <f t="shared" si="8"/>
        <v>67</v>
      </c>
      <c r="X53" s="573">
        <f t="shared" si="8"/>
        <v>90</v>
      </c>
      <c r="Y53" s="573">
        <f t="shared" si="9"/>
        <v>157</v>
      </c>
    </row>
    <row r="54" spans="1:25" ht="18.75" customHeight="1">
      <c r="A54" s="578" t="s">
        <v>206</v>
      </c>
      <c r="B54" s="579" t="s">
        <v>207</v>
      </c>
      <c r="C54" s="1229"/>
      <c r="D54" s="1229"/>
      <c r="E54" s="1225"/>
      <c r="F54" s="1226"/>
      <c r="G54" s="1229"/>
      <c r="H54" s="1229"/>
      <c r="I54" s="1225"/>
      <c r="J54" s="1226"/>
      <c r="M54" s="572"/>
      <c r="N54" s="573"/>
      <c r="Q54" s="572"/>
      <c r="R54" s="573"/>
      <c r="U54" s="1225"/>
      <c r="V54" s="1226"/>
      <c r="W54" s="572">
        <f t="shared" si="8"/>
        <v>0</v>
      </c>
      <c r="X54" s="573">
        <f t="shared" si="8"/>
        <v>0</v>
      </c>
      <c r="Y54" s="573">
        <f t="shared" si="9"/>
        <v>0</v>
      </c>
    </row>
    <row r="55" spans="1:25" ht="18" customHeight="1">
      <c r="A55" s="578" t="s">
        <v>657</v>
      </c>
      <c r="B55" s="579" t="s">
        <v>658</v>
      </c>
      <c r="E55" s="572"/>
      <c r="F55" s="573"/>
      <c r="I55" s="1225"/>
      <c r="J55" s="1226"/>
      <c r="M55" s="572"/>
      <c r="N55" s="573"/>
      <c r="Q55" s="1225"/>
      <c r="R55" s="1226"/>
      <c r="S55" s="1229"/>
      <c r="T55" s="1229"/>
      <c r="U55" s="1225"/>
      <c r="V55" s="1226"/>
      <c r="W55" s="572">
        <f t="shared" si="8"/>
        <v>0</v>
      </c>
      <c r="X55" s="573">
        <f t="shared" si="8"/>
        <v>0</v>
      </c>
      <c r="Y55" s="573">
        <f t="shared" si="9"/>
        <v>0</v>
      </c>
    </row>
    <row r="56" spans="1:25" ht="20.25" customHeight="1">
      <c r="A56" s="578" t="s">
        <v>659</v>
      </c>
      <c r="B56" s="579" t="s">
        <v>660</v>
      </c>
      <c r="E56" s="572"/>
      <c r="F56" s="573"/>
      <c r="I56" s="572"/>
      <c r="J56" s="573"/>
      <c r="M56" s="572"/>
      <c r="N56" s="573"/>
      <c r="Q56" s="572"/>
      <c r="R56" s="573"/>
      <c r="U56" s="572"/>
      <c r="V56" s="573"/>
      <c r="W56" s="572">
        <f t="shared" si="8"/>
        <v>0</v>
      </c>
      <c r="X56" s="573">
        <f t="shared" si="8"/>
        <v>0</v>
      </c>
      <c r="Y56" s="573">
        <f t="shared" si="9"/>
        <v>0</v>
      </c>
    </row>
    <row r="57" spans="1:25" ht="19.5" customHeight="1">
      <c r="A57" s="578" t="s">
        <v>653</v>
      </c>
      <c r="B57" s="579" t="s">
        <v>673</v>
      </c>
      <c r="E57" s="572"/>
      <c r="F57" s="573"/>
      <c r="I57" s="572"/>
      <c r="J57" s="573"/>
      <c r="M57" s="572"/>
      <c r="N57" s="573"/>
      <c r="P57" s="561">
        <v>1</v>
      </c>
      <c r="Q57" s="572">
        <v>1</v>
      </c>
      <c r="R57" s="573">
        <v>2</v>
      </c>
      <c r="S57" s="561">
        <v>5</v>
      </c>
      <c r="T57" s="561">
        <v>1</v>
      </c>
      <c r="U57" s="572">
        <v>9</v>
      </c>
      <c r="V57" s="573">
        <v>5</v>
      </c>
      <c r="W57" s="572">
        <f t="shared" si="8"/>
        <v>15</v>
      </c>
      <c r="X57" s="573">
        <f t="shared" si="8"/>
        <v>9</v>
      </c>
      <c r="Y57" s="573">
        <f t="shared" si="9"/>
        <v>24</v>
      </c>
    </row>
    <row r="58" spans="1:25" ht="19.5" customHeight="1">
      <c r="A58" s="535" t="s">
        <v>645</v>
      </c>
      <c r="B58" s="539" t="s">
        <v>208</v>
      </c>
      <c r="E58" s="572"/>
      <c r="F58" s="573"/>
      <c r="I58" s="572"/>
      <c r="J58" s="573"/>
      <c r="M58" s="572"/>
      <c r="N58" s="573"/>
      <c r="P58" s="561">
        <v>3</v>
      </c>
      <c r="Q58" s="572">
        <v>13</v>
      </c>
      <c r="R58" s="573">
        <v>7</v>
      </c>
      <c r="S58" s="561">
        <v>9</v>
      </c>
      <c r="T58" s="561">
        <v>5</v>
      </c>
      <c r="U58" s="572">
        <v>9</v>
      </c>
      <c r="V58" s="573">
        <v>12</v>
      </c>
      <c r="W58" s="572">
        <f>+C58+E58+G58+I58+K58+M58+O58+Q58+S58+U58</f>
        <v>31</v>
      </c>
      <c r="X58" s="573">
        <f>+D58+F58+H58+J58+L58+N58+P58+R58+T58+V58</f>
        <v>27</v>
      </c>
      <c r="Y58" s="573">
        <f>SUM(W58:X58)</f>
        <v>58</v>
      </c>
    </row>
    <row r="59" spans="1:25" ht="19.5" customHeight="1">
      <c r="A59" s="181" t="s">
        <v>1437</v>
      </c>
      <c r="B59" s="211" t="s">
        <v>1439</v>
      </c>
      <c r="E59" s="572"/>
      <c r="F59" s="573"/>
      <c r="I59" s="572"/>
      <c r="J59" s="573"/>
      <c r="M59" s="572"/>
      <c r="N59" s="573"/>
      <c r="Q59" s="572"/>
      <c r="R59" s="573"/>
      <c r="S59" s="561">
        <v>2</v>
      </c>
      <c r="U59" s="572">
        <v>15</v>
      </c>
      <c r="V59" s="573">
        <v>6</v>
      </c>
      <c r="W59" s="572">
        <f>+C59+E59+G59+I59+K59+M59+O59+Q59+S59+U59</f>
        <v>17</v>
      </c>
      <c r="X59" s="573">
        <f>+D59+F59+H59+J59+L59+N59+P59+R59+T59+V59</f>
        <v>6</v>
      </c>
      <c r="Y59" s="573">
        <f>SUM(W59:X59)</f>
        <v>23</v>
      </c>
    </row>
    <row r="60" spans="1:25" ht="27.75" customHeight="1">
      <c r="A60" s="181" t="s">
        <v>1438</v>
      </c>
      <c r="B60" s="211" t="s">
        <v>1440</v>
      </c>
      <c r="E60" s="572"/>
      <c r="F60" s="573"/>
      <c r="I60" s="572"/>
      <c r="J60" s="573"/>
      <c r="M60" s="572"/>
      <c r="N60" s="573"/>
      <c r="Q60" s="572"/>
      <c r="R60" s="573"/>
      <c r="U60" s="572">
        <v>3</v>
      </c>
      <c r="V60" s="573">
        <v>3</v>
      </c>
      <c r="W60" s="572">
        <f t="shared" si="8"/>
        <v>3</v>
      </c>
      <c r="X60" s="573">
        <f t="shared" si="8"/>
        <v>3</v>
      </c>
      <c r="Y60" s="573">
        <f t="shared" si="9"/>
        <v>6</v>
      </c>
    </row>
    <row r="61" spans="1:25" ht="19.5" customHeight="1">
      <c r="A61" s="580"/>
      <c r="B61" s="580" t="s">
        <v>767</v>
      </c>
      <c r="C61" s="1219">
        <f>SUM(C41:C60)</f>
        <v>0</v>
      </c>
      <c r="D61" s="1220">
        <f>SUM(D41:D60)</f>
        <v>0</v>
      </c>
      <c r="E61" s="1219">
        <f>SUM(E41:E60)</f>
        <v>0</v>
      </c>
      <c r="F61" s="1221">
        <f t="shared" ref="F61:X61" si="10">SUM(F41:F60)</f>
        <v>0</v>
      </c>
      <c r="G61" s="1220">
        <f t="shared" si="10"/>
        <v>0</v>
      </c>
      <c r="H61" s="1220">
        <f t="shared" si="10"/>
        <v>0</v>
      </c>
      <c r="I61" s="1219">
        <f t="shared" si="10"/>
        <v>0</v>
      </c>
      <c r="J61" s="1221">
        <f t="shared" si="10"/>
        <v>0</v>
      </c>
      <c r="K61" s="1220">
        <f t="shared" si="10"/>
        <v>0</v>
      </c>
      <c r="L61" s="1220">
        <f t="shared" si="10"/>
        <v>0</v>
      </c>
      <c r="M61" s="1219">
        <f t="shared" si="10"/>
        <v>1</v>
      </c>
      <c r="N61" s="1221">
        <f t="shared" si="10"/>
        <v>0</v>
      </c>
      <c r="O61" s="1220">
        <f t="shared" si="10"/>
        <v>4</v>
      </c>
      <c r="P61" s="1220">
        <f t="shared" si="10"/>
        <v>14</v>
      </c>
      <c r="Q61" s="1219">
        <f t="shared" si="10"/>
        <v>74</v>
      </c>
      <c r="R61" s="1221">
        <f t="shared" si="10"/>
        <v>73</v>
      </c>
      <c r="S61" s="1220">
        <f t="shared" si="10"/>
        <v>129</v>
      </c>
      <c r="T61" s="1220">
        <f t="shared" si="10"/>
        <v>86</v>
      </c>
      <c r="U61" s="1219">
        <f t="shared" si="10"/>
        <v>260</v>
      </c>
      <c r="V61" s="1221">
        <f t="shared" si="10"/>
        <v>302</v>
      </c>
      <c r="W61" s="1219">
        <f t="shared" si="10"/>
        <v>468</v>
      </c>
      <c r="X61" s="1221">
        <f t="shared" si="10"/>
        <v>475</v>
      </c>
      <c r="Y61" s="1222">
        <f>SUM(Y41:Y60)</f>
        <v>943</v>
      </c>
    </row>
  </sheetData>
  <mergeCells count="22">
    <mergeCell ref="C38:V38"/>
    <mergeCell ref="A36:W36"/>
    <mergeCell ref="C8:D8"/>
    <mergeCell ref="E8:F8"/>
    <mergeCell ref="M8:N8"/>
    <mergeCell ref="A34:W34"/>
    <mergeCell ref="AC8:AE8"/>
    <mergeCell ref="A1:AE1"/>
    <mergeCell ref="A3:AE3"/>
    <mergeCell ref="A5:AE5"/>
    <mergeCell ref="A32:W32"/>
    <mergeCell ref="C39:D39"/>
    <mergeCell ref="E39:F39"/>
    <mergeCell ref="G39:H39"/>
    <mergeCell ref="I39:J39"/>
    <mergeCell ref="K39:L39"/>
    <mergeCell ref="W39:Y39"/>
    <mergeCell ref="M39:N39"/>
    <mergeCell ref="O39:P39"/>
    <mergeCell ref="Q39:R39"/>
    <mergeCell ref="S39:T39"/>
    <mergeCell ref="U39:V39"/>
  </mergeCells>
  <phoneticPr fontId="18"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AE61"/>
  <sheetViews>
    <sheetView zoomScale="75" workbookViewId="0">
      <selection activeCell="A38" sqref="A38:Y40"/>
    </sheetView>
  </sheetViews>
  <sheetFormatPr baseColWidth="10" defaultColWidth="11.42578125" defaultRowHeight="12.75"/>
  <cols>
    <col min="1" max="1" width="9.42578125" style="534" customWidth="1"/>
    <col min="2" max="2" width="29.28515625" style="534" customWidth="1"/>
    <col min="3" max="6" width="9.7109375" style="534" customWidth="1"/>
    <col min="7" max="8" width="10.42578125" style="534" customWidth="1"/>
    <col min="9" max="10" width="9.5703125" style="534" customWidth="1"/>
    <col min="11" max="12" width="10.7109375" style="534" customWidth="1"/>
    <col min="13" max="14" width="11.42578125" style="534"/>
    <col min="15" max="16" width="8.7109375" style="534" customWidth="1"/>
    <col min="17" max="18" width="9.7109375" style="534" customWidth="1"/>
    <col min="19" max="20" width="10" style="534" customWidth="1"/>
    <col min="21" max="22" width="10.5703125" style="534" customWidth="1"/>
    <col min="23" max="24" width="8.5703125" style="534" customWidth="1"/>
    <col min="25" max="26" width="9.28515625" style="534" customWidth="1"/>
    <col min="27" max="28" width="9.7109375" style="534" customWidth="1"/>
    <col min="29" max="16384" width="11.42578125" style="534"/>
  </cols>
  <sheetData>
    <row r="1" spans="1:31">
      <c r="A1" s="1647" t="s">
        <v>193</v>
      </c>
      <c r="B1" s="1647"/>
      <c r="C1" s="1647"/>
      <c r="D1" s="1647"/>
      <c r="E1" s="1647"/>
      <c r="F1" s="1647"/>
      <c r="G1" s="1647"/>
      <c r="H1" s="1647"/>
      <c r="I1" s="1647"/>
      <c r="J1" s="1647"/>
      <c r="K1" s="1647"/>
      <c r="L1" s="1647"/>
      <c r="M1" s="1647"/>
      <c r="N1" s="1647"/>
      <c r="O1" s="1647"/>
      <c r="P1" s="1647"/>
      <c r="Q1" s="1647"/>
      <c r="R1" s="1647"/>
      <c r="S1" s="1647"/>
      <c r="T1" s="1647"/>
      <c r="U1" s="1647"/>
      <c r="V1" s="1647"/>
      <c r="W1" s="1647"/>
      <c r="X1" s="1647"/>
      <c r="Y1" s="1647"/>
      <c r="Z1" s="1647"/>
      <c r="AA1" s="1647"/>
      <c r="AB1" s="1647"/>
      <c r="AC1" s="1647"/>
      <c r="AD1" s="1647"/>
      <c r="AE1" s="1647"/>
    </row>
    <row r="2" spans="1:31">
      <c r="A2" s="581"/>
      <c r="B2" s="581"/>
      <c r="C2" s="582"/>
      <c r="D2" s="582"/>
      <c r="E2" s="582"/>
      <c r="F2" s="582"/>
      <c r="G2" s="582"/>
      <c r="H2" s="582"/>
      <c r="I2" s="582"/>
      <c r="J2" s="582"/>
      <c r="K2" s="582"/>
      <c r="L2" s="582"/>
      <c r="M2" s="582"/>
      <c r="N2" s="582"/>
      <c r="O2" s="582"/>
      <c r="P2" s="582"/>
      <c r="Q2" s="582"/>
      <c r="R2" s="582"/>
      <c r="S2" s="549"/>
      <c r="T2" s="549"/>
      <c r="U2" s="549"/>
      <c r="V2" s="549"/>
      <c r="W2" s="549"/>
      <c r="X2" s="549"/>
      <c r="Y2" s="549"/>
      <c r="Z2" s="549"/>
    </row>
    <row r="3" spans="1:31">
      <c r="A3" s="1647" t="str">
        <f>+'89'!A3</f>
        <v>SERVICIO DE SALUD   ACONCAGUA   2023</v>
      </c>
      <c r="B3" s="1647"/>
      <c r="C3" s="1647"/>
      <c r="D3" s="1647"/>
      <c r="E3" s="1647"/>
      <c r="F3" s="1647"/>
      <c r="G3" s="1647"/>
      <c r="H3" s="1647"/>
      <c r="I3" s="1647"/>
      <c r="J3" s="1647"/>
      <c r="K3" s="1647"/>
      <c r="L3" s="1647"/>
      <c r="M3" s="1647"/>
      <c r="N3" s="1647"/>
      <c r="O3" s="1647"/>
      <c r="P3" s="1647"/>
      <c r="Q3" s="1647"/>
      <c r="R3" s="1647"/>
      <c r="S3" s="1647"/>
      <c r="T3" s="1647"/>
      <c r="U3" s="1647"/>
      <c r="V3" s="1647"/>
      <c r="W3" s="1647"/>
      <c r="X3" s="1647"/>
      <c r="Y3" s="1647"/>
      <c r="Z3" s="1647"/>
      <c r="AA3" s="1647"/>
      <c r="AB3" s="1647"/>
      <c r="AC3" s="1647"/>
      <c r="AD3" s="1647"/>
      <c r="AE3" s="1647"/>
    </row>
    <row r="4" spans="1:31">
      <c r="A4" s="581"/>
      <c r="B4" s="581"/>
      <c r="C4" s="582"/>
      <c r="D4" s="582"/>
      <c r="E4" s="582"/>
      <c r="F4" s="582"/>
      <c r="G4" s="582"/>
      <c r="H4" s="582"/>
      <c r="I4" s="582"/>
      <c r="J4" s="582"/>
      <c r="K4" s="582"/>
      <c r="L4" s="582"/>
      <c r="M4" s="582"/>
      <c r="N4" s="582"/>
      <c r="O4" s="582"/>
      <c r="P4" s="582"/>
      <c r="Q4" s="582"/>
      <c r="R4" s="582"/>
      <c r="S4" s="549"/>
      <c r="T4" s="549"/>
      <c r="U4" s="549"/>
      <c r="V4" s="549"/>
      <c r="W4" s="549"/>
      <c r="X4" s="549"/>
      <c r="Y4" s="549"/>
      <c r="Z4" s="549"/>
    </row>
    <row r="5" spans="1:31">
      <c r="A5" s="1647" t="s">
        <v>216</v>
      </c>
      <c r="B5" s="1647"/>
      <c r="C5" s="1647"/>
      <c r="D5" s="1647"/>
      <c r="E5" s="1647"/>
      <c r="F5" s="1647"/>
      <c r="G5" s="1647"/>
      <c r="H5" s="1647"/>
      <c r="I5" s="1647"/>
      <c r="J5" s="1647"/>
      <c r="K5" s="1647"/>
      <c r="L5" s="1647"/>
      <c r="M5" s="1647"/>
      <c r="N5" s="1647"/>
      <c r="O5" s="1647"/>
      <c r="P5" s="1647"/>
      <c r="Q5" s="1647"/>
      <c r="R5" s="1647"/>
      <c r="S5" s="1647"/>
      <c r="T5" s="1647"/>
      <c r="U5" s="1647"/>
      <c r="V5" s="1647"/>
      <c r="W5" s="1647"/>
      <c r="X5" s="1647"/>
      <c r="Y5" s="1647"/>
      <c r="Z5" s="1647"/>
      <c r="AA5" s="1647"/>
      <c r="AB5" s="1647"/>
      <c r="AC5" s="1647"/>
      <c r="AD5" s="1647"/>
      <c r="AE5" s="1647"/>
    </row>
    <row r="6" spans="1:31">
      <c r="A6" s="560"/>
    </row>
    <row r="7" spans="1:31" ht="18.75" customHeight="1">
      <c r="A7" s="1454" t="s">
        <v>627</v>
      </c>
      <c r="B7" s="1455"/>
      <c r="C7" s="1473"/>
      <c r="D7" s="1473"/>
      <c r="E7" s="1473"/>
      <c r="F7" s="1465" t="s">
        <v>628</v>
      </c>
      <c r="G7" s="1465"/>
      <c r="H7" s="1465"/>
      <c r="I7" s="1465"/>
      <c r="J7" s="1465"/>
      <c r="K7" s="1465"/>
      <c r="L7" s="1465"/>
      <c r="M7" s="1465"/>
      <c r="N7" s="1465"/>
      <c r="O7" s="1465"/>
      <c r="P7" s="1465"/>
      <c r="Q7" s="1465"/>
      <c r="R7" s="1465"/>
      <c r="S7" s="1465"/>
      <c r="T7" s="1465"/>
      <c r="U7" s="1465"/>
      <c r="V7" s="1465"/>
      <c r="W7" s="1465"/>
      <c r="X7" s="1465"/>
      <c r="Y7" s="1465"/>
      <c r="Z7" s="1465"/>
      <c r="AA7" s="1465"/>
      <c r="AB7" s="1465"/>
      <c r="AC7" s="1465"/>
      <c r="AD7" s="1465"/>
      <c r="AE7" s="1474"/>
    </row>
    <row r="8" spans="1:31" ht="23.25" customHeight="1">
      <c r="A8" s="1459" t="s">
        <v>629</v>
      </c>
      <c r="B8" s="1460" t="s">
        <v>630</v>
      </c>
      <c r="C8" s="1636" t="s">
        <v>631</v>
      </c>
      <c r="D8" s="1637"/>
      <c r="E8" s="1638" t="s">
        <v>587</v>
      </c>
      <c r="F8" s="1632"/>
      <c r="G8" s="1475" t="s">
        <v>632</v>
      </c>
      <c r="H8" s="1475"/>
      <c r="I8" s="1475" t="s">
        <v>633</v>
      </c>
      <c r="J8" s="1475"/>
      <c r="K8" s="1475" t="s">
        <v>387</v>
      </c>
      <c r="L8" s="1475"/>
      <c r="M8" s="1639" t="s">
        <v>634</v>
      </c>
      <c r="N8" s="1640"/>
      <c r="O8" s="1475" t="s">
        <v>635</v>
      </c>
      <c r="P8" s="1475"/>
      <c r="Q8" s="1475" t="s">
        <v>351</v>
      </c>
      <c r="R8" s="1475"/>
      <c r="S8" s="1475" t="s">
        <v>369</v>
      </c>
      <c r="T8" s="1475"/>
      <c r="U8" s="1475" t="s">
        <v>374</v>
      </c>
      <c r="V8" s="1475"/>
      <c r="W8" s="1475" t="s">
        <v>636</v>
      </c>
      <c r="X8" s="1475"/>
      <c r="Y8" s="1475" t="s">
        <v>376</v>
      </c>
      <c r="Z8" s="1475"/>
      <c r="AA8" s="1475" t="s">
        <v>637</v>
      </c>
      <c r="AB8" s="1470"/>
      <c r="AC8" s="1641" t="s">
        <v>474</v>
      </c>
      <c r="AD8" s="1642"/>
      <c r="AE8" s="1638"/>
    </row>
    <row r="9" spans="1:31" ht="13.5" thickBot="1">
      <c r="A9" s="1461"/>
      <c r="B9" s="1462"/>
      <c r="C9" s="1456" t="s">
        <v>1301</v>
      </c>
      <c r="D9" s="1474" t="s">
        <v>1302</v>
      </c>
      <c r="E9" s="1082" t="s">
        <v>1301</v>
      </c>
      <c r="F9" s="1084" t="s">
        <v>1302</v>
      </c>
      <c r="G9" s="1083" t="s">
        <v>1301</v>
      </c>
      <c r="H9" s="1084" t="s">
        <v>1302</v>
      </c>
      <c r="I9" s="1082" t="s">
        <v>1301</v>
      </c>
      <c r="J9" s="1084" t="s">
        <v>1302</v>
      </c>
      <c r="K9" s="1082" t="s">
        <v>1301</v>
      </c>
      <c r="L9" s="1084" t="s">
        <v>1302</v>
      </c>
      <c r="M9" s="1456" t="s">
        <v>1301</v>
      </c>
      <c r="N9" s="1474" t="s">
        <v>1302</v>
      </c>
      <c r="O9" s="1083" t="s">
        <v>1301</v>
      </c>
      <c r="P9" s="1084" t="s">
        <v>1302</v>
      </c>
      <c r="Q9" s="1082" t="s">
        <v>1301</v>
      </c>
      <c r="R9" s="1082" t="s">
        <v>1302</v>
      </c>
      <c r="S9" s="1083" t="s">
        <v>1301</v>
      </c>
      <c r="T9" s="1084" t="s">
        <v>1302</v>
      </c>
      <c r="U9" s="1082" t="s">
        <v>1301</v>
      </c>
      <c r="V9" s="1084" t="s">
        <v>1302</v>
      </c>
      <c r="W9" s="1082" t="s">
        <v>1301</v>
      </c>
      <c r="X9" s="1082" t="s">
        <v>1302</v>
      </c>
      <c r="Y9" s="1083" t="s">
        <v>1301</v>
      </c>
      <c r="Z9" s="1084" t="s">
        <v>1302</v>
      </c>
      <c r="AA9" s="1082" t="s">
        <v>1301</v>
      </c>
      <c r="AB9" s="1084" t="s">
        <v>1302</v>
      </c>
      <c r="AC9" s="1456" t="s">
        <v>1301</v>
      </c>
      <c r="AD9" s="1474" t="s">
        <v>1302</v>
      </c>
      <c r="AE9" s="1476" t="s">
        <v>448</v>
      </c>
    </row>
    <row r="10" spans="1:31" ht="18" customHeight="1">
      <c r="A10" s="535" t="s">
        <v>651</v>
      </c>
      <c r="B10" s="536" t="s">
        <v>652</v>
      </c>
      <c r="C10" s="796">
        <f t="shared" ref="C10:D25" si="0">+E10+G10+I10+K10</f>
        <v>0</v>
      </c>
      <c r="D10" s="797">
        <f t="shared" si="0"/>
        <v>0</v>
      </c>
      <c r="E10" s="561"/>
      <c r="F10" s="561"/>
      <c r="G10" s="785"/>
      <c r="H10" s="531"/>
      <c r="I10" s="785"/>
      <c r="J10" s="531"/>
      <c r="K10" s="561"/>
      <c r="L10" s="561"/>
      <c r="M10" s="796">
        <f>+O10+Q10+S10+U10+W10+Y10</f>
        <v>4</v>
      </c>
      <c r="N10" s="797">
        <f>+P10+R10+T10+V10+X10+Z10</f>
        <v>4</v>
      </c>
      <c r="O10" s="561">
        <v>3</v>
      </c>
      <c r="P10" s="561">
        <v>1</v>
      </c>
      <c r="Q10" s="785">
        <v>1</v>
      </c>
      <c r="R10" s="531">
        <v>3</v>
      </c>
      <c r="S10" s="561"/>
      <c r="T10" s="561"/>
      <c r="U10" s="785"/>
      <c r="V10" s="531"/>
      <c r="W10" s="561"/>
      <c r="X10" s="561"/>
      <c r="Y10" s="572"/>
      <c r="Z10" s="573"/>
      <c r="AA10" s="561"/>
      <c r="AB10" s="561"/>
      <c r="AC10" s="796">
        <f t="shared" ref="AC10:AD25" si="1">+M10+C10+AA10</f>
        <v>4</v>
      </c>
      <c r="AD10" s="797">
        <f t="shared" si="1"/>
        <v>4</v>
      </c>
      <c r="AE10" s="1223">
        <f>SUM(AC10:AD10)</f>
        <v>8</v>
      </c>
    </row>
    <row r="11" spans="1:31" ht="20.25" customHeight="1">
      <c r="A11" s="535" t="s">
        <v>640</v>
      </c>
      <c r="B11" s="536" t="s">
        <v>641</v>
      </c>
      <c r="C11" s="798">
        <f t="shared" si="0"/>
        <v>0</v>
      </c>
      <c r="D11" s="799">
        <f t="shared" si="0"/>
        <v>1</v>
      </c>
      <c r="E11" s="561"/>
      <c r="F11" s="561">
        <v>1</v>
      </c>
      <c r="G11" s="572"/>
      <c r="H11" s="573"/>
      <c r="I11" s="572"/>
      <c r="J11" s="573"/>
      <c r="K11" s="561"/>
      <c r="L11" s="561"/>
      <c r="M11" s="798">
        <f t="shared" ref="M11:N26" si="2">+O11+Q11+S11+U11+W11+Y11</f>
        <v>4</v>
      </c>
      <c r="N11" s="799">
        <f t="shared" si="2"/>
        <v>6</v>
      </c>
      <c r="O11" s="561">
        <v>1</v>
      </c>
      <c r="P11" s="561"/>
      <c r="Q11" s="572">
        <v>3</v>
      </c>
      <c r="R11" s="573">
        <v>6</v>
      </c>
      <c r="S11" s="561"/>
      <c r="T11" s="561"/>
      <c r="U11" s="572"/>
      <c r="V11" s="573"/>
      <c r="W11" s="561"/>
      <c r="X11" s="561"/>
      <c r="Y11" s="572"/>
      <c r="Z11" s="573"/>
      <c r="AA11" s="561">
        <v>1</v>
      </c>
      <c r="AB11" s="561"/>
      <c r="AC11" s="798">
        <f t="shared" si="1"/>
        <v>5</v>
      </c>
      <c r="AD11" s="799">
        <f t="shared" si="1"/>
        <v>7</v>
      </c>
      <c r="AE11" s="1224">
        <f>SUM(AC11:AD11)</f>
        <v>12</v>
      </c>
    </row>
    <row r="12" spans="1:31" ht="19.5" customHeight="1">
      <c r="A12" s="535" t="s">
        <v>194</v>
      </c>
      <c r="B12" s="536" t="s">
        <v>195</v>
      </c>
      <c r="C12" s="798">
        <f t="shared" si="0"/>
        <v>0</v>
      </c>
      <c r="D12" s="799">
        <f t="shared" si="0"/>
        <v>0</v>
      </c>
      <c r="E12" s="561"/>
      <c r="F12" s="561"/>
      <c r="G12" s="572"/>
      <c r="H12" s="573"/>
      <c r="I12" s="572"/>
      <c r="J12" s="573"/>
      <c r="K12" s="561"/>
      <c r="L12" s="561"/>
      <c r="M12" s="798">
        <f t="shared" si="2"/>
        <v>0</v>
      </c>
      <c r="N12" s="799">
        <f t="shared" si="2"/>
        <v>1</v>
      </c>
      <c r="O12" s="561"/>
      <c r="P12" s="561"/>
      <c r="Q12" s="572"/>
      <c r="R12" s="573">
        <v>1</v>
      </c>
      <c r="S12" s="561"/>
      <c r="T12" s="561"/>
      <c r="U12" s="572"/>
      <c r="V12" s="573"/>
      <c r="W12" s="561"/>
      <c r="X12" s="561"/>
      <c r="Y12" s="572"/>
      <c r="Z12" s="573"/>
      <c r="AA12" s="561"/>
      <c r="AB12" s="561"/>
      <c r="AC12" s="798">
        <f t="shared" si="1"/>
        <v>0</v>
      </c>
      <c r="AD12" s="799">
        <f t="shared" si="1"/>
        <v>1</v>
      </c>
      <c r="AE12" s="1224">
        <f>SUM(AC12:AD12)</f>
        <v>1</v>
      </c>
    </row>
    <row r="13" spans="1:31" ht="20.25" customHeight="1">
      <c r="A13" s="535" t="s">
        <v>655</v>
      </c>
      <c r="B13" s="536" t="s">
        <v>656</v>
      </c>
      <c r="C13" s="798">
        <f t="shared" si="0"/>
        <v>1</v>
      </c>
      <c r="D13" s="799">
        <f t="shared" si="0"/>
        <v>0</v>
      </c>
      <c r="E13" s="561">
        <v>1</v>
      </c>
      <c r="F13" s="561"/>
      <c r="G13" s="572"/>
      <c r="H13" s="573"/>
      <c r="I13" s="572"/>
      <c r="J13" s="573"/>
      <c r="K13" s="561"/>
      <c r="L13" s="561"/>
      <c r="M13" s="798">
        <f t="shared" si="2"/>
        <v>7</v>
      </c>
      <c r="N13" s="799">
        <f t="shared" si="2"/>
        <v>6</v>
      </c>
      <c r="O13" s="561">
        <v>1</v>
      </c>
      <c r="P13" s="561">
        <v>1</v>
      </c>
      <c r="Q13" s="572">
        <v>6</v>
      </c>
      <c r="R13" s="573">
        <v>5</v>
      </c>
      <c r="S13" s="561"/>
      <c r="T13" s="561"/>
      <c r="U13" s="572"/>
      <c r="V13" s="573"/>
      <c r="W13" s="561"/>
      <c r="X13" s="561"/>
      <c r="Y13" s="572"/>
      <c r="Z13" s="573"/>
      <c r="AA13" s="561">
        <v>1</v>
      </c>
      <c r="AB13" s="561"/>
      <c r="AC13" s="798">
        <f t="shared" si="1"/>
        <v>9</v>
      </c>
      <c r="AD13" s="799">
        <f t="shared" si="1"/>
        <v>6</v>
      </c>
      <c r="AE13" s="1224">
        <f>SUM(AC13:AD13)</f>
        <v>15</v>
      </c>
    </row>
    <row r="14" spans="1:31" ht="19.5" customHeight="1">
      <c r="A14" s="535" t="s">
        <v>196</v>
      </c>
      <c r="B14" s="536" t="s">
        <v>197</v>
      </c>
      <c r="C14" s="798">
        <f t="shared" si="0"/>
        <v>5</v>
      </c>
      <c r="D14" s="799">
        <f t="shared" si="0"/>
        <v>1</v>
      </c>
      <c r="E14" s="561">
        <v>2</v>
      </c>
      <c r="F14" s="561"/>
      <c r="G14" s="572">
        <v>3</v>
      </c>
      <c r="H14" s="573">
        <v>1</v>
      </c>
      <c r="I14" s="572"/>
      <c r="J14" s="573"/>
      <c r="K14" s="561"/>
      <c r="L14" s="561"/>
      <c r="M14" s="798">
        <f t="shared" si="2"/>
        <v>23</v>
      </c>
      <c r="N14" s="799">
        <f t="shared" si="2"/>
        <v>10</v>
      </c>
      <c r="O14" s="561">
        <v>3</v>
      </c>
      <c r="P14" s="561">
        <v>5</v>
      </c>
      <c r="Q14" s="572">
        <v>17</v>
      </c>
      <c r="R14" s="573">
        <v>3</v>
      </c>
      <c r="S14" s="561">
        <v>2</v>
      </c>
      <c r="T14" s="561">
        <v>2</v>
      </c>
      <c r="U14" s="572"/>
      <c r="V14" s="573"/>
      <c r="W14" s="561">
        <v>1</v>
      </c>
      <c r="X14" s="561"/>
      <c r="Y14" s="572"/>
      <c r="Z14" s="573"/>
      <c r="AA14" s="561">
        <v>6</v>
      </c>
      <c r="AB14" s="561">
        <v>2</v>
      </c>
      <c r="AC14" s="798">
        <f t="shared" si="1"/>
        <v>34</v>
      </c>
      <c r="AD14" s="799">
        <f t="shared" si="1"/>
        <v>13</v>
      </c>
      <c r="AE14" s="1224">
        <f>SUM(AC14:AD14)</f>
        <v>47</v>
      </c>
    </row>
    <row r="15" spans="1:31" ht="19.5" customHeight="1">
      <c r="A15" s="535" t="s">
        <v>198</v>
      </c>
      <c r="B15" s="536" t="s">
        <v>199</v>
      </c>
      <c r="C15" s="798">
        <f t="shared" si="0"/>
        <v>0</v>
      </c>
      <c r="D15" s="799">
        <f t="shared" si="0"/>
        <v>1</v>
      </c>
      <c r="E15" s="561"/>
      <c r="F15" s="561">
        <v>1</v>
      </c>
      <c r="G15" s="572"/>
      <c r="H15" s="573"/>
      <c r="I15" s="572"/>
      <c r="J15" s="573"/>
      <c r="K15" s="561"/>
      <c r="L15" s="561"/>
      <c r="M15" s="798">
        <f t="shared" si="2"/>
        <v>2</v>
      </c>
      <c r="N15" s="799">
        <f t="shared" si="2"/>
        <v>2</v>
      </c>
      <c r="O15" s="561">
        <v>1</v>
      </c>
      <c r="P15" s="561"/>
      <c r="Q15" s="572">
        <v>1</v>
      </c>
      <c r="R15" s="573">
        <v>2</v>
      </c>
      <c r="S15" s="561"/>
      <c r="T15" s="561"/>
      <c r="U15" s="572"/>
      <c r="V15" s="573"/>
      <c r="W15" s="561"/>
      <c r="X15" s="561"/>
      <c r="Y15" s="572"/>
      <c r="Z15" s="573"/>
      <c r="AA15" s="561"/>
      <c r="AB15" s="561"/>
      <c r="AC15" s="798">
        <f t="shared" si="1"/>
        <v>2</v>
      </c>
      <c r="AD15" s="799">
        <f t="shared" si="1"/>
        <v>3</v>
      </c>
      <c r="AE15" s="1224">
        <f t="shared" ref="AE15:AE25" si="3">SUM(AC15:AD15)</f>
        <v>5</v>
      </c>
    </row>
    <row r="16" spans="1:31" ht="19.5" customHeight="1">
      <c r="A16" s="535" t="s">
        <v>200</v>
      </c>
      <c r="B16" s="536" t="s">
        <v>201</v>
      </c>
      <c r="C16" s="798">
        <f t="shared" si="0"/>
        <v>0</v>
      </c>
      <c r="D16" s="799">
        <f t="shared" si="0"/>
        <v>0</v>
      </c>
      <c r="E16" s="561"/>
      <c r="F16" s="561"/>
      <c r="G16" s="572"/>
      <c r="H16" s="573"/>
      <c r="I16" s="572"/>
      <c r="J16" s="573"/>
      <c r="K16" s="561"/>
      <c r="L16" s="561"/>
      <c r="M16" s="798">
        <f t="shared" si="2"/>
        <v>0</v>
      </c>
      <c r="N16" s="799">
        <f t="shared" si="2"/>
        <v>0</v>
      </c>
      <c r="O16" s="561"/>
      <c r="P16" s="561"/>
      <c r="Q16" s="572"/>
      <c r="R16" s="573"/>
      <c r="S16" s="561"/>
      <c r="T16" s="561"/>
      <c r="U16" s="572"/>
      <c r="V16" s="573"/>
      <c r="W16" s="561"/>
      <c r="X16" s="561"/>
      <c r="Y16" s="572"/>
      <c r="Z16" s="573"/>
      <c r="AA16" s="561"/>
      <c r="AB16" s="561"/>
      <c r="AC16" s="798">
        <f t="shared" si="1"/>
        <v>0</v>
      </c>
      <c r="AD16" s="799">
        <f t="shared" si="1"/>
        <v>0</v>
      </c>
      <c r="AE16" s="1224">
        <f t="shared" si="3"/>
        <v>0</v>
      </c>
    </row>
    <row r="17" spans="1:31" ht="20.25" customHeight="1">
      <c r="A17" s="535" t="s">
        <v>638</v>
      </c>
      <c r="B17" s="536" t="s">
        <v>639</v>
      </c>
      <c r="C17" s="798">
        <f t="shared" si="0"/>
        <v>2</v>
      </c>
      <c r="D17" s="799">
        <f t="shared" si="0"/>
        <v>5</v>
      </c>
      <c r="E17" s="561">
        <v>1</v>
      </c>
      <c r="F17" s="561">
        <v>4</v>
      </c>
      <c r="G17" s="572">
        <v>1</v>
      </c>
      <c r="H17" s="573">
        <v>1</v>
      </c>
      <c r="I17" s="572"/>
      <c r="J17" s="573"/>
      <c r="K17" s="561"/>
      <c r="L17" s="561"/>
      <c r="M17" s="798">
        <f t="shared" si="2"/>
        <v>18</v>
      </c>
      <c r="N17" s="799">
        <f t="shared" si="2"/>
        <v>25</v>
      </c>
      <c r="O17" s="561">
        <v>3</v>
      </c>
      <c r="P17" s="561">
        <v>1</v>
      </c>
      <c r="Q17" s="572">
        <v>15</v>
      </c>
      <c r="R17" s="573">
        <v>23</v>
      </c>
      <c r="S17" s="561"/>
      <c r="T17" s="561">
        <v>1</v>
      </c>
      <c r="U17" s="572"/>
      <c r="V17" s="573"/>
      <c r="W17" s="561"/>
      <c r="X17" s="561"/>
      <c r="Y17" s="572"/>
      <c r="Z17" s="573"/>
      <c r="AA17" s="561"/>
      <c r="AB17" s="561">
        <v>1</v>
      </c>
      <c r="AC17" s="798">
        <f t="shared" si="1"/>
        <v>20</v>
      </c>
      <c r="AD17" s="799">
        <f t="shared" si="1"/>
        <v>31</v>
      </c>
      <c r="AE17" s="1224">
        <f t="shared" si="3"/>
        <v>51</v>
      </c>
    </row>
    <row r="18" spans="1:31" ht="19.5" customHeight="1">
      <c r="A18" s="535" t="s">
        <v>642</v>
      </c>
      <c r="B18" s="536" t="s">
        <v>643</v>
      </c>
      <c r="C18" s="798">
        <f t="shared" si="0"/>
        <v>12</v>
      </c>
      <c r="D18" s="799">
        <f t="shared" si="0"/>
        <v>7</v>
      </c>
      <c r="E18" s="561">
        <v>9</v>
      </c>
      <c r="F18" s="561">
        <v>5</v>
      </c>
      <c r="G18" s="572">
        <v>1</v>
      </c>
      <c r="H18" s="573">
        <v>1</v>
      </c>
      <c r="I18" s="572">
        <v>1</v>
      </c>
      <c r="J18" s="573">
        <v>1</v>
      </c>
      <c r="K18" s="561">
        <v>1</v>
      </c>
      <c r="L18" s="561"/>
      <c r="M18" s="798">
        <f t="shared" si="2"/>
        <v>84</v>
      </c>
      <c r="N18" s="799">
        <f t="shared" si="2"/>
        <v>96</v>
      </c>
      <c r="O18" s="561">
        <v>10</v>
      </c>
      <c r="P18" s="561">
        <v>14</v>
      </c>
      <c r="Q18" s="572">
        <v>69</v>
      </c>
      <c r="R18" s="573">
        <v>80</v>
      </c>
      <c r="S18" s="561">
        <v>5</v>
      </c>
      <c r="T18" s="561">
        <v>1</v>
      </c>
      <c r="U18" s="572"/>
      <c r="V18" s="573">
        <v>1</v>
      </c>
      <c r="W18" s="561"/>
      <c r="X18" s="561"/>
      <c r="Y18" s="572"/>
      <c r="Z18" s="573"/>
      <c r="AA18" s="561">
        <v>4</v>
      </c>
      <c r="AB18" s="561">
        <v>4</v>
      </c>
      <c r="AC18" s="798">
        <f t="shared" si="1"/>
        <v>100</v>
      </c>
      <c r="AD18" s="799">
        <f t="shared" si="1"/>
        <v>107</v>
      </c>
      <c r="AE18" s="1224">
        <f t="shared" si="3"/>
        <v>207</v>
      </c>
    </row>
    <row r="19" spans="1:31" ht="19.5" customHeight="1">
      <c r="A19" s="535" t="s">
        <v>647</v>
      </c>
      <c r="B19" s="536" t="s">
        <v>648</v>
      </c>
      <c r="C19" s="798">
        <f t="shared" si="0"/>
        <v>1</v>
      </c>
      <c r="D19" s="799">
        <f t="shared" si="0"/>
        <v>2</v>
      </c>
      <c r="E19" s="561"/>
      <c r="F19" s="561">
        <v>1</v>
      </c>
      <c r="G19" s="572">
        <v>1</v>
      </c>
      <c r="H19" s="573"/>
      <c r="I19" s="572"/>
      <c r="J19" s="573">
        <v>1</v>
      </c>
      <c r="K19" s="561"/>
      <c r="L19" s="561"/>
      <c r="M19" s="798">
        <f t="shared" si="2"/>
        <v>10</v>
      </c>
      <c r="N19" s="799">
        <f t="shared" si="2"/>
        <v>10</v>
      </c>
      <c r="O19" s="561">
        <v>2</v>
      </c>
      <c r="P19" s="561">
        <v>1</v>
      </c>
      <c r="Q19" s="572">
        <v>7</v>
      </c>
      <c r="R19" s="573">
        <v>9</v>
      </c>
      <c r="S19" s="561">
        <v>1</v>
      </c>
      <c r="T19" s="561"/>
      <c r="U19" s="572"/>
      <c r="V19" s="573"/>
      <c r="W19" s="561"/>
      <c r="X19" s="561"/>
      <c r="Y19" s="572"/>
      <c r="Z19" s="573"/>
      <c r="AA19" s="561">
        <v>1</v>
      </c>
      <c r="AB19" s="561">
        <v>2</v>
      </c>
      <c r="AC19" s="798">
        <f t="shared" si="1"/>
        <v>12</v>
      </c>
      <c r="AD19" s="799">
        <f t="shared" si="1"/>
        <v>14</v>
      </c>
      <c r="AE19" s="1224">
        <f t="shared" si="3"/>
        <v>26</v>
      </c>
    </row>
    <row r="20" spans="1:31" ht="18.75" customHeight="1">
      <c r="A20" s="535" t="s">
        <v>202</v>
      </c>
      <c r="B20" s="536" t="s">
        <v>203</v>
      </c>
      <c r="C20" s="798">
        <f t="shared" si="0"/>
        <v>1</v>
      </c>
      <c r="D20" s="799">
        <f t="shared" si="0"/>
        <v>2</v>
      </c>
      <c r="E20" s="561">
        <v>1</v>
      </c>
      <c r="F20" s="561"/>
      <c r="G20" s="572"/>
      <c r="H20" s="573"/>
      <c r="I20" s="572"/>
      <c r="J20" s="573"/>
      <c r="K20" s="561"/>
      <c r="L20" s="561">
        <v>2</v>
      </c>
      <c r="M20" s="798">
        <f t="shared" si="2"/>
        <v>5</v>
      </c>
      <c r="N20" s="799">
        <f t="shared" si="2"/>
        <v>15</v>
      </c>
      <c r="O20" s="561"/>
      <c r="P20" s="561">
        <v>4</v>
      </c>
      <c r="Q20" s="572">
        <v>5</v>
      </c>
      <c r="R20" s="573">
        <v>11</v>
      </c>
      <c r="S20" s="561"/>
      <c r="T20" s="561"/>
      <c r="U20" s="572"/>
      <c r="V20" s="573"/>
      <c r="W20" s="561"/>
      <c r="X20" s="561"/>
      <c r="Y20" s="572"/>
      <c r="Z20" s="573"/>
      <c r="AA20" s="561">
        <v>1</v>
      </c>
      <c r="AB20" s="561"/>
      <c r="AC20" s="798">
        <f t="shared" si="1"/>
        <v>7</v>
      </c>
      <c r="AD20" s="799">
        <f t="shared" si="1"/>
        <v>17</v>
      </c>
      <c r="AE20" s="1224">
        <f t="shared" si="3"/>
        <v>24</v>
      </c>
    </row>
    <row r="21" spans="1:31" ht="19.5" customHeight="1">
      <c r="A21" s="535" t="s">
        <v>204</v>
      </c>
      <c r="B21" s="536" t="s">
        <v>205</v>
      </c>
      <c r="C21" s="798">
        <f t="shared" si="0"/>
        <v>1</v>
      </c>
      <c r="D21" s="799">
        <f t="shared" si="0"/>
        <v>1</v>
      </c>
      <c r="E21" s="561"/>
      <c r="F21" s="561">
        <v>1</v>
      </c>
      <c r="G21" s="572">
        <v>1</v>
      </c>
      <c r="H21" s="573"/>
      <c r="I21" s="572"/>
      <c r="J21" s="573"/>
      <c r="K21" s="561"/>
      <c r="L21" s="561"/>
      <c r="M21" s="798">
        <f t="shared" si="2"/>
        <v>3</v>
      </c>
      <c r="N21" s="799">
        <f t="shared" si="2"/>
        <v>2</v>
      </c>
      <c r="O21" s="561"/>
      <c r="P21" s="561">
        <v>1</v>
      </c>
      <c r="Q21" s="572">
        <v>2</v>
      </c>
      <c r="R21" s="573">
        <v>1</v>
      </c>
      <c r="S21" s="561"/>
      <c r="T21" s="561"/>
      <c r="U21" s="572"/>
      <c r="V21" s="573"/>
      <c r="W21" s="561"/>
      <c r="X21" s="561"/>
      <c r="Y21" s="572">
        <v>1</v>
      </c>
      <c r="Z21" s="573"/>
      <c r="AA21" s="561"/>
      <c r="AB21" s="561"/>
      <c r="AC21" s="798">
        <f t="shared" si="1"/>
        <v>4</v>
      </c>
      <c r="AD21" s="799">
        <f t="shared" si="1"/>
        <v>3</v>
      </c>
      <c r="AE21" s="1224">
        <f t="shared" si="3"/>
        <v>7</v>
      </c>
    </row>
    <row r="22" spans="1:31" ht="19.5" customHeight="1">
      <c r="A22" s="535" t="s">
        <v>649</v>
      </c>
      <c r="B22" s="536" t="s">
        <v>650</v>
      </c>
      <c r="C22" s="798">
        <f t="shared" si="0"/>
        <v>7</v>
      </c>
      <c r="D22" s="799">
        <f t="shared" si="0"/>
        <v>5</v>
      </c>
      <c r="E22" s="561">
        <v>5</v>
      </c>
      <c r="F22" s="561">
        <v>3</v>
      </c>
      <c r="G22" s="572">
        <v>2</v>
      </c>
      <c r="H22" s="573">
        <v>1</v>
      </c>
      <c r="I22" s="572"/>
      <c r="J22" s="573">
        <v>1</v>
      </c>
      <c r="K22" s="561"/>
      <c r="L22" s="561"/>
      <c r="M22" s="798">
        <f t="shared" si="2"/>
        <v>10</v>
      </c>
      <c r="N22" s="799">
        <f t="shared" si="2"/>
        <v>27</v>
      </c>
      <c r="O22" s="561">
        <v>3</v>
      </c>
      <c r="P22" s="561">
        <v>6</v>
      </c>
      <c r="Q22" s="572">
        <v>5</v>
      </c>
      <c r="R22" s="573">
        <v>19</v>
      </c>
      <c r="S22" s="561">
        <v>2</v>
      </c>
      <c r="T22" s="561"/>
      <c r="U22" s="572"/>
      <c r="V22" s="573">
        <v>1</v>
      </c>
      <c r="W22" s="561"/>
      <c r="X22" s="561"/>
      <c r="Y22" s="572"/>
      <c r="Z22" s="573">
        <v>1</v>
      </c>
      <c r="AA22" s="561"/>
      <c r="AB22" s="561">
        <v>2</v>
      </c>
      <c r="AC22" s="798">
        <f t="shared" si="1"/>
        <v>17</v>
      </c>
      <c r="AD22" s="799">
        <f t="shared" si="1"/>
        <v>34</v>
      </c>
      <c r="AE22" s="1224">
        <f t="shared" si="3"/>
        <v>51</v>
      </c>
    </row>
    <row r="23" spans="1:31" ht="18.75" customHeight="1">
      <c r="A23" s="535" t="s">
        <v>206</v>
      </c>
      <c r="B23" s="536" t="s">
        <v>207</v>
      </c>
      <c r="C23" s="798">
        <f t="shared" si="0"/>
        <v>0</v>
      </c>
      <c r="D23" s="799">
        <f t="shared" si="0"/>
        <v>0</v>
      </c>
      <c r="E23" s="561"/>
      <c r="F23" s="561"/>
      <c r="G23" s="572"/>
      <c r="H23" s="573"/>
      <c r="I23" s="572"/>
      <c r="J23" s="573"/>
      <c r="K23" s="561"/>
      <c r="L23" s="561"/>
      <c r="M23" s="798">
        <f t="shared" si="2"/>
        <v>0</v>
      </c>
      <c r="N23" s="799">
        <f t="shared" si="2"/>
        <v>0</v>
      </c>
      <c r="O23" s="561"/>
      <c r="P23" s="561"/>
      <c r="Q23" s="572"/>
      <c r="R23" s="573"/>
      <c r="S23" s="561"/>
      <c r="T23" s="561"/>
      <c r="U23" s="572"/>
      <c r="V23" s="573"/>
      <c r="W23" s="561"/>
      <c r="X23" s="561"/>
      <c r="Y23" s="572"/>
      <c r="Z23" s="573"/>
      <c r="AA23" s="561"/>
      <c r="AB23" s="561"/>
      <c r="AC23" s="798">
        <f t="shared" si="1"/>
        <v>0</v>
      </c>
      <c r="AD23" s="799">
        <f t="shared" si="1"/>
        <v>0</v>
      </c>
      <c r="AE23" s="1224">
        <f t="shared" si="3"/>
        <v>0</v>
      </c>
    </row>
    <row r="24" spans="1:31" ht="19.5" customHeight="1">
      <c r="A24" s="535" t="s">
        <v>657</v>
      </c>
      <c r="B24" s="536" t="s">
        <v>658</v>
      </c>
      <c r="C24" s="798">
        <f t="shared" si="0"/>
        <v>0</v>
      </c>
      <c r="D24" s="799">
        <f t="shared" si="0"/>
        <v>0</v>
      </c>
      <c r="E24" s="561"/>
      <c r="F24" s="561"/>
      <c r="G24" s="572"/>
      <c r="H24" s="573"/>
      <c r="I24" s="572"/>
      <c r="J24" s="573"/>
      <c r="K24" s="561"/>
      <c r="L24" s="561"/>
      <c r="M24" s="798">
        <f t="shared" si="2"/>
        <v>0</v>
      </c>
      <c r="N24" s="799">
        <f t="shared" si="2"/>
        <v>0</v>
      </c>
      <c r="O24" s="561"/>
      <c r="P24" s="561"/>
      <c r="Q24" s="572"/>
      <c r="R24" s="573"/>
      <c r="S24" s="561"/>
      <c r="T24" s="561"/>
      <c r="U24" s="572"/>
      <c r="V24" s="573"/>
      <c r="W24" s="561"/>
      <c r="X24" s="561"/>
      <c r="Y24" s="572"/>
      <c r="Z24" s="573"/>
      <c r="AA24" s="561"/>
      <c r="AB24" s="561"/>
      <c r="AC24" s="798">
        <f t="shared" si="1"/>
        <v>0</v>
      </c>
      <c r="AD24" s="799">
        <f t="shared" si="1"/>
        <v>0</v>
      </c>
      <c r="AE24" s="1224">
        <f t="shared" si="3"/>
        <v>0</v>
      </c>
    </row>
    <row r="25" spans="1:31" ht="20.25" customHeight="1">
      <c r="A25" s="535" t="s">
        <v>659</v>
      </c>
      <c r="B25" s="536" t="s">
        <v>660</v>
      </c>
      <c r="C25" s="798">
        <f t="shared" si="0"/>
        <v>0</v>
      </c>
      <c r="D25" s="799">
        <f t="shared" si="0"/>
        <v>0</v>
      </c>
      <c r="E25" s="561"/>
      <c r="F25" s="561"/>
      <c r="G25" s="572"/>
      <c r="H25" s="573"/>
      <c r="I25" s="572"/>
      <c r="J25" s="573"/>
      <c r="K25" s="561"/>
      <c r="L25" s="561"/>
      <c r="M25" s="798">
        <f t="shared" si="2"/>
        <v>0</v>
      </c>
      <c r="N25" s="799">
        <f t="shared" si="2"/>
        <v>0</v>
      </c>
      <c r="O25" s="561"/>
      <c r="P25" s="561"/>
      <c r="Q25" s="572"/>
      <c r="R25" s="573"/>
      <c r="S25" s="561"/>
      <c r="T25" s="561"/>
      <c r="U25" s="572"/>
      <c r="V25" s="573"/>
      <c r="W25" s="561"/>
      <c r="X25" s="561"/>
      <c r="Y25" s="572"/>
      <c r="Z25" s="573"/>
      <c r="AA25" s="561"/>
      <c r="AB25" s="561"/>
      <c r="AC25" s="798">
        <f t="shared" si="1"/>
        <v>0</v>
      </c>
      <c r="AD25" s="799">
        <f t="shared" si="1"/>
        <v>0</v>
      </c>
      <c r="AE25" s="1224">
        <f t="shared" si="3"/>
        <v>0</v>
      </c>
    </row>
    <row r="26" spans="1:31" ht="21.75" customHeight="1">
      <c r="A26" s="535" t="s">
        <v>653</v>
      </c>
      <c r="B26" s="536" t="s">
        <v>673</v>
      </c>
      <c r="C26" s="798">
        <f t="shared" ref="C26:D29" si="4">+E26+G26+I26+K26</f>
        <v>2</v>
      </c>
      <c r="D26" s="799">
        <f t="shared" si="4"/>
        <v>0</v>
      </c>
      <c r="E26" s="561">
        <v>2</v>
      </c>
      <c r="F26" s="561"/>
      <c r="G26" s="572"/>
      <c r="H26" s="573"/>
      <c r="I26" s="572"/>
      <c r="J26" s="573"/>
      <c r="K26" s="561"/>
      <c r="L26" s="561"/>
      <c r="M26" s="798">
        <f t="shared" si="2"/>
        <v>2</v>
      </c>
      <c r="N26" s="799">
        <f t="shared" si="2"/>
        <v>4</v>
      </c>
      <c r="O26" s="561"/>
      <c r="P26" s="561">
        <v>1</v>
      </c>
      <c r="Q26" s="572">
        <v>2</v>
      </c>
      <c r="R26" s="573">
        <v>2</v>
      </c>
      <c r="S26" s="561"/>
      <c r="T26" s="561"/>
      <c r="U26" s="572"/>
      <c r="V26" s="573">
        <v>1</v>
      </c>
      <c r="W26" s="561"/>
      <c r="X26" s="561"/>
      <c r="Y26" s="572"/>
      <c r="Z26" s="573"/>
      <c r="AA26" s="561"/>
      <c r="AB26" s="561"/>
      <c r="AC26" s="798">
        <f t="shared" ref="AC26:AD29" si="5">+M26+C26+AA26</f>
        <v>4</v>
      </c>
      <c r="AD26" s="799">
        <f t="shared" si="5"/>
        <v>4</v>
      </c>
      <c r="AE26" s="1224">
        <f>SUM(AC26:AD26)</f>
        <v>8</v>
      </c>
    </row>
    <row r="27" spans="1:31" ht="21.75" customHeight="1">
      <c r="A27" s="535" t="s">
        <v>645</v>
      </c>
      <c r="B27" s="539" t="s">
        <v>208</v>
      </c>
      <c r="C27" s="798">
        <f>+E27+G27+I27+K27</f>
        <v>3</v>
      </c>
      <c r="D27" s="799">
        <f>+F27+H27+J27+L27</f>
        <v>6</v>
      </c>
      <c r="E27" s="561">
        <v>3</v>
      </c>
      <c r="F27" s="561">
        <v>6</v>
      </c>
      <c r="G27" s="572"/>
      <c r="H27" s="573"/>
      <c r="I27" s="572"/>
      <c r="J27" s="573"/>
      <c r="K27" s="561"/>
      <c r="L27" s="561"/>
      <c r="M27" s="798">
        <f t="shared" ref="M27:N29" si="6">+O27+Q27+S27+U27+W27+Y27</f>
        <v>17</v>
      </c>
      <c r="N27" s="799">
        <f t="shared" si="6"/>
        <v>13</v>
      </c>
      <c r="O27" s="561">
        <v>4</v>
      </c>
      <c r="P27" s="561">
        <v>4</v>
      </c>
      <c r="Q27" s="572">
        <v>13</v>
      </c>
      <c r="R27" s="573">
        <v>7</v>
      </c>
      <c r="S27" s="561"/>
      <c r="T27" s="561">
        <v>2</v>
      </c>
      <c r="U27" s="572"/>
      <c r="V27" s="573"/>
      <c r="W27" s="561"/>
      <c r="X27" s="561"/>
      <c r="Y27" s="572"/>
      <c r="Z27" s="573"/>
      <c r="AA27" s="561">
        <v>1</v>
      </c>
      <c r="AB27" s="561"/>
      <c r="AC27" s="798">
        <f>+M27+C27+AA27</f>
        <v>21</v>
      </c>
      <c r="AD27" s="799">
        <f>+N27+D27+AB27</f>
        <v>19</v>
      </c>
      <c r="AE27" s="1224">
        <f>SUM(AC27:AD27)</f>
        <v>40</v>
      </c>
    </row>
    <row r="28" spans="1:31" ht="21.75" customHeight="1">
      <c r="A28" s="181" t="s">
        <v>1437</v>
      </c>
      <c r="B28" s="211" t="s">
        <v>1439</v>
      </c>
      <c r="C28" s="798">
        <f>+E28+G28+I28+K28</f>
        <v>2</v>
      </c>
      <c r="D28" s="799">
        <f>+F28+H28+J28+L28</f>
        <v>2</v>
      </c>
      <c r="E28" s="561"/>
      <c r="F28" s="561">
        <v>2</v>
      </c>
      <c r="G28" s="572">
        <v>2</v>
      </c>
      <c r="H28" s="573"/>
      <c r="I28" s="572"/>
      <c r="J28" s="573"/>
      <c r="K28" s="561"/>
      <c r="L28" s="561"/>
      <c r="M28" s="798">
        <f t="shared" si="6"/>
        <v>9</v>
      </c>
      <c r="N28" s="799">
        <f t="shared" si="6"/>
        <v>9</v>
      </c>
      <c r="O28" s="561">
        <v>1</v>
      </c>
      <c r="P28" s="561">
        <v>2</v>
      </c>
      <c r="Q28" s="572">
        <v>6</v>
      </c>
      <c r="R28" s="573">
        <v>6</v>
      </c>
      <c r="S28" s="561">
        <v>1</v>
      </c>
      <c r="T28" s="561"/>
      <c r="U28" s="572"/>
      <c r="V28" s="573"/>
      <c r="W28" s="561"/>
      <c r="X28" s="561">
        <v>1</v>
      </c>
      <c r="Y28" s="572">
        <v>1</v>
      </c>
      <c r="Z28" s="573"/>
      <c r="AA28" s="561">
        <v>1</v>
      </c>
      <c r="AB28" s="561"/>
      <c r="AC28" s="798">
        <f>+M28+C28+AA28</f>
        <v>12</v>
      </c>
      <c r="AD28" s="799">
        <f>+N28+D28+AB28</f>
        <v>11</v>
      </c>
      <c r="AE28" s="1224">
        <f>SUM(AC28:AD28)</f>
        <v>23</v>
      </c>
    </row>
    <row r="29" spans="1:31" ht="27.75" customHeight="1">
      <c r="A29" s="181" t="s">
        <v>1438</v>
      </c>
      <c r="B29" s="211" t="s">
        <v>1440</v>
      </c>
      <c r="C29" s="798">
        <f t="shared" si="4"/>
        <v>0</v>
      </c>
      <c r="D29" s="799">
        <f t="shared" si="4"/>
        <v>0</v>
      </c>
      <c r="E29" s="561"/>
      <c r="F29" s="561"/>
      <c r="G29" s="572"/>
      <c r="H29" s="573"/>
      <c r="I29" s="572"/>
      <c r="J29" s="573"/>
      <c r="K29" s="561"/>
      <c r="L29" s="561"/>
      <c r="M29" s="798">
        <f t="shared" si="6"/>
        <v>0</v>
      </c>
      <c r="N29" s="799">
        <f t="shared" si="6"/>
        <v>0</v>
      </c>
      <c r="O29" s="561"/>
      <c r="P29" s="561"/>
      <c r="Q29" s="572"/>
      <c r="R29" s="573"/>
      <c r="S29" s="561"/>
      <c r="T29" s="561"/>
      <c r="U29" s="572"/>
      <c r="V29" s="573"/>
      <c r="W29" s="561"/>
      <c r="X29" s="561"/>
      <c r="Y29" s="572"/>
      <c r="Z29" s="573"/>
      <c r="AA29" s="561"/>
      <c r="AB29" s="561"/>
      <c r="AC29" s="798">
        <f t="shared" si="5"/>
        <v>0</v>
      </c>
      <c r="AD29" s="799">
        <f t="shared" si="5"/>
        <v>0</v>
      </c>
      <c r="AE29" s="1224">
        <f>SUM(AC29:AD29)</f>
        <v>0</v>
      </c>
    </row>
    <row r="30" spans="1:31" ht="21.75" customHeight="1" thickBot="1">
      <c r="A30" s="540"/>
      <c r="B30" s="540" t="s">
        <v>767</v>
      </c>
      <c r="C30" s="1214">
        <f>SUM(C10:C29)</f>
        <v>37</v>
      </c>
      <c r="D30" s="1215">
        <f>SUM(D10:D29)</f>
        <v>33</v>
      </c>
      <c r="E30" s="1216">
        <f>SUM(E10:E29)</f>
        <v>24</v>
      </c>
      <c r="F30" s="789">
        <f t="shared" ref="F30:AB30" si="7">SUM(F10:F29)</f>
        <v>24</v>
      </c>
      <c r="G30" s="1217">
        <f t="shared" si="7"/>
        <v>11</v>
      </c>
      <c r="H30" s="789">
        <f t="shared" si="7"/>
        <v>4</v>
      </c>
      <c r="I30" s="1217">
        <f t="shared" si="7"/>
        <v>1</v>
      </c>
      <c r="J30" s="789">
        <f t="shared" si="7"/>
        <v>3</v>
      </c>
      <c r="K30" s="1217">
        <f t="shared" si="7"/>
        <v>1</v>
      </c>
      <c r="L30" s="1216">
        <f t="shared" si="7"/>
        <v>2</v>
      </c>
      <c r="M30" s="1214">
        <f t="shared" si="7"/>
        <v>198</v>
      </c>
      <c r="N30" s="1215">
        <f t="shared" si="7"/>
        <v>230</v>
      </c>
      <c r="O30" s="1216">
        <f t="shared" si="7"/>
        <v>32</v>
      </c>
      <c r="P30" s="789">
        <f t="shared" si="7"/>
        <v>41</v>
      </c>
      <c r="Q30" s="1217">
        <f t="shared" si="7"/>
        <v>152</v>
      </c>
      <c r="R30" s="789">
        <f t="shared" si="7"/>
        <v>178</v>
      </c>
      <c r="S30" s="1217">
        <f t="shared" si="7"/>
        <v>11</v>
      </c>
      <c r="T30" s="789">
        <f t="shared" si="7"/>
        <v>6</v>
      </c>
      <c r="U30" s="1217">
        <f t="shared" si="7"/>
        <v>0</v>
      </c>
      <c r="V30" s="789">
        <f t="shared" si="7"/>
        <v>3</v>
      </c>
      <c r="W30" s="1217">
        <f t="shared" si="7"/>
        <v>1</v>
      </c>
      <c r="X30" s="789">
        <f t="shared" si="7"/>
        <v>1</v>
      </c>
      <c r="Y30" s="1217">
        <f t="shared" si="7"/>
        <v>2</v>
      </c>
      <c r="Z30" s="789">
        <f t="shared" si="7"/>
        <v>1</v>
      </c>
      <c r="AA30" s="1217">
        <f t="shared" si="7"/>
        <v>16</v>
      </c>
      <c r="AB30" s="1216">
        <f t="shared" si="7"/>
        <v>11</v>
      </c>
      <c r="AC30" s="1214">
        <f>SUM(AC10:AC29)</f>
        <v>251</v>
      </c>
      <c r="AD30" s="1215">
        <f>SUM(AD10:AD29)</f>
        <v>274</v>
      </c>
      <c r="AE30" s="1218">
        <f>SUM(AE10:AE29)</f>
        <v>525</v>
      </c>
    </row>
    <row r="31" spans="1:31" ht="21.75" customHeight="1">
      <c r="A31" s="543"/>
      <c r="B31" s="543"/>
      <c r="C31" s="563"/>
      <c r="D31" s="563"/>
      <c r="E31" s="563"/>
      <c r="F31" s="563"/>
      <c r="G31" s="563"/>
      <c r="H31" s="563"/>
      <c r="I31" s="563"/>
      <c r="J31" s="563"/>
      <c r="K31" s="563"/>
      <c r="L31" s="563"/>
      <c r="M31" s="563"/>
      <c r="N31" s="563"/>
      <c r="O31" s="563"/>
      <c r="P31" s="563"/>
      <c r="Q31" s="563"/>
      <c r="R31" s="563"/>
      <c r="S31" s="563"/>
      <c r="T31" s="563"/>
      <c r="U31" s="563"/>
      <c r="V31" s="563"/>
      <c r="W31" s="563"/>
      <c r="X31" s="563"/>
      <c r="Y31" s="569"/>
      <c r="Z31" s="569"/>
      <c r="AA31" s="561"/>
      <c r="AB31" s="561"/>
      <c r="AC31" s="561"/>
      <c r="AD31" s="561"/>
      <c r="AE31" s="561"/>
    </row>
    <row r="32" spans="1:31">
      <c r="A32" s="1646" t="s">
        <v>209</v>
      </c>
      <c r="B32" s="1646"/>
      <c r="C32" s="1646"/>
      <c r="D32" s="1646"/>
      <c r="E32" s="1646"/>
      <c r="F32" s="1646"/>
      <c r="G32" s="1646"/>
      <c r="H32" s="1646"/>
      <c r="I32" s="1646"/>
      <c r="J32" s="1646"/>
      <c r="K32" s="1646"/>
      <c r="L32" s="1646"/>
      <c r="M32" s="1646"/>
      <c r="N32" s="1646"/>
      <c r="O32" s="1646"/>
      <c r="P32" s="1646"/>
      <c r="Q32" s="1646"/>
      <c r="R32" s="1646"/>
      <c r="S32" s="1646"/>
      <c r="T32" s="1646"/>
      <c r="U32" s="1646"/>
      <c r="V32" s="1646"/>
      <c r="W32" s="1646"/>
      <c r="X32" s="570"/>
      <c r="Y32" s="563"/>
      <c r="Z32" s="563"/>
      <c r="AA32" s="561"/>
      <c r="AB32" s="561"/>
      <c r="AC32" s="561"/>
      <c r="AD32" s="561"/>
      <c r="AE32" s="561"/>
    </row>
    <row r="33" spans="1:31">
      <c r="A33" s="583"/>
      <c r="B33" s="583"/>
      <c r="C33" s="576"/>
      <c r="D33" s="576"/>
      <c r="E33" s="576"/>
      <c r="F33" s="576"/>
      <c r="G33" s="576"/>
      <c r="H33" s="576"/>
      <c r="I33" s="576"/>
      <c r="J33" s="576"/>
      <c r="K33" s="576"/>
      <c r="L33" s="576"/>
      <c r="M33" s="576"/>
      <c r="N33" s="576"/>
      <c r="O33" s="561"/>
      <c r="P33" s="561"/>
      <c r="Q33" s="561"/>
      <c r="R33" s="561"/>
      <c r="S33" s="561"/>
      <c r="T33" s="561"/>
      <c r="U33" s="561"/>
      <c r="V33" s="561"/>
      <c r="W33" s="561"/>
      <c r="X33" s="561"/>
      <c r="Y33" s="561"/>
      <c r="Z33" s="561"/>
      <c r="AA33" s="561"/>
      <c r="AB33" s="561"/>
      <c r="AC33" s="561"/>
      <c r="AD33" s="561"/>
      <c r="AE33" s="561"/>
    </row>
    <row r="34" spans="1:31">
      <c r="A34" s="1646" t="str">
        <f>+A3</f>
        <v>SERVICIO DE SALUD   ACONCAGUA   2023</v>
      </c>
      <c r="B34" s="1646"/>
      <c r="C34" s="1646"/>
      <c r="D34" s="1646"/>
      <c r="E34" s="1646"/>
      <c r="F34" s="1646"/>
      <c r="G34" s="1646"/>
      <c r="H34" s="1646"/>
      <c r="I34" s="1646"/>
      <c r="J34" s="1646"/>
      <c r="K34" s="1646"/>
      <c r="L34" s="1646"/>
      <c r="M34" s="1646"/>
      <c r="N34" s="1646"/>
      <c r="O34" s="1646"/>
      <c r="P34" s="1646"/>
      <c r="Q34" s="1646"/>
      <c r="R34" s="1646"/>
      <c r="S34" s="1646"/>
      <c r="T34" s="1646"/>
      <c r="U34" s="1646"/>
      <c r="V34" s="1646"/>
      <c r="W34" s="1646"/>
      <c r="X34" s="570"/>
      <c r="Y34" s="561"/>
      <c r="Z34" s="561"/>
      <c r="AA34" s="561"/>
      <c r="AB34" s="561"/>
      <c r="AC34" s="561"/>
      <c r="AD34" s="561"/>
      <c r="AE34" s="561"/>
    </row>
    <row r="35" spans="1:31">
      <c r="A35" s="583"/>
      <c r="B35" s="583"/>
      <c r="C35" s="576"/>
      <c r="D35" s="576"/>
      <c r="E35" s="576"/>
      <c r="F35" s="576"/>
      <c r="G35" s="576"/>
      <c r="H35" s="576"/>
      <c r="I35" s="576"/>
      <c r="J35" s="576"/>
      <c r="K35" s="576"/>
      <c r="L35" s="576"/>
      <c r="M35" s="576"/>
      <c r="N35" s="576"/>
      <c r="O35" s="561"/>
      <c r="P35" s="561"/>
      <c r="Q35" s="561"/>
      <c r="R35" s="561"/>
      <c r="S35" s="561"/>
      <c r="T35" s="561"/>
      <c r="U35" s="561"/>
      <c r="V35" s="561"/>
      <c r="W35" s="561"/>
      <c r="X35" s="561"/>
      <c r="Y35" s="561"/>
      <c r="Z35" s="561"/>
      <c r="AA35" s="561"/>
      <c r="AB35" s="561"/>
      <c r="AC35" s="561"/>
      <c r="AD35" s="561"/>
      <c r="AE35" s="561"/>
    </row>
    <row r="36" spans="1:31">
      <c r="A36" s="1646" t="s">
        <v>216</v>
      </c>
      <c r="B36" s="1646"/>
      <c r="C36" s="1646"/>
      <c r="D36" s="1646"/>
      <c r="E36" s="1646"/>
      <c r="F36" s="1646"/>
      <c r="G36" s="1646"/>
      <c r="H36" s="1646"/>
      <c r="I36" s="1646"/>
      <c r="J36" s="1646"/>
      <c r="K36" s="1646"/>
      <c r="L36" s="1646"/>
      <c r="M36" s="1646"/>
      <c r="N36" s="1646"/>
      <c r="O36" s="1646"/>
      <c r="P36" s="1646"/>
      <c r="Q36" s="1646"/>
      <c r="R36" s="1646"/>
      <c r="S36" s="1646"/>
      <c r="T36" s="1646"/>
      <c r="U36" s="1646"/>
      <c r="V36" s="1646"/>
      <c r="W36" s="1646"/>
      <c r="X36" s="570"/>
      <c r="Y36" s="584"/>
      <c r="Z36" s="584"/>
      <c r="AA36" s="561"/>
      <c r="AB36" s="561"/>
      <c r="AC36" s="561"/>
      <c r="AD36" s="561"/>
      <c r="AE36" s="561"/>
    </row>
    <row r="37" spans="1:31">
      <c r="C37" s="561"/>
      <c r="D37" s="561"/>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row>
    <row r="38" spans="1:31" ht="21.75" customHeight="1">
      <c r="A38" s="1454" t="s">
        <v>627</v>
      </c>
      <c r="B38" s="1477"/>
      <c r="C38" s="1634" t="s">
        <v>661</v>
      </c>
      <c r="D38" s="1635"/>
      <c r="E38" s="1635"/>
      <c r="F38" s="1635"/>
      <c r="G38" s="1635"/>
      <c r="H38" s="1635"/>
      <c r="I38" s="1635"/>
      <c r="J38" s="1635"/>
      <c r="K38" s="1635"/>
      <c r="L38" s="1635"/>
      <c r="M38" s="1635"/>
      <c r="N38" s="1635"/>
      <c r="O38" s="1635"/>
      <c r="P38" s="1635"/>
      <c r="Q38" s="1635"/>
      <c r="R38" s="1635"/>
      <c r="S38" s="1635"/>
      <c r="T38" s="1635"/>
      <c r="U38" s="1635"/>
      <c r="V38" s="1635"/>
      <c r="W38" s="1457"/>
      <c r="X38" s="1457"/>
      <c r="Y38" s="1458"/>
      <c r="Z38" s="561"/>
      <c r="AA38" s="561"/>
      <c r="AB38" s="561"/>
      <c r="AC38" s="561"/>
      <c r="AD38" s="561"/>
      <c r="AE38" s="561"/>
    </row>
    <row r="39" spans="1:31" ht="23.25" customHeight="1">
      <c r="A39" s="1459" t="s">
        <v>629</v>
      </c>
      <c r="B39" s="1478" t="s">
        <v>630</v>
      </c>
      <c r="C39" s="1632" t="s">
        <v>663</v>
      </c>
      <c r="D39" s="1632"/>
      <c r="E39" s="1632" t="s">
        <v>664</v>
      </c>
      <c r="F39" s="1632"/>
      <c r="G39" s="1632" t="s">
        <v>665</v>
      </c>
      <c r="H39" s="1632"/>
      <c r="I39" s="1632" t="s">
        <v>666</v>
      </c>
      <c r="J39" s="1632"/>
      <c r="K39" s="1632" t="s">
        <v>667</v>
      </c>
      <c r="L39" s="1632"/>
      <c r="M39" s="1632" t="s">
        <v>668</v>
      </c>
      <c r="N39" s="1632"/>
      <c r="O39" s="1632" t="s">
        <v>669</v>
      </c>
      <c r="P39" s="1632"/>
      <c r="Q39" s="1632" t="s">
        <v>670</v>
      </c>
      <c r="R39" s="1632"/>
      <c r="S39" s="1632" t="s">
        <v>671</v>
      </c>
      <c r="T39" s="1632"/>
      <c r="U39" s="1632" t="s">
        <v>672</v>
      </c>
      <c r="V39" s="1632"/>
      <c r="W39" s="1632" t="s">
        <v>474</v>
      </c>
      <c r="X39" s="1632"/>
      <c r="Y39" s="1632"/>
      <c r="Z39" s="561"/>
      <c r="AA39" s="561"/>
      <c r="AB39" s="561"/>
      <c r="AC39" s="561"/>
      <c r="AD39" s="561"/>
      <c r="AE39" s="561"/>
    </row>
    <row r="40" spans="1:31">
      <c r="A40" s="1461"/>
      <c r="B40" s="1479"/>
      <c r="C40" s="1083" t="s">
        <v>1301</v>
      </c>
      <c r="D40" s="1084" t="s">
        <v>1302</v>
      </c>
      <c r="E40" s="1082" t="s">
        <v>1301</v>
      </c>
      <c r="F40" s="1084" t="s">
        <v>1302</v>
      </c>
      <c r="G40" s="1082" t="s">
        <v>1301</v>
      </c>
      <c r="H40" s="1084" t="s">
        <v>1302</v>
      </c>
      <c r="I40" s="1082" t="s">
        <v>1301</v>
      </c>
      <c r="J40" s="1084" t="s">
        <v>1302</v>
      </c>
      <c r="K40" s="1082" t="s">
        <v>1301</v>
      </c>
      <c r="L40" s="1084" t="s">
        <v>1302</v>
      </c>
      <c r="M40" s="1082" t="s">
        <v>1301</v>
      </c>
      <c r="N40" s="1084" t="s">
        <v>1302</v>
      </c>
      <c r="O40" s="1082" t="s">
        <v>1301</v>
      </c>
      <c r="P40" s="1084" t="s">
        <v>1302</v>
      </c>
      <c r="Q40" s="1082" t="s">
        <v>1301</v>
      </c>
      <c r="R40" s="1084" t="s">
        <v>1302</v>
      </c>
      <c r="S40" s="1082" t="s">
        <v>1301</v>
      </c>
      <c r="T40" s="1084" t="s">
        <v>1302</v>
      </c>
      <c r="U40" s="1082" t="s">
        <v>1301</v>
      </c>
      <c r="V40" s="1084" t="s">
        <v>1302</v>
      </c>
      <c r="W40" s="1082" t="s">
        <v>1301</v>
      </c>
      <c r="X40" s="1084" t="s">
        <v>1302</v>
      </c>
      <c r="Y40" s="1463" t="s">
        <v>448</v>
      </c>
      <c r="Z40" s="561"/>
      <c r="AA40" s="561"/>
      <c r="AB40" s="561"/>
      <c r="AC40" s="561"/>
      <c r="AD40" s="561"/>
      <c r="AE40" s="561"/>
    </row>
    <row r="41" spans="1:31" ht="20.25" customHeight="1">
      <c r="A41" s="535" t="s">
        <v>651</v>
      </c>
      <c r="B41" s="536" t="s">
        <v>652</v>
      </c>
      <c r="C41" s="561"/>
      <c r="D41" s="561"/>
      <c r="E41" s="785"/>
      <c r="F41" s="531"/>
      <c r="G41" s="561"/>
      <c r="H41" s="561"/>
      <c r="I41" s="785"/>
      <c r="J41" s="531"/>
      <c r="K41" s="561"/>
      <c r="L41" s="561"/>
      <c r="M41" s="785"/>
      <c r="N41" s="531"/>
      <c r="O41" s="561"/>
      <c r="P41" s="561"/>
      <c r="Q41" s="785">
        <v>1</v>
      </c>
      <c r="R41" s="531"/>
      <c r="S41" s="785"/>
      <c r="T41" s="531"/>
      <c r="U41" s="561">
        <v>3</v>
      </c>
      <c r="V41" s="561">
        <v>4</v>
      </c>
      <c r="W41" s="785">
        <f t="shared" ref="W41:X56" si="8">+M41+O41+Q41+S41+U41</f>
        <v>4</v>
      </c>
      <c r="X41" s="531">
        <f t="shared" si="8"/>
        <v>4</v>
      </c>
      <c r="Y41" s="573">
        <f>SUM(W41:X41)</f>
        <v>8</v>
      </c>
      <c r="Z41" s="561"/>
      <c r="AA41" s="561"/>
      <c r="AB41" s="561"/>
      <c r="AC41" s="561"/>
      <c r="AD41" s="561"/>
      <c r="AE41" s="561"/>
    </row>
    <row r="42" spans="1:31" ht="19.5" customHeight="1">
      <c r="A42" s="535" t="s">
        <v>640</v>
      </c>
      <c r="B42" s="536" t="s">
        <v>641</v>
      </c>
      <c r="C42" s="561"/>
      <c r="D42" s="561"/>
      <c r="E42" s="572"/>
      <c r="F42" s="573"/>
      <c r="G42" s="561"/>
      <c r="H42" s="561"/>
      <c r="I42" s="572"/>
      <c r="J42" s="573"/>
      <c r="K42" s="561"/>
      <c r="L42" s="561"/>
      <c r="M42" s="572"/>
      <c r="N42" s="573"/>
      <c r="O42" s="561"/>
      <c r="P42" s="561"/>
      <c r="Q42" s="572"/>
      <c r="R42" s="573"/>
      <c r="S42" s="572">
        <v>1</v>
      </c>
      <c r="T42" s="573">
        <v>5</v>
      </c>
      <c r="U42" s="561">
        <v>4</v>
      </c>
      <c r="V42" s="561">
        <v>2</v>
      </c>
      <c r="W42" s="572">
        <f t="shared" si="8"/>
        <v>5</v>
      </c>
      <c r="X42" s="573">
        <f t="shared" si="8"/>
        <v>7</v>
      </c>
      <c r="Y42" s="573">
        <f>SUM(W42:X42)</f>
        <v>12</v>
      </c>
      <c r="Z42" s="561"/>
      <c r="AA42" s="561"/>
      <c r="AB42" s="561"/>
      <c r="AC42" s="561"/>
      <c r="AD42" s="561"/>
      <c r="AE42" s="561"/>
    </row>
    <row r="43" spans="1:31" ht="18" customHeight="1">
      <c r="A43" s="535" t="s">
        <v>194</v>
      </c>
      <c r="B43" s="536" t="s">
        <v>195</v>
      </c>
      <c r="C43" s="561"/>
      <c r="D43" s="561"/>
      <c r="E43" s="572"/>
      <c r="F43" s="573"/>
      <c r="G43" s="561"/>
      <c r="H43" s="561"/>
      <c r="I43" s="572"/>
      <c r="J43" s="573"/>
      <c r="K43" s="561"/>
      <c r="L43" s="561"/>
      <c r="M43" s="572"/>
      <c r="N43" s="573"/>
      <c r="O43" s="561"/>
      <c r="P43" s="561"/>
      <c r="Q43" s="572"/>
      <c r="R43" s="573"/>
      <c r="S43" s="572"/>
      <c r="T43" s="573"/>
      <c r="U43" s="561"/>
      <c r="V43" s="561">
        <v>1</v>
      </c>
      <c r="W43" s="572">
        <f t="shared" si="8"/>
        <v>0</v>
      </c>
      <c r="X43" s="573">
        <f t="shared" si="8"/>
        <v>1</v>
      </c>
      <c r="Y43" s="573">
        <f>SUM(W43:X43)</f>
        <v>1</v>
      </c>
      <c r="Z43" s="561"/>
      <c r="AA43" s="561"/>
      <c r="AB43" s="561"/>
      <c r="AC43" s="561"/>
      <c r="AD43" s="561"/>
      <c r="AE43" s="561"/>
    </row>
    <row r="44" spans="1:31" ht="19.5" customHeight="1">
      <c r="A44" s="535" t="s">
        <v>655</v>
      </c>
      <c r="B44" s="536" t="s">
        <v>656</v>
      </c>
      <c r="C44" s="561"/>
      <c r="D44" s="561"/>
      <c r="E44" s="572"/>
      <c r="F44" s="573"/>
      <c r="G44" s="561"/>
      <c r="H44" s="561"/>
      <c r="I44" s="572"/>
      <c r="J44" s="573"/>
      <c r="K44" s="561"/>
      <c r="L44" s="561"/>
      <c r="M44" s="572"/>
      <c r="N44" s="573"/>
      <c r="O44" s="561"/>
      <c r="P44" s="561"/>
      <c r="Q44" s="572"/>
      <c r="R44" s="573"/>
      <c r="S44" s="572">
        <v>5</v>
      </c>
      <c r="T44" s="573">
        <v>3</v>
      </c>
      <c r="U44" s="561">
        <v>4</v>
      </c>
      <c r="V44" s="561">
        <v>3</v>
      </c>
      <c r="W44" s="572">
        <f t="shared" si="8"/>
        <v>9</v>
      </c>
      <c r="X44" s="573">
        <f t="shared" si="8"/>
        <v>6</v>
      </c>
      <c r="Y44" s="573">
        <f>SUM(W44:X44)</f>
        <v>15</v>
      </c>
      <c r="Z44" s="561"/>
      <c r="AA44" s="561"/>
      <c r="AB44" s="561"/>
      <c r="AC44" s="561"/>
      <c r="AD44" s="561"/>
      <c r="AE44" s="561"/>
    </row>
    <row r="45" spans="1:31" ht="19.5" customHeight="1">
      <c r="A45" s="535" t="s">
        <v>196</v>
      </c>
      <c r="B45" s="536" t="s">
        <v>197</v>
      </c>
      <c r="C45" s="561"/>
      <c r="D45" s="561"/>
      <c r="E45" s="572"/>
      <c r="F45" s="573"/>
      <c r="G45" s="561"/>
      <c r="H45" s="561"/>
      <c r="I45" s="572"/>
      <c r="J45" s="573"/>
      <c r="K45" s="561"/>
      <c r="L45" s="561"/>
      <c r="M45" s="572"/>
      <c r="N45" s="573"/>
      <c r="O45" s="561">
        <v>1</v>
      </c>
      <c r="P45" s="561">
        <v>1</v>
      </c>
      <c r="Q45" s="572">
        <v>21</v>
      </c>
      <c r="R45" s="573">
        <v>6</v>
      </c>
      <c r="S45" s="572">
        <v>12</v>
      </c>
      <c r="T45" s="573">
        <v>5</v>
      </c>
      <c r="U45" s="561"/>
      <c r="V45" s="561">
        <v>1</v>
      </c>
      <c r="W45" s="572">
        <f t="shared" si="8"/>
        <v>34</v>
      </c>
      <c r="X45" s="573">
        <f t="shared" si="8"/>
        <v>13</v>
      </c>
      <c r="Y45" s="573">
        <f>SUM(W45:X45)</f>
        <v>47</v>
      </c>
      <c r="Z45" s="561"/>
      <c r="AA45" s="561"/>
      <c r="AB45" s="561"/>
      <c r="AC45" s="561"/>
      <c r="AD45" s="561"/>
      <c r="AE45" s="561"/>
    </row>
    <row r="46" spans="1:31" ht="19.5" customHeight="1">
      <c r="A46" s="535" t="s">
        <v>198</v>
      </c>
      <c r="B46" s="536" t="s">
        <v>199</v>
      </c>
      <c r="C46" s="561"/>
      <c r="D46" s="561"/>
      <c r="E46" s="572"/>
      <c r="F46" s="573"/>
      <c r="G46" s="561"/>
      <c r="H46" s="561"/>
      <c r="I46" s="572"/>
      <c r="J46" s="573"/>
      <c r="K46" s="561"/>
      <c r="L46" s="561"/>
      <c r="M46" s="572"/>
      <c r="N46" s="573"/>
      <c r="O46" s="561"/>
      <c r="P46" s="561"/>
      <c r="Q46" s="572"/>
      <c r="R46" s="573"/>
      <c r="S46" s="572"/>
      <c r="T46" s="573"/>
      <c r="U46" s="561">
        <v>2</v>
      </c>
      <c r="V46" s="561">
        <v>3</v>
      </c>
      <c r="W46" s="572">
        <f t="shared" si="8"/>
        <v>2</v>
      </c>
      <c r="X46" s="573">
        <f t="shared" si="8"/>
        <v>3</v>
      </c>
      <c r="Y46" s="573">
        <f t="shared" ref="Y46:Y60" si="9">SUM(W46:X46)</f>
        <v>5</v>
      </c>
      <c r="Z46" s="561"/>
      <c r="AA46" s="561"/>
      <c r="AB46" s="561"/>
      <c r="AC46" s="561"/>
      <c r="AD46" s="561"/>
      <c r="AE46" s="561"/>
    </row>
    <row r="47" spans="1:31" ht="19.5" customHeight="1">
      <c r="A47" s="535" t="s">
        <v>200</v>
      </c>
      <c r="B47" s="536" t="s">
        <v>201</v>
      </c>
      <c r="C47" s="561"/>
      <c r="D47" s="561"/>
      <c r="E47" s="572"/>
      <c r="F47" s="573"/>
      <c r="G47" s="561"/>
      <c r="H47" s="561"/>
      <c r="I47" s="572"/>
      <c r="J47" s="573"/>
      <c r="K47" s="561"/>
      <c r="L47" s="561"/>
      <c r="M47" s="572"/>
      <c r="N47" s="573"/>
      <c r="O47" s="561"/>
      <c r="P47" s="561"/>
      <c r="Q47" s="572"/>
      <c r="R47" s="573"/>
      <c r="S47" s="572"/>
      <c r="T47" s="573"/>
      <c r="U47" s="561"/>
      <c r="V47" s="561"/>
      <c r="W47" s="572">
        <f t="shared" si="8"/>
        <v>0</v>
      </c>
      <c r="X47" s="573">
        <f t="shared" si="8"/>
        <v>0</v>
      </c>
      <c r="Y47" s="573">
        <f t="shared" si="9"/>
        <v>0</v>
      </c>
      <c r="Z47" s="561"/>
      <c r="AA47" s="561"/>
      <c r="AB47" s="561"/>
      <c r="AC47" s="561"/>
      <c r="AD47" s="561"/>
      <c r="AE47" s="561"/>
    </row>
    <row r="48" spans="1:31" ht="18" customHeight="1">
      <c r="A48" s="535" t="s">
        <v>638</v>
      </c>
      <c r="B48" s="536" t="s">
        <v>639</v>
      </c>
      <c r="C48" s="561"/>
      <c r="D48" s="561"/>
      <c r="E48" s="572"/>
      <c r="F48" s="573"/>
      <c r="G48" s="561"/>
      <c r="H48" s="561"/>
      <c r="I48" s="572"/>
      <c r="J48" s="573"/>
      <c r="K48" s="561"/>
      <c r="L48" s="561"/>
      <c r="M48" s="572"/>
      <c r="N48" s="573"/>
      <c r="O48" s="561"/>
      <c r="P48" s="561"/>
      <c r="Q48" s="572">
        <v>1</v>
      </c>
      <c r="R48" s="573">
        <v>1</v>
      </c>
      <c r="S48" s="572">
        <v>3</v>
      </c>
      <c r="T48" s="573">
        <v>6</v>
      </c>
      <c r="U48" s="561">
        <v>16</v>
      </c>
      <c r="V48" s="561">
        <v>24</v>
      </c>
      <c r="W48" s="572">
        <f t="shared" si="8"/>
        <v>20</v>
      </c>
      <c r="X48" s="573">
        <f t="shared" si="8"/>
        <v>31</v>
      </c>
      <c r="Y48" s="573">
        <f t="shared" si="9"/>
        <v>51</v>
      </c>
      <c r="Z48" s="561"/>
      <c r="AA48" s="561"/>
      <c r="AB48" s="561"/>
      <c r="AC48" s="561"/>
      <c r="AD48" s="561"/>
      <c r="AE48" s="561"/>
    </row>
    <row r="49" spans="1:31" ht="18.75" customHeight="1">
      <c r="A49" s="535" t="s">
        <v>642</v>
      </c>
      <c r="B49" s="536" t="s">
        <v>643</v>
      </c>
      <c r="C49" s="561"/>
      <c r="D49" s="561"/>
      <c r="E49" s="572"/>
      <c r="F49" s="573"/>
      <c r="G49" s="561"/>
      <c r="H49" s="561"/>
      <c r="I49" s="572"/>
      <c r="J49" s="573"/>
      <c r="K49" s="561"/>
      <c r="L49" s="561"/>
      <c r="M49" s="572"/>
      <c r="N49" s="573"/>
      <c r="O49" s="561">
        <v>1</v>
      </c>
      <c r="P49" s="561"/>
      <c r="Q49" s="572">
        <v>6</v>
      </c>
      <c r="R49" s="573">
        <v>4</v>
      </c>
      <c r="S49" s="572">
        <v>21</v>
      </c>
      <c r="T49" s="573">
        <v>20</v>
      </c>
      <c r="U49" s="561">
        <v>72</v>
      </c>
      <c r="V49" s="561">
        <v>83</v>
      </c>
      <c r="W49" s="572">
        <f>+K49+M49+O49+Q49+S49+U49</f>
        <v>100</v>
      </c>
      <c r="X49" s="573">
        <f t="shared" si="8"/>
        <v>107</v>
      </c>
      <c r="Y49" s="573">
        <f t="shared" si="9"/>
        <v>207</v>
      </c>
      <c r="Z49" s="561"/>
      <c r="AA49" s="561"/>
      <c r="AB49" s="561"/>
      <c r="AC49" s="561"/>
      <c r="AD49" s="561"/>
      <c r="AE49" s="561"/>
    </row>
    <row r="50" spans="1:31" ht="19.5" customHeight="1">
      <c r="A50" s="535" t="s">
        <v>647</v>
      </c>
      <c r="B50" s="536" t="s">
        <v>648</v>
      </c>
      <c r="C50" s="561"/>
      <c r="D50" s="561"/>
      <c r="E50" s="572"/>
      <c r="F50" s="573"/>
      <c r="G50" s="561"/>
      <c r="H50" s="561"/>
      <c r="I50" s="572"/>
      <c r="J50" s="573"/>
      <c r="K50" s="561"/>
      <c r="L50" s="561"/>
      <c r="M50" s="572"/>
      <c r="N50" s="573"/>
      <c r="O50" s="561"/>
      <c r="P50" s="561"/>
      <c r="Q50" s="572"/>
      <c r="R50" s="573">
        <v>1</v>
      </c>
      <c r="S50" s="572">
        <v>2</v>
      </c>
      <c r="T50" s="573">
        <v>4</v>
      </c>
      <c r="U50" s="561">
        <v>10</v>
      </c>
      <c r="V50" s="561">
        <v>9</v>
      </c>
      <c r="W50" s="572">
        <f t="shared" si="8"/>
        <v>12</v>
      </c>
      <c r="X50" s="573">
        <f t="shared" si="8"/>
        <v>14</v>
      </c>
      <c r="Y50" s="573">
        <f t="shared" si="9"/>
        <v>26</v>
      </c>
      <c r="Z50" s="561"/>
      <c r="AA50" s="561"/>
      <c r="AB50" s="561"/>
      <c r="AC50" s="561"/>
      <c r="AD50" s="561"/>
      <c r="AE50" s="561"/>
    </row>
    <row r="51" spans="1:31" ht="18" customHeight="1">
      <c r="A51" s="535" t="s">
        <v>202</v>
      </c>
      <c r="B51" s="536" t="s">
        <v>203</v>
      </c>
      <c r="C51" s="561"/>
      <c r="D51" s="561"/>
      <c r="E51" s="572"/>
      <c r="F51" s="573"/>
      <c r="G51" s="561"/>
      <c r="H51" s="561"/>
      <c r="I51" s="572"/>
      <c r="J51" s="573"/>
      <c r="K51" s="561"/>
      <c r="L51" s="561"/>
      <c r="M51" s="572"/>
      <c r="N51" s="573"/>
      <c r="O51" s="561"/>
      <c r="P51" s="561"/>
      <c r="Q51" s="572">
        <v>3</v>
      </c>
      <c r="R51" s="573">
        <v>4</v>
      </c>
      <c r="S51" s="572"/>
      <c r="T51" s="573">
        <v>3</v>
      </c>
      <c r="U51" s="561">
        <v>4</v>
      </c>
      <c r="V51" s="561">
        <v>10</v>
      </c>
      <c r="W51" s="572">
        <f>+M51+O51+Q51+S51+U51</f>
        <v>7</v>
      </c>
      <c r="X51" s="573">
        <f t="shared" si="8"/>
        <v>17</v>
      </c>
      <c r="Y51" s="573">
        <f t="shared" si="9"/>
        <v>24</v>
      </c>
      <c r="Z51" s="561"/>
      <c r="AA51" s="561"/>
      <c r="AB51" s="561"/>
      <c r="AC51" s="561"/>
      <c r="AD51" s="561"/>
      <c r="AE51" s="561"/>
    </row>
    <row r="52" spans="1:31" ht="19.5" customHeight="1">
      <c r="A52" s="535" t="s">
        <v>204</v>
      </c>
      <c r="B52" s="536" t="s">
        <v>205</v>
      </c>
      <c r="C52" s="561"/>
      <c r="D52" s="561"/>
      <c r="E52" s="572"/>
      <c r="F52" s="573"/>
      <c r="G52" s="561"/>
      <c r="H52" s="561"/>
      <c r="I52" s="572"/>
      <c r="J52" s="573"/>
      <c r="K52" s="561"/>
      <c r="L52" s="561"/>
      <c r="M52" s="572"/>
      <c r="N52" s="573"/>
      <c r="O52" s="561"/>
      <c r="P52" s="561"/>
      <c r="Q52" s="572"/>
      <c r="R52" s="573"/>
      <c r="S52" s="572">
        <v>2</v>
      </c>
      <c r="T52" s="573">
        <v>3</v>
      </c>
      <c r="U52" s="561">
        <v>2</v>
      </c>
      <c r="V52" s="561"/>
      <c r="W52" s="572">
        <f t="shared" si="8"/>
        <v>4</v>
      </c>
      <c r="X52" s="573">
        <f t="shared" si="8"/>
        <v>3</v>
      </c>
      <c r="Y52" s="573">
        <f t="shared" si="9"/>
        <v>7</v>
      </c>
      <c r="Z52" s="561"/>
      <c r="AA52" s="561"/>
      <c r="AB52" s="561"/>
      <c r="AC52" s="561"/>
      <c r="AD52" s="561"/>
      <c r="AE52" s="561"/>
    </row>
    <row r="53" spans="1:31" ht="18.75" customHeight="1">
      <c r="A53" s="535" t="s">
        <v>649</v>
      </c>
      <c r="B53" s="536" t="s">
        <v>650</v>
      </c>
      <c r="C53" s="561"/>
      <c r="D53" s="561"/>
      <c r="E53" s="572"/>
      <c r="F53" s="573"/>
      <c r="G53" s="561"/>
      <c r="H53" s="561"/>
      <c r="I53" s="572"/>
      <c r="J53" s="573"/>
      <c r="K53" s="561"/>
      <c r="L53" s="561"/>
      <c r="M53" s="572"/>
      <c r="N53" s="573"/>
      <c r="O53" s="561"/>
      <c r="P53" s="561">
        <v>1</v>
      </c>
      <c r="Q53" s="572">
        <v>3</v>
      </c>
      <c r="R53" s="573">
        <v>4</v>
      </c>
      <c r="S53" s="572">
        <v>3</v>
      </c>
      <c r="T53" s="573">
        <v>10</v>
      </c>
      <c r="U53" s="561">
        <v>11</v>
      </c>
      <c r="V53" s="561">
        <v>19</v>
      </c>
      <c r="W53" s="572">
        <f t="shared" si="8"/>
        <v>17</v>
      </c>
      <c r="X53" s="573">
        <f t="shared" si="8"/>
        <v>34</v>
      </c>
      <c r="Y53" s="573">
        <f t="shared" si="9"/>
        <v>51</v>
      </c>
      <c r="Z53" s="561"/>
      <c r="AA53" s="561"/>
      <c r="AB53" s="561"/>
      <c r="AC53" s="561"/>
      <c r="AD53" s="561"/>
      <c r="AE53" s="561"/>
    </row>
    <row r="54" spans="1:31" ht="18.75" customHeight="1">
      <c r="A54" s="535" t="s">
        <v>206</v>
      </c>
      <c r="B54" s="536" t="s">
        <v>207</v>
      </c>
      <c r="C54" s="561"/>
      <c r="D54" s="561"/>
      <c r="E54" s="572"/>
      <c r="F54" s="573"/>
      <c r="G54" s="561"/>
      <c r="H54" s="561"/>
      <c r="I54" s="572"/>
      <c r="J54" s="573"/>
      <c r="K54" s="561"/>
      <c r="L54" s="561"/>
      <c r="M54" s="572"/>
      <c r="N54" s="573"/>
      <c r="Q54" s="572"/>
      <c r="R54" s="573"/>
      <c r="S54" s="811"/>
      <c r="T54" s="552"/>
      <c r="W54" s="572">
        <f t="shared" si="8"/>
        <v>0</v>
      </c>
      <c r="X54" s="573">
        <f t="shared" si="8"/>
        <v>0</v>
      </c>
      <c r="Y54" s="573">
        <f t="shared" si="9"/>
        <v>0</v>
      </c>
      <c r="Z54" s="561"/>
      <c r="AA54" s="561"/>
      <c r="AB54" s="561"/>
      <c r="AC54" s="561"/>
      <c r="AD54" s="561"/>
      <c r="AE54" s="561"/>
    </row>
    <row r="55" spans="1:31" ht="18" customHeight="1">
      <c r="A55" s="535" t="s">
        <v>657</v>
      </c>
      <c r="B55" s="536" t="s">
        <v>658</v>
      </c>
      <c r="C55" s="561"/>
      <c r="D55" s="561"/>
      <c r="E55" s="572"/>
      <c r="F55" s="573"/>
      <c r="G55" s="561"/>
      <c r="H55" s="561"/>
      <c r="I55" s="572"/>
      <c r="J55" s="573"/>
      <c r="K55" s="561"/>
      <c r="L55" s="561"/>
      <c r="M55" s="572"/>
      <c r="N55" s="573"/>
      <c r="O55" s="561"/>
      <c r="P55" s="561"/>
      <c r="Q55" s="572"/>
      <c r="R55" s="573"/>
      <c r="S55" s="812"/>
      <c r="T55" s="813"/>
      <c r="U55" s="561"/>
      <c r="V55" s="561"/>
      <c r="W55" s="572">
        <f t="shared" si="8"/>
        <v>0</v>
      </c>
      <c r="X55" s="573">
        <f t="shared" si="8"/>
        <v>0</v>
      </c>
      <c r="Y55" s="573">
        <f t="shared" si="9"/>
        <v>0</v>
      </c>
      <c r="Z55" s="561"/>
      <c r="AA55" s="561"/>
      <c r="AB55" s="561"/>
      <c r="AC55" s="561"/>
      <c r="AD55" s="561"/>
      <c r="AE55" s="561"/>
    </row>
    <row r="56" spans="1:31" ht="20.25" customHeight="1">
      <c r="A56" s="535" t="s">
        <v>659</v>
      </c>
      <c r="B56" s="536" t="s">
        <v>660</v>
      </c>
      <c r="C56" s="561"/>
      <c r="D56" s="561"/>
      <c r="E56" s="572"/>
      <c r="F56" s="573"/>
      <c r="G56" s="561"/>
      <c r="H56" s="561"/>
      <c r="I56" s="572"/>
      <c r="J56" s="573"/>
      <c r="K56" s="561"/>
      <c r="L56" s="561"/>
      <c r="M56" s="572"/>
      <c r="N56" s="573"/>
      <c r="O56" s="561"/>
      <c r="P56" s="561"/>
      <c r="Q56" s="572"/>
      <c r="R56" s="573"/>
      <c r="S56" s="572"/>
      <c r="T56" s="573"/>
      <c r="U56" s="561"/>
      <c r="V56" s="561"/>
      <c r="W56" s="572">
        <f t="shared" si="8"/>
        <v>0</v>
      </c>
      <c r="X56" s="573">
        <f t="shared" si="8"/>
        <v>0</v>
      </c>
      <c r="Y56" s="573">
        <f t="shared" si="9"/>
        <v>0</v>
      </c>
      <c r="Z56" s="561"/>
      <c r="AA56" s="561"/>
      <c r="AB56" s="561"/>
      <c r="AC56" s="561"/>
      <c r="AD56" s="561"/>
      <c r="AE56" s="561"/>
    </row>
    <row r="57" spans="1:31" ht="19.5" customHeight="1">
      <c r="A57" s="535" t="s">
        <v>653</v>
      </c>
      <c r="B57" s="536" t="s">
        <v>673</v>
      </c>
      <c r="C57" s="561"/>
      <c r="D57" s="561"/>
      <c r="E57" s="572"/>
      <c r="F57" s="573"/>
      <c r="G57" s="561"/>
      <c r="H57" s="561"/>
      <c r="I57" s="572"/>
      <c r="J57" s="573"/>
      <c r="K57" s="561"/>
      <c r="L57" s="561"/>
      <c r="M57" s="572"/>
      <c r="N57" s="573"/>
      <c r="O57" s="561"/>
      <c r="P57" s="561">
        <v>1</v>
      </c>
      <c r="Q57" s="572">
        <v>1</v>
      </c>
      <c r="R57" s="573">
        <v>1</v>
      </c>
      <c r="S57" s="811"/>
      <c r="T57" s="552"/>
      <c r="U57" s="534">
        <v>3</v>
      </c>
      <c r="V57" s="534">
        <v>2</v>
      </c>
      <c r="W57" s="572">
        <f t="shared" ref="W57:X60" si="10">+M57+O57+Q57+S57+U57</f>
        <v>4</v>
      </c>
      <c r="X57" s="573">
        <f t="shared" si="10"/>
        <v>4</v>
      </c>
      <c r="Y57" s="573">
        <f t="shared" si="9"/>
        <v>8</v>
      </c>
      <c r="Z57" s="561"/>
      <c r="AA57" s="561"/>
      <c r="AB57" s="561"/>
      <c r="AC57" s="561"/>
      <c r="AD57" s="561"/>
      <c r="AE57" s="561"/>
    </row>
    <row r="58" spans="1:31" ht="19.5" customHeight="1">
      <c r="A58" s="535" t="s">
        <v>645</v>
      </c>
      <c r="B58" s="539" t="s">
        <v>208</v>
      </c>
      <c r="C58" s="561"/>
      <c r="D58" s="561"/>
      <c r="E58" s="572"/>
      <c r="F58" s="573"/>
      <c r="G58" s="561"/>
      <c r="H58" s="561"/>
      <c r="I58" s="572"/>
      <c r="J58" s="573"/>
      <c r="K58" s="561"/>
      <c r="L58" s="561"/>
      <c r="M58" s="572"/>
      <c r="N58" s="573"/>
      <c r="O58" s="561">
        <v>3</v>
      </c>
      <c r="P58" s="561"/>
      <c r="Q58" s="572">
        <v>7</v>
      </c>
      <c r="R58" s="573">
        <v>3</v>
      </c>
      <c r="S58" s="572">
        <v>5</v>
      </c>
      <c r="T58" s="573">
        <v>1</v>
      </c>
      <c r="U58" s="561">
        <v>6</v>
      </c>
      <c r="V58" s="561">
        <v>15</v>
      </c>
      <c r="W58" s="572">
        <f>+M58+O58+Q58+S58+U58</f>
        <v>21</v>
      </c>
      <c r="X58" s="573">
        <f>+N58+P58+R58+T58+V58</f>
        <v>19</v>
      </c>
      <c r="Y58" s="573">
        <f>SUM(W58:X58)</f>
        <v>40</v>
      </c>
      <c r="Z58" s="561"/>
      <c r="AA58" s="561"/>
      <c r="AB58" s="561"/>
      <c r="AC58" s="561"/>
      <c r="AD58" s="561"/>
      <c r="AE58" s="561"/>
    </row>
    <row r="59" spans="1:31" ht="19.5" customHeight="1">
      <c r="A59" s="181" t="s">
        <v>1437</v>
      </c>
      <c r="B59" s="211" t="s">
        <v>1439</v>
      </c>
      <c r="C59" s="561"/>
      <c r="D59" s="561"/>
      <c r="E59" s="572"/>
      <c r="F59" s="573"/>
      <c r="G59" s="561"/>
      <c r="H59" s="561"/>
      <c r="I59" s="572"/>
      <c r="J59" s="573"/>
      <c r="K59" s="561"/>
      <c r="L59" s="561"/>
      <c r="M59" s="572"/>
      <c r="N59" s="573"/>
      <c r="O59" s="561"/>
      <c r="P59" s="561"/>
      <c r="Q59" s="572">
        <v>1</v>
      </c>
      <c r="R59" s="573"/>
      <c r="S59" s="572">
        <v>2</v>
      </c>
      <c r="T59" s="573">
        <v>3</v>
      </c>
      <c r="U59" s="561">
        <v>9</v>
      </c>
      <c r="V59" s="561">
        <v>8</v>
      </c>
      <c r="W59" s="572">
        <f t="shared" ref="W59:X59" si="11">+C59+E59+G59+I59+K59+M59+O59+Q59+S59+U59</f>
        <v>12</v>
      </c>
      <c r="X59" s="573">
        <f t="shared" si="11"/>
        <v>11</v>
      </c>
      <c r="Y59" s="573">
        <f>SUM(W59:X59)</f>
        <v>23</v>
      </c>
      <c r="Z59" s="561"/>
      <c r="AA59" s="561"/>
      <c r="AB59" s="561"/>
      <c r="AC59" s="561"/>
      <c r="AD59" s="561"/>
      <c r="AE59" s="561"/>
    </row>
    <row r="60" spans="1:31" ht="27.75" customHeight="1">
      <c r="A60" s="181" t="s">
        <v>1438</v>
      </c>
      <c r="B60" s="211" t="s">
        <v>1440</v>
      </c>
      <c r="C60" s="561"/>
      <c r="D60" s="561"/>
      <c r="E60" s="572"/>
      <c r="F60" s="573"/>
      <c r="G60" s="561"/>
      <c r="H60" s="561"/>
      <c r="I60" s="572"/>
      <c r="J60" s="573"/>
      <c r="K60" s="561"/>
      <c r="L60" s="561"/>
      <c r="M60" s="572"/>
      <c r="N60" s="573"/>
      <c r="O60" s="561"/>
      <c r="P60" s="561"/>
      <c r="Q60" s="572"/>
      <c r="R60" s="573"/>
      <c r="S60" s="572"/>
      <c r="T60" s="573"/>
      <c r="U60" s="561"/>
      <c r="V60" s="561"/>
      <c r="W60" s="572">
        <f t="shared" si="10"/>
        <v>0</v>
      </c>
      <c r="X60" s="573">
        <f t="shared" si="10"/>
        <v>0</v>
      </c>
      <c r="Y60" s="573">
        <f t="shared" si="9"/>
        <v>0</v>
      </c>
      <c r="Z60" s="561"/>
      <c r="AA60" s="561"/>
      <c r="AB60" s="561"/>
      <c r="AC60" s="561"/>
      <c r="AD60" s="561"/>
      <c r="AE60" s="561"/>
    </row>
    <row r="61" spans="1:31" ht="19.5" customHeight="1">
      <c r="A61" s="540"/>
      <c r="B61" s="540" t="s">
        <v>767</v>
      </c>
      <c r="C61" s="1219">
        <f>SUM(C41:C60)</f>
        <v>0</v>
      </c>
      <c r="D61" s="1220">
        <f>SUM(D41:D60)</f>
        <v>0</v>
      </c>
      <c r="E61" s="1219">
        <f>SUM(E41:E60)</f>
        <v>0</v>
      </c>
      <c r="F61" s="1221">
        <f t="shared" ref="F61:V61" si="12">SUM(F41:F60)</f>
        <v>0</v>
      </c>
      <c r="G61" s="1220">
        <f t="shared" si="12"/>
        <v>0</v>
      </c>
      <c r="H61" s="1220">
        <f t="shared" si="12"/>
        <v>0</v>
      </c>
      <c r="I61" s="1219">
        <f t="shared" si="12"/>
        <v>0</v>
      </c>
      <c r="J61" s="1221">
        <f t="shared" si="12"/>
        <v>0</v>
      </c>
      <c r="K61" s="1220">
        <f t="shared" si="12"/>
        <v>0</v>
      </c>
      <c r="L61" s="1220">
        <f t="shared" si="12"/>
        <v>0</v>
      </c>
      <c r="M61" s="1219">
        <f t="shared" si="12"/>
        <v>0</v>
      </c>
      <c r="N61" s="1221">
        <f t="shared" si="12"/>
        <v>0</v>
      </c>
      <c r="O61" s="1220">
        <f t="shared" si="12"/>
        <v>5</v>
      </c>
      <c r="P61" s="1220">
        <f t="shared" si="12"/>
        <v>3</v>
      </c>
      <c r="Q61" s="1219">
        <f t="shared" si="12"/>
        <v>44</v>
      </c>
      <c r="R61" s="1221">
        <f t="shared" si="12"/>
        <v>24</v>
      </c>
      <c r="S61" s="1219">
        <f t="shared" si="12"/>
        <v>56</v>
      </c>
      <c r="T61" s="1221">
        <f t="shared" si="12"/>
        <v>63</v>
      </c>
      <c r="U61" s="1220">
        <f t="shared" si="12"/>
        <v>146</v>
      </c>
      <c r="V61" s="1220">
        <f t="shared" si="12"/>
        <v>184</v>
      </c>
      <c r="W61" s="1219">
        <f>SUM(W41:W60)</f>
        <v>251</v>
      </c>
      <c r="X61" s="1221">
        <f>SUM(X41:X60)</f>
        <v>274</v>
      </c>
      <c r="Y61" s="1222">
        <f>SUM(Y41:Y60)</f>
        <v>525</v>
      </c>
      <c r="AA61" s="561"/>
      <c r="AB61" s="561"/>
      <c r="AC61" s="561"/>
      <c r="AD61" s="561"/>
    </row>
  </sheetData>
  <mergeCells count="22">
    <mergeCell ref="C38:V38"/>
    <mergeCell ref="A36:W36"/>
    <mergeCell ref="C8:D8"/>
    <mergeCell ref="E8:F8"/>
    <mergeCell ref="M8:N8"/>
    <mergeCell ref="A34:W34"/>
    <mergeCell ref="AC8:AE8"/>
    <mergeCell ref="A1:AE1"/>
    <mergeCell ref="A3:AE3"/>
    <mergeCell ref="A5:AE5"/>
    <mergeCell ref="A32:W32"/>
    <mergeCell ref="C39:D39"/>
    <mergeCell ref="E39:F39"/>
    <mergeCell ref="G39:H39"/>
    <mergeCell ref="I39:J39"/>
    <mergeCell ref="K39:L39"/>
    <mergeCell ref="W39:Y39"/>
    <mergeCell ref="M39:N39"/>
    <mergeCell ref="O39:P39"/>
    <mergeCell ref="Q39:R39"/>
    <mergeCell ref="S39:T39"/>
    <mergeCell ref="U39:V39"/>
  </mergeCells>
  <phoneticPr fontId="18"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E61"/>
  <sheetViews>
    <sheetView zoomScale="75" workbookViewId="0">
      <selection activeCell="H69" sqref="H69"/>
    </sheetView>
  </sheetViews>
  <sheetFormatPr baseColWidth="10" defaultColWidth="11.42578125" defaultRowHeight="12.75"/>
  <cols>
    <col min="1" max="1" width="9.42578125" style="527" customWidth="1"/>
    <col min="2" max="2" width="28.5703125" style="527" customWidth="1"/>
    <col min="3" max="6" width="9.7109375" style="527" customWidth="1"/>
    <col min="7" max="8" width="9.28515625" style="527" customWidth="1"/>
    <col min="9" max="10" width="9.5703125" style="527" customWidth="1"/>
    <col min="11" max="14" width="9.28515625" style="527" customWidth="1"/>
    <col min="15" max="18" width="9.7109375" style="527" customWidth="1"/>
    <col min="19" max="20" width="10" style="527" customWidth="1"/>
    <col min="21" max="22" width="9" style="527" customWidth="1"/>
    <col min="23" max="24" width="8.5703125" style="527" customWidth="1"/>
    <col min="25" max="26" width="9.28515625" style="527" customWidth="1"/>
    <col min="27" max="16384" width="11.42578125" style="527"/>
  </cols>
  <sheetData>
    <row r="1" spans="1:31">
      <c r="A1" s="1648" t="s">
        <v>193</v>
      </c>
      <c r="B1" s="1648"/>
      <c r="C1" s="1648"/>
      <c r="D1" s="1648"/>
      <c r="E1" s="1648"/>
      <c r="F1" s="1648"/>
      <c r="G1" s="1648"/>
      <c r="H1" s="1648"/>
      <c r="I1" s="1648"/>
      <c r="J1" s="1648"/>
      <c r="K1" s="1648"/>
      <c r="L1" s="1648"/>
      <c r="M1" s="1648"/>
      <c r="N1" s="1648"/>
      <c r="O1" s="1648"/>
      <c r="P1" s="1648"/>
      <c r="Q1" s="1648"/>
      <c r="R1" s="1648"/>
      <c r="S1" s="1648"/>
      <c r="T1" s="1648"/>
      <c r="U1" s="1648"/>
      <c r="V1" s="1648"/>
      <c r="W1" s="1648"/>
      <c r="X1" s="1648"/>
      <c r="Y1" s="1648"/>
      <c r="Z1" s="1648"/>
      <c r="AA1" s="1648"/>
      <c r="AB1" s="1648"/>
      <c r="AC1" s="1648"/>
      <c r="AD1" s="1648"/>
      <c r="AE1" s="1648"/>
    </row>
    <row r="2" spans="1:31">
      <c r="A2" s="524"/>
      <c r="B2" s="524"/>
      <c r="C2" s="585"/>
      <c r="D2" s="585"/>
      <c r="E2" s="585"/>
      <c r="F2" s="585"/>
      <c r="G2" s="585"/>
      <c r="H2" s="585"/>
      <c r="I2" s="585"/>
      <c r="J2" s="585"/>
      <c r="K2" s="585"/>
      <c r="L2" s="585"/>
      <c r="M2" s="585"/>
      <c r="N2" s="585"/>
      <c r="O2" s="525"/>
      <c r="P2" s="525"/>
      <c r="Q2" s="525"/>
      <c r="R2" s="525"/>
      <c r="S2" s="525"/>
      <c r="T2" s="525"/>
      <c r="U2" s="525"/>
      <c r="V2" s="525"/>
      <c r="W2" s="525"/>
      <c r="X2" s="525"/>
      <c r="Y2" s="525"/>
      <c r="Z2" s="525"/>
    </row>
    <row r="3" spans="1:31">
      <c r="A3" s="1648" t="str">
        <f>+'89'!A3</f>
        <v>SERVICIO DE SALUD   ACONCAGUA   2023</v>
      </c>
      <c r="B3" s="1648"/>
      <c r="C3" s="1648"/>
      <c r="D3" s="1648"/>
      <c r="E3" s="1648"/>
      <c r="F3" s="1648"/>
      <c r="G3" s="1648"/>
      <c r="H3" s="1648"/>
      <c r="I3" s="1648"/>
      <c r="J3" s="1648"/>
      <c r="K3" s="1648"/>
      <c r="L3" s="1648"/>
      <c r="M3" s="1648"/>
      <c r="N3" s="1648"/>
      <c r="O3" s="1648"/>
      <c r="P3" s="1648"/>
      <c r="Q3" s="1648"/>
      <c r="R3" s="1648"/>
      <c r="S3" s="1648"/>
      <c r="T3" s="1648"/>
      <c r="U3" s="1648"/>
      <c r="V3" s="1648"/>
      <c r="W3" s="1648"/>
      <c r="X3" s="1648"/>
      <c r="Y3" s="1648"/>
      <c r="Z3" s="1648"/>
      <c r="AA3" s="1648"/>
      <c r="AB3" s="1648"/>
      <c r="AC3" s="1648"/>
      <c r="AD3" s="1648"/>
      <c r="AE3" s="1648"/>
    </row>
    <row r="4" spans="1:31">
      <c r="A4" s="524"/>
      <c r="B4" s="524"/>
      <c r="C4" s="585"/>
      <c r="D4" s="585"/>
      <c r="E4" s="585"/>
      <c r="F4" s="585"/>
      <c r="G4" s="585"/>
      <c r="H4" s="585"/>
      <c r="I4" s="585"/>
      <c r="J4" s="585"/>
      <c r="K4" s="585"/>
      <c r="L4" s="585"/>
      <c r="M4" s="585"/>
      <c r="N4" s="585"/>
      <c r="O4" s="525"/>
      <c r="P4" s="525"/>
      <c r="Q4" s="525"/>
      <c r="R4" s="525"/>
      <c r="S4" s="525"/>
      <c r="T4" s="525"/>
      <c r="U4" s="525"/>
      <c r="V4" s="525"/>
      <c r="W4" s="525"/>
      <c r="X4" s="525"/>
      <c r="Y4" s="525"/>
      <c r="Z4" s="525"/>
    </row>
    <row r="5" spans="1:31">
      <c r="A5" s="1648" t="s">
        <v>217</v>
      </c>
      <c r="B5" s="1648"/>
      <c r="C5" s="1648"/>
      <c r="D5" s="1648"/>
      <c r="E5" s="1648"/>
      <c r="F5" s="1648"/>
      <c r="G5" s="1648"/>
      <c r="H5" s="1648"/>
      <c r="I5" s="1648"/>
      <c r="J5" s="1648"/>
      <c r="K5" s="1648"/>
      <c r="L5" s="1648"/>
      <c r="M5" s="1648"/>
      <c r="N5" s="1648"/>
      <c r="O5" s="1648"/>
      <c r="P5" s="1648"/>
      <c r="Q5" s="1648"/>
      <c r="R5" s="1648"/>
      <c r="S5" s="1648"/>
      <c r="T5" s="1648"/>
      <c r="U5" s="1648"/>
      <c r="V5" s="1648"/>
      <c r="W5" s="1648"/>
      <c r="X5" s="1648"/>
      <c r="Y5" s="1648"/>
      <c r="Z5" s="1648"/>
      <c r="AA5" s="1648"/>
      <c r="AB5" s="1648"/>
      <c r="AC5" s="1648"/>
      <c r="AD5" s="1648"/>
      <c r="AE5" s="1648"/>
    </row>
    <row r="6" spans="1:31">
      <c r="A6" s="586"/>
      <c r="B6" s="586"/>
      <c r="C6" s="586"/>
      <c r="D6" s="586"/>
      <c r="E6" s="586"/>
      <c r="F6" s="586"/>
      <c r="G6" s="586"/>
      <c r="H6" s="586"/>
      <c r="I6" s="586"/>
      <c r="J6" s="586"/>
      <c r="K6" s="586"/>
      <c r="L6" s="586"/>
      <c r="M6" s="586"/>
      <c r="N6" s="586"/>
    </row>
    <row r="7" spans="1:31" ht="18.75" customHeight="1">
      <c r="A7" s="1454" t="s">
        <v>627</v>
      </c>
      <c r="B7" s="1455"/>
      <c r="C7" s="1473"/>
      <c r="D7" s="1473"/>
      <c r="E7" s="1473"/>
      <c r="F7" s="1465" t="s">
        <v>628</v>
      </c>
      <c r="G7" s="1465"/>
      <c r="H7" s="1465"/>
      <c r="I7" s="1465"/>
      <c r="J7" s="1465"/>
      <c r="K7" s="1465"/>
      <c r="L7" s="1465"/>
      <c r="M7" s="1465"/>
      <c r="N7" s="1465"/>
      <c r="O7" s="1465"/>
      <c r="P7" s="1465"/>
      <c r="Q7" s="1465"/>
      <c r="R7" s="1465"/>
      <c r="S7" s="1465"/>
      <c r="T7" s="1465"/>
      <c r="U7" s="1465"/>
      <c r="V7" s="1465"/>
      <c r="W7" s="1465"/>
      <c r="X7" s="1465"/>
      <c r="Y7" s="1465"/>
      <c r="Z7" s="1465"/>
      <c r="AA7" s="1465"/>
      <c r="AB7" s="1465"/>
      <c r="AC7" s="1465"/>
      <c r="AD7" s="1465"/>
      <c r="AE7" s="1474"/>
    </row>
    <row r="8" spans="1:31" ht="23.25" customHeight="1">
      <c r="A8" s="1459" t="s">
        <v>629</v>
      </c>
      <c r="B8" s="1460" t="s">
        <v>630</v>
      </c>
      <c r="C8" s="1636" t="s">
        <v>631</v>
      </c>
      <c r="D8" s="1637"/>
      <c r="E8" s="1638" t="s">
        <v>587</v>
      </c>
      <c r="F8" s="1632"/>
      <c r="G8" s="1475" t="s">
        <v>632</v>
      </c>
      <c r="H8" s="1475"/>
      <c r="I8" s="1475" t="s">
        <v>633</v>
      </c>
      <c r="J8" s="1475"/>
      <c r="K8" s="1475" t="s">
        <v>387</v>
      </c>
      <c r="L8" s="1475"/>
      <c r="M8" s="1639" t="s">
        <v>634</v>
      </c>
      <c r="N8" s="1640"/>
      <c r="O8" s="1475" t="s">
        <v>635</v>
      </c>
      <c r="P8" s="1475"/>
      <c r="Q8" s="1475" t="s">
        <v>351</v>
      </c>
      <c r="R8" s="1475"/>
      <c r="S8" s="1475" t="s">
        <v>369</v>
      </c>
      <c r="T8" s="1475"/>
      <c r="U8" s="1475" t="s">
        <v>374</v>
      </c>
      <c r="V8" s="1475"/>
      <c r="W8" s="1475" t="s">
        <v>636</v>
      </c>
      <c r="X8" s="1475"/>
      <c r="Y8" s="1475" t="s">
        <v>376</v>
      </c>
      <c r="Z8" s="1475"/>
      <c r="AA8" s="1475" t="s">
        <v>637</v>
      </c>
      <c r="AB8" s="1470"/>
      <c r="AC8" s="1641" t="s">
        <v>474</v>
      </c>
      <c r="AD8" s="1642"/>
      <c r="AE8" s="1638"/>
    </row>
    <row r="9" spans="1:31" ht="13.5" thickBot="1">
      <c r="A9" s="1461"/>
      <c r="B9" s="1462"/>
      <c r="C9" s="1456" t="s">
        <v>1301</v>
      </c>
      <c r="D9" s="1474" t="s">
        <v>1302</v>
      </c>
      <c r="E9" s="1082" t="s">
        <v>1301</v>
      </c>
      <c r="F9" s="1084" t="s">
        <v>1302</v>
      </c>
      <c r="G9" s="1083" t="s">
        <v>1301</v>
      </c>
      <c r="H9" s="1084" t="s">
        <v>1302</v>
      </c>
      <c r="I9" s="1082" t="s">
        <v>1301</v>
      </c>
      <c r="J9" s="1084" t="s">
        <v>1302</v>
      </c>
      <c r="K9" s="1082" t="s">
        <v>1301</v>
      </c>
      <c r="L9" s="1084" t="s">
        <v>1302</v>
      </c>
      <c r="M9" s="1456" t="s">
        <v>1301</v>
      </c>
      <c r="N9" s="1474" t="s">
        <v>1302</v>
      </c>
      <c r="O9" s="1083" t="s">
        <v>1301</v>
      </c>
      <c r="P9" s="1084" t="s">
        <v>1302</v>
      </c>
      <c r="Q9" s="1082" t="s">
        <v>1301</v>
      </c>
      <c r="R9" s="1082" t="s">
        <v>1302</v>
      </c>
      <c r="S9" s="1083" t="s">
        <v>1301</v>
      </c>
      <c r="T9" s="1084" t="s">
        <v>1302</v>
      </c>
      <c r="U9" s="1082" t="s">
        <v>1301</v>
      </c>
      <c r="V9" s="1084" t="s">
        <v>1302</v>
      </c>
      <c r="W9" s="1082" t="s">
        <v>1301</v>
      </c>
      <c r="X9" s="1084" t="s">
        <v>1302</v>
      </c>
      <c r="Y9" s="1082" t="s">
        <v>1301</v>
      </c>
      <c r="Z9" s="1084" t="s">
        <v>1302</v>
      </c>
      <c r="AA9" s="1082" t="s">
        <v>1301</v>
      </c>
      <c r="AB9" s="1084" t="s">
        <v>1302</v>
      </c>
      <c r="AC9" s="1456" t="s">
        <v>1301</v>
      </c>
      <c r="AD9" s="1474" t="s">
        <v>1302</v>
      </c>
      <c r="AE9" s="1476" t="s">
        <v>448</v>
      </c>
    </row>
    <row r="10" spans="1:31" ht="18" customHeight="1">
      <c r="A10" s="535" t="s">
        <v>651</v>
      </c>
      <c r="B10" s="802" t="s">
        <v>652</v>
      </c>
      <c r="C10" s="796">
        <f>SUM(E10:L10)</f>
        <v>0</v>
      </c>
      <c r="D10" s="797">
        <f>+F10+H10+J10+L10</f>
        <v>0</v>
      </c>
      <c r="E10" s="561"/>
      <c r="F10" s="573"/>
      <c r="G10" s="572"/>
      <c r="H10" s="573"/>
      <c r="I10" s="561"/>
      <c r="J10" s="561"/>
      <c r="K10" s="785"/>
      <c r="L10" s="790"/>
      <c r="M10" s="796">
        <f t="shared" ref="M10:N25" si="0">+O10+Q10+S10+U10+W10+Y10</f>
        <v>0</v>
      </c>
      <c r="N10" s="797">
        <f t="shared" si="0"/>
        <v>1</v>
      </c>
      <c r="O10" s="561"/>
      <c r="P10" s="573"/>
      <c r="Q10" s="561"/>
      <c r="R10" s="561">
        <v>1</v>
      </c>
      <c r="S10" s="572"/>
      <c r="T10" s="573"/>
      <c r="U10" s="561"/>
      <c r="V10" s="561"/>
      <c r="W10" s="785"/>
      <c r="X10" s="531"/>
      <c r="Y10" s="561"/>
      <c r="Z10" s="561"/>
      <c r="AA10" s="785">
        <v>1</v>
      </c>
      <c r="AB10" s="790"/>
      <c r="AC10" s="798">
        <f t="shared" ref="AC10:AD21" si="1">+M10+C10+AA10</f>
        <v>1</v>
      </c>
      <c r="AD10" s="799">
        <f t="shared" si="1"/>
        <v>1</v>
      </c>
      <c r="AE10" s="1224">
        <f t="shared" ref="AE10:AE25" si="2">SUM(AC10:AD10)</f>
        <v>2</v>
      </c>
    </row>
    <row r="11" spans="1:31" ht="20.25" customHeight="1">
      <c r="A11" s="535" t="s">
        <v>640</v>
      </c>
      <c r="B11" s="802" t="s">
        <v>641</v>
      </c>
      <c r="C11" s="798">
        <f>+E11+G11+I11+K11</f>
        <v>0</v>
      </c>
      <c r="D11" s="799">
        <f>+F11+H11+J11+L11</f>
        <v>0</v>
      </c>
      <c r="E11" s="561"/>
      <c r="F11" s="573"/>
      <c r="G11" s="572"/>
      <c r="H11" s="573"/>
      <c r="I11" s="561"/>
      <c r="J11" s="561"/>
      <c r="K11" s="572"/>
      <c r="L11" s="561"/>
      <c r="M11" s="798">
        <f t="shared" si="0"/>
        <v>1</v>
      </c>
      <c r="N11" s="799">
        <f t="shared" si="0"/>
        <v>0</v>
      </c>
      <c r="O11" s="561"/>
      <c r="P11" s="573"/>
      <c r="Q11" s="561">
        <v>1</v>
      </c>
      <c r="R11" s="561"/>
      <c r="S11" s="572"/>
      <c r="T11" s="573"/>
      <c r="U11" s="561"/>
      <c r="V11" s="561"/>
      <c r="W11" s="572"/>
      <c r="X11" s="573"/>
      <c r="Y11" s="561"/>
      <c r="Z11" s="561"/>
      <c r="AA11" s="572"/>
      <c r="AB11" s="561"/>
      <c r="AC11" s="798">
        <f t="shared" si="1"/>
        <v>1</v>
      </c>
      <c r="AD11" s="799">
        <f t="shared" si="1"/>
        <v>0</v>
      </c>
      <c r="AE11" s="1224">
        <f t="shared" si="2"/>
        <v>1</v>
      </c>
    </row>
    <row r="12" spans="1:31" ht="19.5" customHeight="1">
      <c r="A12" s="535" t="s">
        <v>194</v>
      </c>
      <c r="B12" s="802" t="s">
        <v>195</v>
      </c>
      <c r="C12" s="798">
        <f>+E12+G12+I12+K12</f>
        <v>0</v>
      </c>
      <c r="D12" s="799">
        <f>+F12+H12+J12+L12</f>
        <v>0</v>
      </c>
      <c r="E12" s="561"/>
      <c r="F12" s="573"/>
      <c r="G12" s="572"/>
      <c r="H12" s="573"/>
      <c r="I12" s="561"/>
      <c r="J12" s="561"/>
      <c r="K12" s="572"/>
      <c r="L12" s="561"/>
      <c r="M12" s="798">
        <f t="shared" si="0"/>
        <v>0</v>
      </c>
      <c r="N12" s="799">
        <f t="shared" si="0"/>
        <v>0</v>
      </c>
      <c r="O12" s="561"/>
      <c r="P12" s="573"/>
      <c r="Q12" s="561"/>
      <c r="R12" s="561"/>
      <c r="S12" s="572"/>
      <c r="T12" s="573"/>
      <c r="U12" s="561"/>
      <c r="V12" s="561"/>
      <c r="W12" s="572"/>
      <c r="X12" s="573"/>
      <c r="Y12" s="561"/>
      <c r="Z12" s="561"/>
      <c r="AA12" s="572"/>
      <c r="AB12" s="561"/>
      <c r="AC12" s="798">
        <f t="shared" si="1"/>
        <v>0</v>
      </c>
      <c r="AD12" s="799">
        <f t="shared" si="1"/>
        <v>0</v>
      </c>
      <c r="AE12" s="1224">
        <f t="shared" si="2"/>
        <v>0</v>
      </c>
    </row>
    <row r="13" spans="1:31" ht="20.25" customHeight="1">
      <c r="A13" s="535" t="s">
        <v>655</v>
      </c>
      <c r="B13" s="802" t="s">
        <v>656</v>
      </c>
      <c r="C13" s="798">
        <f>+E13+G13+I13+K13</f>
        <v>0</v>
      </c>
      <c r="D13" s="799">
        <f>+F13+H13+J13+L13</f>
        <v>0</v>
      </c>
      <c r="E13" s="561"/>
      <c r="F13" s="573"/>
      <c r="G13" s="572"/>
      <c r="H13" s="573"/>
      <c r="I13" s="561"/>
      <c r="J13" s="561"/>
      <c r="K13" s="572"/>
      <c r="L13" s="561"/>
      <c r="M13" s="798">
        <f t="shared" si="0"/>
        <v>1</v>
      </c>
      <c r="N13" s="799">
        <f t="shared" si="0"/>
        <v>1</v>
      </c>
      <c r="O13" s="561"/>
      <c r="P13" s="573"/>
      <c r="Q13" s="561"/>
      <c r="R13" s="561">
        <v>1</v>
      </c>
      <c r="S13" s="572"/>
      <c r="T13" s="573"/>
      <c r="U13" s="561">
        <v>1</v>
      </c>
      <c r="V13" s="561"/>
      <c r="W13" s="572"/>
      <c r="X13" s="573"/>
      <c r="Y13" s="561"/>
      <c r="Z13" s="561"/>
      <c r="AA13" s="572"/>
      <c r="AB13" s="561"/>
      <c r="AC13" s="798">
        <f t="shared" si="1"/>
        <v>1</v>
      </c>
      <c r="AD13" s="799">
        <f t="shared" si="1"/>
        <v>1</v>
      </c>
      <c r="AE13" s="1224">
        <f t="shared" si="2"/>
        <v>2</v>
      </c>
    </row>
    <row r="14" spans="1:31" ht="19.5" customHeight="1">
      <c r="A14" s="535" t="s">
        <v>196</v>
      </c>
      <c r="B14" s="802" t="s">
        <v>197</v>
      </c>
      <c r="C14" s="798">
        <f>+E14+G14+I14+K14</f>
        <v>39</v>
      </c>
      <c r="D14" s="799">
        <f>+F14+H14+J14+L14</f>
        <v>57</v>
      </c>
      <c r="E14" s="561">
        <v>27</v>
      </c>
      <c r="F14" s="573">
        <v>40</v>
      </c>
      <c r="G14" s="572">
        <v>5</v>
      </c>
      <c r="H14" s="573">
        <v>15</v>
      </c>
      <c r="I14" s="561">
        <v>6</v>
      </c>
      <c r="J14" s="561">
        <v>2</v>
      </c>
      <c r="K14" s="572">
        <v>1</v>
      </c>
      <c r="L14" s="561"/>
      <c r="M14" s="798">
        <f t="shared" si="0"/>
        <v>146</v>
      </c>
      <c r="N14" s="799">
        <f t="shared" si="0"/>
        <v>124</v>
      </c>
      <c r="O14" s="561">
        <v>67</v>
      </c>
      <c r="P14" s="573">
        <v>73</v>
      </c>
      <c r="Q14" s="561">
        <v>46</v>
      </c>
      <c r="R14" s="561">
        <v>24</v>
      </c>
      <c r="S14" s="572">
        <v>12</v>
      </c>
      <c r="T14" s="573">
        <v>10</v>
      </c>
      <c r="U14" s="561">
        <v>5</v>
      </c>
      <c r="V14" s="561">
        <v>2</v>
      </c>
      <c r="W14" s="572">
        <v>10</v>
      </c>
      <c r="X14" s="573">
        <v>11</v>
      </c>
      <c r="Y14" s="561">
        <v>6</v>
      </c>
      <c r="Z14" s="561">
        <v>4</v>
      </c>
      <c r="AA14" s="572">
        <v>94</v>
      </c>
      <c r="AB14" s="561">
        <v>47</v>
      </c>
      <c r="AC14" s="798">
        <f t="shared" si="1"/>
        <v>279</v>
      </c>
      <c r="AD14" s="799">
        <f t="shared" si="1"/>
        <v>228</v>
      </c>
      <c r="AE14" s="1224">
        <f t="shared" si="2"/>
        <v>507</v>
      </c>
    </row>
    <row r="15" spans="1:31" ht="19.5" customHeight="1">
      <c r="A15" s="535" t="s">
        <v>198</v>
      </c>
      <c r="B15" s="802" t="s">
        <v>199</v>
      </c>
      <c r="C15" s="798">
        <f t="shared" ref="C15:D29" si="3">+E15+G15+I15+K15</f>
        <v>0</v>
      </c>
      <c r="D15" s="799">
        <f t="shared" si="3"/>
        <v>0</v>
      </c>
      <c r="E15" s="561"/>
      <c r="F15" s="573"/>
      <c r="G15" s="572"/>
      <c r="H15" s="573"/>
      <c r="I15" s="561"/>
      <c r="J15" s="561"/>
      <c r="K15" s="572"/>
      <c r="L15" s="561"/>
      <c r="M15" s="798">
        <f t="shared" si="0"/>
        <v>0</v>
      </c>
      <c r="N15" s="799">
        <f t="shared" si="0"/>
        <v>0</v>
      </c>
      <c r="O15" s="561"/>
      <c r="P15" s="573"/>
      <c r="Q15" s="561"/>
      <c r="R15" s="561"/>
      <c r="S15" s="572"/>
      <c r="T15" s="573"/>
      <c r="U15" s="561"/>
      <c r="V15" s="561"/>
      <c r="W15" s="572"/>
      <c r="X15" s="573"/>
      <c r="Y15" s="561"/>
      <c r="Z15" s="561"/>
      <c r="AA15" s="572"/>
      <c r="AB15" s="561">
        <v>1</v>
      </c>
      <c r="AC15" s="798">
        <f t="shared" si="1"/>
        <v>0</v>
      </c>
      <c r="AD15" s="799">
        <f t="shared" si="1"/>
        <v>1</v>
      </c>
      <c r="AE15" s="1224">
        <f t="shared" si="2"/>
        <v>1</v>
      </c>
    </row>
    <row r="16" spans="1:31" ht="19.5" customHeight="1">
      <c r="A16" s="535" t="s">
        <v>200</v>
      </c>
      <c r="B16" s="802" t="s">
        <v>201</v>
      </c>
      <c r="C16" s="798">
        <f t="shared" si="3"/>
        <v>0</v>
      </c>
      <c r="D16" s="799">
        <f t="shared" si="3"/>
        <v>0</v>
      </c>
      <c r="E16" s="561"/>
      <c r="F16" s="573"/>
      <c r="G16" s="572"/>
      <c r="H16" s="573"/>
      <c r="I16" s="561"/>
      <c r="J16" s="561"/>
      <c r="K16" s="572"/>
      <c r="L16" s="561"/>
      <c r="M16" s="798">
        <f t="shared" si="0"/>
        <v>0</v>
      </c>
      <c r="N16" s="799">
        <f t="shared" si="0"/>
        <v>0</v>
      </c>
      <c r="O16" s="561"/>
      <c r="P16" s="573"/>
      <c r="Q16" s="561"/>
      <c r="R16" s="561"/>
      <c r="S16" s="572"/>
      <c r="T16" s="573"/>
      <c r="U16" s="561"/>
      <c r="V16" s="561"/>
      <c r="W16" s="572"/>
      <c r="X16" s="573"/>
      <c r="Y16" s="561"/>
      <c r="Z16" s="561"/>
      <c r="AA16" s="572"/>
      <c r="AB16" s="561"/>
      <c r="AC16" s="798">
        <f t="shared" si="1"/>
        <v>0</v>
      </c>
      <c r="AD16" s="799">
        <f t="shared" si="1"/>
        <v>0</v>
      </c>
      <c r="AE16" s="1224">
        <f t="shared" si="2"/>
        <v>0</v>
      </c>
    </row>
    <row r="17" spans="1:31" ht="20.25" customHeight="1">
      <c r="A17" s="535" t="s">
        <v>638</v>
      </c>
      <c r="B17" s="802" t="s">
        <v>639</v>
      </c>
      <c r="C17" s="798">
        <f t="shared" si="3"/>
        <v>1</v>
      </c>
      <c r="D17" s="799">
        <f t="shared" si="3"/>
        <v>0</v>
      </c>
      <c r="E17" s="561"/>
      <c r="F17" s="573"/>
      <c r="G17" s="572"/>
      <c r="H17" s="573"/>
      <c r="I17" s="561"/>
      <c r="J17" s="561"/>
      <c r="K17" s="572">
        <v>1</v>
      </c>
      <c r="L17" s="561"/>
      <c r="M17" s="798">
        <f t="shared" si="0"/>
        <v>3</v>
      </c>
      <c r="N17" s="799">
        <f t="shared" si="0"/>
        <v>3</v>
      </c>
      <c r="O17" s="561">
        <v>1</v>
      </c>
      <c r="P17" s="573"/>
      <c r="Q17" s="561">
        <v>2</v>
      </c>
      <c r="R17" s="561">
        <v>3</v>
      </c>
      <c r="S17" s="572"/>
      <c r="T17" s="573"/>
      <c r="U17" s="561"/>
      <c r="V17" s="561"/>
      <c r="W17" s="572"/>
      <c r="X17" s="573"/>
      <c r="Y17" s="561"/>
      <c r="Z17" s="561"/>
      <c r="AA17" s="572"/>
      <c r="AB17" s="561">
        <v>1</v>
      </c>
      <c r="AC17" s="798">
        <f t="shared" si="1"/>
        <v>4</v>
      </c>
      <c r="AD17" s="799">
        <f t="shared" si="1"/>
        <v>4</v>
      </c>
      <c r="AE17" s="1224">
        <f t="shared" si="2"/>
        <v>8</v>
      </c>
    </row>
    <row r="18" spans="1:31" ht="19.5" customHeight="1">
      <c r="A18" s="535" t="s">
        <v>642</v>
      </c>
      <c r="B18" s="802" t="s">
        <v>643</v>
      </c>
      <c r="C18" s="798">
        <f t="shared" si="3"/>
        <v>0</v>
      </c>
      <c r="D18" s="799">
        <f t="shared" si="3"/>
        <v>0</v>
      </c>
      <c r="E18" s="561"/>
      <c r="F18" s="573"/>
      <c r="G18" s="572"/>
      <c r="H18" s="573"/>
      <c r="I18" s="561"/>
      <c r="J18" s="561"/>
      <c r="K18" s="572"/>
      <c r="L18" s="561"/>
      <c r="M18" s="798">
        <f t="shared" si="0"/>
        <v>20</v>
      </c>
      <c r="N18" s="799">
        <f t="shared" si="0"/>
        <v>13</v>
      </c>
      <c r="O18" s="561">
        <v>3</v>
      </c>
      <c r="P18" s="573"/>
      <c r="Q18" s="561">
        <v>17</v>
      </c>
      <c r="R18" s="561">
        <v>12</v>
      </c>
      <c r="S18" s="572"/>
      <c r="T18" s="573"/>
      <c r="U18" s="561"/>
      <c r="V18" s="561"/>
      <c r="W18" s="572"/>
      <c r="X18" s="573"/>
      <c r="Y18" s="561"/>
      <c r="Z18" s="561">
        <v>1</v>
      </c>
      <c r="AA18" s="572">
        <v>1</v>
      </c>
      <c r="AB18" s="561"/>
      <c r="AC18" s="798">
        <f t="shared" si="1"/>
        <v>21</v>
      </c>
      <c r="AD18" s="799">
        <f t="shared" si="1"/>
        <v>13</v>
      </c>
      <c r="AE18" s="1224">
        <f t="shared" si="2"/>
        <v>34</v>
      </c>
    </row>
    <row r="19" spans="1:31" ht="19.5" customHeight="1">
      <c r="A19" s="535" t="s">
        <v>647</v>
      </c>
      <c r="B19" s="802" t="s">
        <v>648</v>
      </c>
      <c r="C19" s="798">
        <f t="shared" si="3"/>
        <v>0</v>
      </c>
      <c r="D19" s="799">
        <f t="shared" si="3"/>
        <v>0</v>
      </c>
      <c r="E19" s="561"/>
      <c r="F19" s="573"/>
      <c r="G19" s="572"/>
      <c r="H19" s="573"/>
      <c r="I19" s="561"/>
      <c r="J19" s="561"/>
      <c r="K19" s="572"/>
      <c r="L19" s="561"/>
      <c r="M19" s="798">
        <f t="shared" si="0"/>
        <v>3</v>
      </c>
      <c r="N19" s="799">
        <f t="shared" si="0"/>
        <v>2</v>
      </c>
      <c r="O19" s="561">
        <v>1</v>
      </c>
      <c r="P19" s="573"/>
      <c r="Q19" s="561">
        <v>2</v>
      </c>
      <c r="R19" s="561">
        <v>2</v>
      </c>
      <c r="S19" s="572"/>
      <c r="T19" s="573"/>
      <c r="U19" s="561"/>
      <c r="V19" s="561"/>
      <c r="W19" s="572"/>
      <c r="X19" s="573"/>
      <c r="Y19" s="561"/>
      <c r="Z19" s="561"/>
      <c r="AA19" s="572">
        <v>1</v>
      </c>
      <c r="AB19" s="561"/>
      <c r="AC19" s="798">
        <f t="shared" si="1"/>
        <v>4</v>
      </c>
      <c r="AD19" s="799">
        <f t="shared" si="1"/>
        <v>2</v>
      </c>
      <c r="AE19" s="1224">
        <f t="shared" si="2"/>
        <v>6</v>
      </c>
    </row>
    <row r="20" spans="1:31" ht="18.75" customHeight="1">
      <c r="A20" s="535" t="s">
        <v>202</v>
      </c>
      <c r="B20" s="802" t="s">
        <v>203</v>
      </c>
      <c r="C20" s="798">
        <f t="shared" si="3"/>
        <v>0</v>
      </c>
      <c r="D20" s="799">
        <f t="shared" si="3"/>
        <v>0</v>
      </c>
      <c r="E20" s="561"/>
      <c r="F20" s="573"/>
      <c r="G20" s="572"/>
      <c r="H20" s="573"/>
      <c r="I20" s="561"/>
      <c r="J20" s="561"/>
      <c r="K20" s="572"/>
      <c r="L20" s="561"/>
      <c r="M20" s="798">
        <f t="shared" si="0"/>
        <v>0</v>
      </c>
      <c r="N20" s="799">
        <f t="shared" si="0"/>
        <v>0</v>
      </c>
      <c r="O20" s="561"/>
      <c r="P20" s="573"/>
      <c r="Q20" s="561"/>
      <c r="R20" s="561"/>
      <c r="S20" s="572"/>
      <c r="T20" s="573"/>
      <c r="U20" s="561"/>
      <c r="V20" s="561"/>
      <c r="W20" s="572"/>
      <c r="X20" s="573"/>
      <c r="Y20" s="561"/>
      <c r="Z20" s="561"/>
      <c r="AA20" s="572"/>
      <c r="AB20" s="561"/>
      <c r="AC20" s="798">
        <f t="shared" si="1"/>
        <v>0</v>
      </c>
      <c r="AD20" s="799">
        <f t="shared" si="1"/>
        <v>0</v>
      </c>
      <c r="AE20" s="1224">
        <f t="shared" si="2"/>
        <v>0</v>
      </c>
    </row>
    <row r="21" spans="1:31" ht="19.5" customHeight="1">
      <c r="A21" s="535" t="s">
        <v>204</v>
      </c>
      <c r="B21" s="802" t="s">
        <v>205</v>
      </c>
      <c r="C21" s="798">
        <f t="shared" si="3"/>
        <v>0</v>
      </c>
      <c r="D21" s="799">
        <f t="shared" si="3"/>
        <v>0</v>
      </c>
      <c r="E21" s="561"/>
      <c r="F21" s="573"/>
      <c r="G21" s="572"/>
      <c r="H21" s="573"/>
      <c r="I21" s="561"/>
      <c r="J21" s="561"/>
      <c r="K21" s="572"/>
      <c r="L21" s="561"/>
      <c r="M21" s="798">
        <f t="shared" si="0"/>
        <v>0</v>
      </c>
      <c r="N21" s="799">
        <f t="shared" si="0"/>
        <v>0</v>
      </c>
      <c r="O21" s="561"/>
      <c r="P21" s="573"/>
      <c r="Q21" s="561"/>
      <c r="R21" s="561"/>
      <c r="S21" s="572"/>
      <c r="T21" s="573"/>
      <c r="U21" s="561"/>
      <c r="V21" s="561"/>
      <c r="W21" s="572"/>
      <c r="X21" s="573"/>
      <c r="Y21" s="561"/>
      <c r="Z21" s="561"/>
      <c r="AA21" s="572"/>
      <c r="AB21" s="561"/>
      <c r="AC21" s="798">
        <f t="shared" si="1"/>
        <v>0</v>
      </c>
      <c r="AD21" s="799">
        <f t="shared" si="1"/>
        <v>0</v>
      </c>
      <c r="AE21" s="1224">
        <f t="shared" si="2"/>
        <v>0</v>
      </c>
    </row>
    <row r="22" spans="1:31" ht="19.5" customHeight="1">
      <c r="A22" s="535" t="s">
        <v>649</v>
      </c>
      <c r="B22" s="802" t="s">
        <v>650</v>
      </c>
      <c r="C22" s="798">
        <f t="shared" si="3"/>
        <v>0</v>
      </c>
      <c r="D22" s="799">
        <f t="shared" si="3"/>
        <v>0</v>
      </c>
      <c r="E22" s="561"/>
      <c r="F22" s="573"/>
      <c r="G22" s="572"/>
      <c r="H22" s="573"/>
      <c r="I22" s="561"/>
      <c r="J22" s="561"/>
      <c r="K22" s="572"/>
      <c r="L22" s="561"/>
      <c r="M22" s="798">
        <f t="shared" si="0"/>
        <v>1</v>
      </c>
      <c r="N22" s="799">
        <f t="shared" si="0"/>
        <v>1</v>
      </c>
      <c r="O22" s="561"/>
      <c r="P22" s="573">
        <v>1</v>
      </c>
      <c r="Q22" s="561">
        <v>1</v>
      </c>
      <c r="R22" s="561"/>
      <c r="S22" s="572"/>
      <c r="T22" s="573"/>
      <c r="U22" s="561"/>
      <c r="V22" s="561"/>
      <c r="W22" s="572"/>
      <c r="X22" s="573"/>
      <c r="Y22" s="561"/>
      <c r="Z22" s="561"/>
      <c r="AA22" s="572"/>
      <c r="AB22" s="561"/>
      <c r="AC22" s="798">
        <f>+M22+C22+AA22</f>
        <v>1</v>
      </c>
      <c r="AD22" s="799">
        <f>+N22+D22+AB22</f>
        <v>1</v>
      </c>
      <c r="AE22" s="1224">
        <f t="shared" si="2"/>
        <v>2</v>
      </c>
    </row>
    <row r="23" spans="1:31" ht="18.75" customHeight="1">
      <c r="A23" s="535" t="s">
        <v>206</v>
      </c>
      <c r="B23" s="802" t="s">
        <v>207</v>
      </c>
      <c r="C23" s="798">
        <f t="shared" si="3"/>
        <v>0</v>
      </c>
      <c r="D23" s="799">
        <f t="shared" si="3"/>
        <v>0</v>
      </c>
      <c r="E23" s="561"/>
      <c r="F23" s="573"/>
      <c r="G23" s="572"/>
      <c r="H23" s="573"/>
      <c r="I23" s="561"/>
      <c r="J23" s="561"/>
      <c r="K23" s="572"/>
      <c r="L23" s="561"/>
      <c r="M23" s="798">
        <f t="shared" si="0"/>
        <v>0</v>
      </c>
      <c r="N23" s="799">
        <f t="shared" si="0"/>
        <v>0</v>
      </c>
      <c r="O23" s="561"/>
      <c r="P23" s="573"/>
      <c r="Q23" s="561"/>
      <c r="R23" s="561"/>
      <c r="S23" s="572"/>
      <c r="T23" s="573"/>
      <c r="U23" s="561"/>
      <c r="V23" s="561"/>
      <c r="W23" s="572"/>
      <c r="X23" s="573"/>
      <c r="Y23" s="561"/>
      <c r="Z23" s="561"/>
      <c r="AA23" s="572"/>
      <c r="AB23" s="561"/>
      <c r="AC23" s="798">
        <f>+M23+C23+AA23</f>
        <v>0</v>
      </c>
      <c r="AD23" s="799">
        <f>+N23+D23+AB23</f>
        <v>0</v>
      </c>
      <c r="AE23" s="1224">
        <f t="shared" si="2"/>
        <v>0</v>
      </c>
    </row>
    <row r="24" spans="1:31" ht="19.5" customHeight="1">
      <c r="A24" s="535" t="s">
        <v>657</v>
      </c>
      <c r="B24" s="802" t="s">
        <v>658</v>
      </c>
      <c r="C24" s="798">
        <f t="shared" si="3"/>
        <v>0</v>
      </c>
      <c r="D24" s="799">
        <f t="shared" si="3"/>
        <v>0</v>
      </c>
      <c r="E24" s="561"/>
      <c r="F24" s="573"/>
      <c r="G24" s="572"/>
      <c r="H24" s="573"/>
      <c r="I24" s="561"/>
      <c r="J24" s="561"/>
      <c r="K24" s="572"/>
      <c r="L24" s="561"/>
      <c r="M24" s="798">
        <f t="shared" si="0"/>
        <v>0</v>
      </c>
      <c r="N24" s="799">
        <f t="shared" si="0"/>
        <v>0</v>
      </c>
      <c r="O24" s="561"/>
      <c r="P24" s="573"/>
      <c r="Q24" s="561"/>
      <c r="R24" s="561"/>
      <c r="S24" s="572"/>
      <c r="T24" s="573"/>
      <c r="U24" s="561"/>
      <c r="V24" s="561"/>
      <c r="W24" s="572"/>
      <c r="X24" s="573"/>
      <c r="Y24" s="561"/>
      <c r="Z24" s="561"/>
      <c r="AA24" s="572"/>
      <c r="AB24" s="561"/>
      <c r="AC24" s="798"/>
      <c r="AD24" s="799"/>
      <c r="AE24" s="1224">
        <f t="shared" si="2"/>
        <v>0</v>
      </c>
    </row>
    <row r="25" spans="1:31" ht="20.25" customHeight="1">
      <c r="A25" s="535" t="s">
        <v>659</v>
      </c>
      <c r="B25" s="802" t="s">
        <v>660</v>
      </c>
      <c r="C25" s="798">
        <f t="shared" si="3"/>
        <v>0</v>
      </c>
      <c r="D25" s="799">
        <f t="shared" si="3"/>
        <v>0</v>
      </c>
      <c r="E25" s="561"/>
      <c r="F25" s="573"/>
      <c r="G25" s="572"/>
      <c r="H25" s="573"/>
      <c r="I25" s="561"/>
      <c r="J25" s="561"/>
      <c r="K25" s="572"/>
      <c r="L25" s="561"/>
      <c r="M25" s="798">
        <f t="shared" si="0"/>
        <v>0</v>
      </c>
      <c r="N25" s="799">
        <f t="shared" si="0"/>
        <v>0</v>
      </c>
      <c r="O25" s="561"/>
      <c r="P25" s="573"/>
      <c r="Q25" s="561"/>
      <c r="R25" s="561"/>
      <c r="S25" s="572"/>
      <c r="T25" s="573"/>
      <c r="U25" s="561"/>
      <c r="V25" s="561"/>
      <c r="W25" s="572"/>
      <c r="X25" s="573"/>
      <c r="Y25" s="561"/>
      <c r="Z25" s="561"/>
      <c r="AA25" s="572"/>
      <c r="AB25" s="561"/>
      <c r="AC25" s="798"/>
      <c r="AD25" s="799"/>
      <c r="AE25" s="1224">
        <f t="shared" si="2"/>
        <v>0</v>
      </c>
    </row>
    <row r="26" spans="1:31" ht="21.75" customHeight="1">
      <c r="A26" s="535" t="s">
        <v>653</v>
      </c>
      <c r="B26" s="802" t="s">
        <v>673</v>
      </c>
      <c r="C26" s="798">
        <f t="shared" si="3"/>
        <v>0</v>
      </c>
      <c r="D26" s="799">
        <f t="shared" si="3"/>
        <v>0</v>
      </c>
      <c r="E26" s="561"/>
      <c r="F26" s="573"/>
      <c r="G26" s="572"/>
      <c r="H26" s="573"/>
      <c r="I26" s="561"/>
      <c r="J26" s="561"/>
      <c r="K26" s="572"/>
      <c r="L26" s="561"/>
      <c r="M26" s="798">
        <f t="shared" ref="M26:N29" si="4">+O26+Q26+S26+U26+W26+Y26</f>
        <v>2</v>
      </c>
      <c r="N26" s="799">
        <f t="shared" si="4"/>
        <v>4</v>
      </c>
      <c r="O26" s="561"/>
      <c r="P26" s="573"/>
      <c r="Q26" s="561">
        <v>1</v>
      </c>
      <c r="R26" s="561">
        <v>4</v>
      </c>
      <c r="S26" s="572">
        <v>1</v>
      </c>
      <c r="T26" s="573"/>
      <c r="U26" s="561"/>
      <c r="V26" s="561"/>
      <c r="W26" s="572"/>
      <c r="X26" s="573"/>
      <c r="Y26" s="561"/>
      <c r="Z26" s="561"/>
      <c r="AA26" s="572"/>
      <c r="AB26" s="561"/>
      <c r="AC26" s="798">
        <f t="shared" ref="AC26:AD29" si="5">+M26+C26+AA26</f>
        <v>2</v>
      </c>
      <c r="AD26" s="799">
        <f t="shared" si="5"/>
        <v>4</v>
      </c>
      <c r="AE26" s="1224">
        <f>SUM(AC26:AD26)</f>
        <v>6</v>
      </c>
    </row>
    <row r="27" spans="1:31" ht="21.75" customHeight="1">
      <c r="A27" s="535" t="s">
        <v>645</v>
      </c>
      <c r="B27" s="539" t="s">
        <v>208</v>
      </c>
      <c r="C27" s="798">
        <f>+E27+G27+I27+K27</f>
        <v>0</v>
      </c>
      <c r="D27" s="799">
        <f>+F27+H27+J27+L27</f>
        <v>0</v>
      </c>
      <c r="E27" s="561"/>
      <c r="F27" s="573"/>
      <c r="G27" s="572"/>
      <c r="H27" s="573"/>
      <c r="I27" s="561"/>
      <c r="J27" s="561"/>
      <c r="K27" s="572"/>
      <c r="L27" s="561"/>
      <c r="M27" s="798">
        <f>+O27+Q27+S27+U27+W27+Y27</f>
        <v>1</v>
      </c>
      <c r="N27" s="799">
        <f>+P27+R27+T27+V27+X27+Z27</f>
        <v>2</v>
      </c>
      <c r="O27" s="561">
        <v>1</v>
      </c>
      <c r="P27" s="573">
        <v>1</v>
      </c>
      <c r="Q27" s="561"/>
      <c r="R27" s="561">
        <v>1</v>
      </c>
      <c r="S27" s="572"/>
      <c r="T27" s="573"/>
      <c r="U27" s="561"/>
      <c r="V27" s="561"/>
      <c r="W27" s="572"/>
      <c r="X27" s="573"/>
      <c r="Y27" s="561"/>
      <c r="Z27" s="561"/>
      <c r="AA27" s="572">
        <v>3</v>
      </c>
      <c r="AB27" s="561"/>
      <c r="AC27" s="798">
        <f t="shared" si="5"/>
        <v>4</v>
      </c>
      <c r="AD27" s="799">
        <f t="shared" si="5"/>
        <v>2</v>
      </c>
      <c r="AE27" s="1224">
        <f>SUM(AC27:AD27)</f>
        <v>6</v>
      </c>
    </row>
    <row r="28" spans="1:31" ht="21.75" customHeight="1">
      <c r="A28" s="181" t="s">
        <v>1437</v>
      </c>
      <c r="B28" s="211" t="s">
        <v>1439</v>
      </c>
      <c r="C28" s="798">
        <f>+E28+G28+I28+K28</f>
        <v>0</v>
      </c>
      <c r="D28" s="799">
        <f>+F28+H28+J28+L28</f>
        <v>0</v>
      </c>
      <c r="E28" s="561"/>
      <c r="F28" s="573"/>
      <c r="G28" s="572"/>
      <c r="H28" s="573"/>
      <c r="I28" s="561"/>
      <c r="J28" s="561"/>
      <c r="K28" s="572"/>
      <c r="L28" s="561"/>
      <c r="M28" s="798">
        <f>+O28+Q28+S28+U28+W28+Y28</f>
        <v>0</v>
      </c>
      <c r="N28" s="799">
        <f>+P28+R28+T28+V28+X28+Z28</f>
        <v>0</v>
      </c>
      <c r="O28" s="561"/>
      <c r="P28" s="573"/>
      <c r="Q28" s="561"/>
      <c r="R28" s="561"/>
      <c r="S28" s="572"/>
      <c r="T28" s="573"/>
      <c r="U28" s="561"/>
      <c r="V28" s="561"/>
      <c r="W28" s="572"/>
      <c r="X28" s="573"/>
      <c r="Y28" s="561"/>
      <c r="Z28" s="561"/>
      <c r="AA28" s="572"/>
      <c r="AB28" s="561"/>
      <c r="AC28" s="798">
        <f t="shared" si="5"/>
        <v>0</v>
      </c>
      <c r="AD28" s="799">
        <f t="shared" si="5"/>
        <v>0</v>
      </c>
      <c r="AE28" s="1224">
        <f>SUM(AC28:AD28)</f>
        <v>0</v>
      </c>
    </row>
    <row r="29" spans="1:31" ht="27.75" customHeight="1">
      <c r="A29" s="181" t="s">
        <v>1438</v>
      </c>
      <c r="B29" s="211" t="s">
        <v>1440</v>
      </c>
      <c r="C29" s="798">
        <f t="shared" si="3"/>
        <v>0</v>
      </c>
      <c r="D29" s="799">
        <f t="shared" si="3"/>
        <v>0</v>
      </c>
      <c r="E29" s="561"/>
      <c r="F29" s="573"/>
      <c r="G29" s="572"/>
      <c r="H29" s="573"/>
      <c r="I29" s="561"/>
      <c r="J29" s="561"/>
      <c r="K29" s="572"/>
      <c r="L29" s="561"/>
      <c r="M29" s="798">
        <f t="shared" si="4"/>
        <v>0</v>
      </c>
      <c r="N29" s="799">
        <f t="shared" si="4"/>
        <v>0</v>
      </c>
      <c r="O29" s="561"/>
      <c r="P29" s="573"/>
      <c r="Q29" s="561"/>
      <c r="R29" s="561"/>
      <c r="S29" s="572"/>
      <c r="T29" s="573"/>
      <c r="U29" s="561"/>
      <c r="V29" s="561"/>
      <c r="W29" s="572"/>
      <c r="X29" s="573"/>
      <c r="Y29" s="561"/>
      <c r="Z29" s="561"/>
      <c r="AA29" s="572"/>
      <c r="AB29" s="561"/>
      <c r="AC29" s="798">
        <f t="shared" si="5"/>
        <v>0</v>
      </c>
      <c r="AD29" s="799">
        <f t="shared" si="5"/>
        <v>0</v>
      </c>
      <c r="AE29" s="1224">
        <f>SUM(AC29:AD29)</f>
        <v>0</v>
      </c>
    </row>
    <row r="30" spans="1:31" ht="21.75" customHeight="1" thickBot="1">
      <c r="A30" s="540"/>
      <c r="B30" s="803" t="s">
        <v>767</v>
      </c>
      <c r="C30" s="1214">
        <f>SUM(C10:C29)</f>
        <v>40</v>
      </c>
      <c r="D30" s="1215">
        <f>SUM(D10:D29)</f>
        <v>57</v>
      </c>
      <c r="E30" s="1216">
        <f>SUM(E10:E29)</f>
        <v>27</v>
      </c>
      <c r="F30" s="789">
        <f t="shared" ref="F30:AE30" si="6">SUM(F10:F29)</f>
        <v>40</v>
      </c>
      <c r="G30" s="1217">
        <f t="shared" si="6"/>
        <v>5</v>
      </c>
      <c r="H30" s="789">
        <f t="shared" si="6"/>
        <v>15</v>
      </c>
      <c r="I30" s="1217">
        <f t="shared" si="6"/>
        <v>6</v>
      </c>
      <c r="J30" s="789">
        <f t="shared" si="6"/>
        <v>2</v>
      </c>
      <c r="K30" s="1217">
        <f t="shared" si="6"/>
        <v>2</v>
      </c>
      <c r="L30" s="1216">
        <f t="shared" si="6"/>
        <v>0</v>
      </c>
      <c r="M30" s="1214">
        <f t="shared" si="6"/>
        <v>178</v>
      </c>
      <c r="N30" s="1215">
        <f t="shared" si="6"/>
        <v>151</v>
      </c>
      <c r="O30" s="1216">
        <f t="shared" si="6"/>
        <v>73</v>
      </c>
      <c r="P30" s="789">
        <f t="shared" si="6"/>
        <v>75</v>
      </c>
      <c r="Q30" s="1217">
        <f t="shared" si="6"/>
        <v>70</v>
      </c>
      <c r="R30" s="789">
        <f t="shared" si="6"/>
        <v>48</v>
      </c>
      <c r="S30" s="1217">
        <f t="shared" si="6"/>
        <v>13</v>
      </c>
      <c r="T30" s="789">
        <f t="shared" si="6"/>
        <v>10</v>
      </c>
      <c r="U30" s="1217">
        <f t="shared" si="6"/>
        <v>6</v>
      </c>
      <c r="V30" s="789">
        <f t="shared" si="6"/>
        <v>2</v>
      </c>
      <c r="W30" s="1217">
        <f t="shared" si="6"/>
        <v>10</v>
      </c>
      <c r="X30" s="789">
        <f t="shared" si="6"/>
        <v>11</v>
      </c>
      <c r="Y30" s="1217">
        <f t="shared" si="6"/>
        <v>6</v>
      </c>
      <c r="Z30" s="789">
        <f t="shared" si="6"/>
        <v>5</v>
      </c>
      <c r="AA30" s="1217">
        <f t="shared" si="6"/>
        <v>100</v>
      </c>
      <c r="AB30" s="1216">
        <f t="shared" si="6"/>
        <v>49</v>
      </c>
      <c r="AC30" s="1214">
        <f t="shared" si="6"/>
        <v>318</v>
      </c>
      <c r="AD30" s="1215">
        <f t="shared" si="6"/>
        <v>257</v>
      </c>
      <c r="AE30" s="1218">
        <f t="shared" si="6"/>
        <v>575</v>
      </c>
    </row>
    <row r="31" spans="1:31" ht="21.75" customHeight="1">
      <c r="A31" s="543"/>
      <c r="B31" s="543"/>
      <c r="C31" s="544"/>
      <c r="D31" s="544"/>
      <c r="E31" s="544"/>
      <c r="F31" s="563"/>
      <c r="G31" s="544"/>
      <c r="H31" s="544"/>
      <c r="I31" s="544"/>
      <c r="J31" s="544"/>
      <c r="K31" s="544"/>
      <c r="L31" s="544"/>
      <c r="M31" s="544"/>
      <c r="N31" s="544"/>
      <c r="O31" s="544"/>
      <c r="P31" s="544"/>
      <c r="Q31" s="544"/>
      <c r="R31" s="544"/>
      <c r="S31" s="544"/>
      <c r="T31" s="544"/>
      <c r="U31" s="544"/>
      <c r="V31" s="544"/>
      <c r="W31" s="544"/>
      <c r="X31" s="544"/>
      <c r="Y31" s="545"/>
      <c r="Z31" s="545"/>
    </row>
    <row r="32" spans="1:31">
      <c r="A32" s="1648" t="s">
        <v>209</v>
      </c>
      <c r="B32" s="1648"/>
      <c r="C32" s="1648"/>
      <c r="D32" s="1648"/>
      <c r="E32" s="1648"/>
      <c r="F32" s="1648"/>
      <c r="G32" s="1648"/>
      <c r="H32" s="1648"/>
      <c r="I32" s="1648"/>
      <c r="J32" s="1648"/>
      <c r="K32" s="1648"/>
      <c r="L32" s="1648"/>
      <c r="M32" s="1648"/>
      <c r="N32" s="1648"/>
      <c r="O32" s="1648"/>
      <c r="P32" s="1648"/>
      <c r="Q32" s="1648"/>
      <c r="R32" s="1648"/>
      <c r="S32" s="1648"/>
      <c r="T32" s="1648"/>
      <c r="U32" s="1648"/>
      <c r="V32" s="1648"/>
      <c r="W32" s="1648"/>
      <c r="X32" s="1648"/>
      <c r="Y32" s="1648"/>
      <c r="Z32" s="543"/>
    </row>
    <row r="33" spans="1:26">
      <c r="A33" s="524"/>
      <c r="B33" s="548"/>
      <c r="C33" s="548"/>
      <c r="D33" s="548"/>
      <c r="E33" s="548"/>
      <c r="F33" s="548"/>
      <c r="G33" s="548"/>
      <c r="H33" s="548"/>
      <c r="I33" s="548"/>
      <c r="J33" s="548"/>
      <c r="K33" s="549"/>
      <c r="L33" s="549"/>
      <c r="M33" s="549"/>
      <c r="N33" s="549"/>
      <c r="O33" s="549"/>
      <c r="P33" s="549"/>
      <c r="Q33" s="549"/>
      <c r="R33" s="549"/>
      <c r="S33" s="549"/>
      <c r="T33" s="549"/>
      <c r="U33" s="549"/>
      <c r="V33" s="549"/>
      <c r="W33" s="549"/>
      <c r="X33" s="549"/>
      <c r="Y33" s="534"/>
      <c r="Z33" s="534"/>
    </row>
    <row r="34" spans="1:26">
      <c r="A34" s="1648" t="str">
        <f>+A3</f>
        <v>SERVICIO DE SALUD   ACONCAGUA   2023</v>
      </c>
      <c r="B34" s="1648"/>
      <c r="C34" s="1648"/>
      <c r="D34" s="1648"/>
      <c r="E34" s="1648"/>
      <c r="F34" s="1648"/>
      <c r="G34" s="1648"/>
      <c r="H34" s="1648"/>
      <c r="I34" s="1648"/>
      <c r="J34" s="1648"/>
      <c r="K34" s="1648"/>
      <c r="L34" s="1648"/>
      <c r="M34" s="1648"/>
      <c r="N34" s="1648"/>
      <c r="O34" s="1648"/>
      <c r="P34" s="1648"/>
      <c r="Q34" s="1648"/>
      <c r="R34" s="1648"/>
      <c r="S34" s="1648"/>
      <c r="T34" s="1648"/>
      <c r="U34" s="1648"/>
      <c r="V34" s="1648"/>
      <c r="W34" s="1648"/>
      <c r="X34" s="1648"/>
      <c r="Y34" s="1648"/>
      <c r="Z34" s="534"/>
    </row>
    <row r="35" spans="1:26">
      <c r="A35" s="524"/>
      <c r="B35" s="548"/>
      <c r="C35" s="548"/>
      <c r="D35" s="548"/>
      <c r="E35" s="548"/>
      <c r="F35" s="548"/>
      <c r="G35" s="548"/>
      <c r="H35" s="548"/>
      <c r="I35" s="548"/>
      <c r="J35" s="548"/>
      <c r="K35" s="549"/>
      <c r="L35" s="549"/>
      <c r="M35" s="549"/>
      <c r="N35" s="549"/>
      <c r="O35" s="549"/>
      <c r="P35" s="549"/>
      <c r="Q35" s="549"/>
      <c r="R35" s="549"/>
      <c r="S35" s="549"/>
      <c r="T35" s="549"/>
      <c r="U35" s="549"/>
      <c r="V35" s="549"/>
      <c r="W35" s="549"/>
      <c r="X35" s="549"/>
      <c r="Y35" s="534"/>
      <c r="Z35" s="534"/>
    </row>
    <row r="36" spans="1:26">
      <c r="A36" s="1648" t="s">
        <v>217</v>
      </c>
      <c r="B36" s="1648"/>
      <c r="C36" s="1648"/>
      <c r="D36" s="1648"/>
      <c r="E36" s="1648"/>
      <c r="F36" s="1648"/>
      <c r="G36" s="1648"/>
      <c r="H36" s="1648"/>
      <c r="I36" s="1648"/>
      <c r="J36" s="1648"/>
      <c r="K36" s="1648"/>
      <c r="L36" s="1648"/>
      <c r="M36" s="1648"/>
      <c r="N36" s="1648"/>
      <c r="O36" s="1648"/>
      <c r="P36" s="1648"/>
      <c r="Q36" s="1648"/>
      <c r="R36" s="1648"/>
      <c r="S36" s="1648"/>
      <c r="T36" s="1648"/>
      <c r="U36" s="1648"/>
      <c r="V36" s="1648"/>
      <c r="W36" s="1648"/>
      <c r="X36" s="1648"/>
      <c r="Y36" s="1648"/>
      <c r="Z36" s="587"/>
    </row>
    <row r="37" spans="1:26">
      <c r="A37" s="534"/>
      <c r="B37" s="534"/>
      <c r="C37" s="534"/>
      <c r="D37" s="534"/>
      <c r="E37" s="534"/>
      <c r="F37" s="534"/>
      <c r="G37" s="534"/>
      <c r="H37" s="534"/>
      <c r="I37" s="534"/>
      <c r="J37" s="534"/>
      <c r="K37" s="534"/>
      <c r="L37" s="534"/>
      <c r="M37" s="534"/>
      <c r="P37" s="534"/>
      <c r="Q37" s="534"/>
      <c r="T37" s="534"/>
      <c r="U37" s="534"/>
      <c r="V37" s="534"/>
      <c r="W37" s="534"/>
      <c r="X37" s="534"/>
      <c r="Y37" s="534"/>
      <c r="Z37" s="534"/>
    </row>
    <row r="38" spans="1:26" ht="21.75" customHeight="1">
      <c r="A38" s="1454" t="s">
        <v>627</v>
      </c>
      <c r="B38" s="1477"/>
      <c r="C38" s="1634" t="s">
        <v>661</v>
      </c>
      <c r="D38" s="1635"/>
      <c r="E38" s="1635"/>
      <c r="F38" s="1635"/>
      <c r="G38" s="1635"/>
      <c r="H38" s="1635"/>
      <c r="I38" s="1635"/>
      <c r="J38" s="1635"/>
      <c r="K38" s="1635"/>
      <c r="L38" s="1635"/>
      <c r="M38" s="1635"/>
      <c r="N38" s="1635"/>
      <c r="O38" s="1635"/>
      <c r="P38" s="1635"/>
      <c r="Q38" s="1635"/>
      <c r="R38" s="1635"/>
      <c r="S38" s="1635"/>
      <c r="T38" s="1635"/>
      <c r="U38" s="1635"/>
      <c r="V38" s="1635"/>
      <c r="W38" s="1457"/>
      <c r="X38" s="1457"/>
      <c r="Y38" s="1458"/>
    </row>
    <row r="39" spans="1:26" ht="23.25" customHeight="1">
      <c r="A39" s="1459" t="s">
        <v>629</v>
      </c>
      <c r="B39" s="1478" t="s">
        <v>630</v>
      </c>
      <c r="C39" s="1632" t="s">
        <v>663</v>
      </c>
      <c r="D39" s="1632"/>
      <c r="E39" s="1632" t="s">
        <v>664</v>
      </c>
      <c r="F39" s="1632"/>
      <c r="G39" s="1632" t="s">
        <v>665</v>
      </c>
      <c r="H39" s="1632"/>
      <c r="I39" s="1632" t="s">
        <v>666</v>
      </c>
      <c r="J39" s="1632"/>
      <c r="K39" s="1632" t="s">
        <v>667</v>
      </c>
      <c r="L39" s="1632"/>
      <c r="M39" s="1632" t="s">
        <v>668</v>
      </c>
      <c r="N39" s="1632"/>
      <c r="O39" s="1632" t="s">
        <v>669</v>
      </c>
      <c r="P39" s="1632"/>
      <c r="Q39" s="1632" t="s">
        <v>670</v>
      </c>
      <c r="R39" s="1632"/>
      <c r="S39" s="1632" t="s">
        <v>671</v>
      </c>
      <c r="T39" s="1632"/>
      <c r="U39" s="1632" t="s">
        <v>672</v>
      </c>
      <c r="V39" s="1632"/>
      <c r="W39" s="1632" t="s">
        <v>474</v>
      </c>
      <c r="X39" s="1632"/>
      <c r="Y39" s="1632"/>
    </row>
    <row r="40" spans="1:26">
      <c r="A40" s="1461"/>
      <c r="B40" s="1479"/>
      <c r="C40" s="1083" t="s">
        <v>1301</v>
      </c>
      <c r="D40" s="1084" t="s">
        <v>1302</v>
      </c>
      <c r="E40" s="1082" t="s">
        <v>1301</v>
      </c>
      <c r="F40" s="1084" t="s">
        <v>1302</v>
      </c>
      <c r="G40" s="1082" t="s">
        <v>1301</v>
      </c>
      <c r="H40" s="1084" t="s">
        <v>1302</v>
      </c>
      <c r="I40" s="1082" t="s">
        <v>1301</v>
      </c>
      <c r="J40" s="1084" t="s">
        <v>1302</v>
      </c>
      <c r="K40" s="1082" t="s">
        <v>1301</v>
      </c>
      <c r="L40" s="1084" t="s">
        <v>1302</v>
      </c>
      <c r="M40" s="1082" t="s">
        <v>1301</v>
      </c>
      <c r="N40" s="1084" t="s">
        <v>1302</v>
      </c>
      <c r="O40" s="1082" t="s">
        <v>1301</v>
      </c>
      <c r="P40" s="1084" t="s">
        <v>1302</v>
      </c>
      <c r="Q40" s="1082" t="s">
        <v>1301</v>
      </c>
      <c r="R40" s="1084" t="s">
        <v>1302</v>
      </c>
      <c r="S40" s="1082" t="s">
        <v>1301</v>
      </c>
      <c r="T40" s="1084" t="s">
        <v>1302</v>
      </c>
      <c r="U40" s="1082" t="s">
        <v>1301</v>
      </c>
      <c r="V40" s="1084" t="s">
        <v>1302</v>
      </c>
      <c r="W40" s="1082" t="s">
        <v>1301</v>
      </c>
      <c r="X40" s="1084" t="s">
        <v>1302</v>
      </c>
      <c r="Y40" s="1463" t="s">
        <v>448</v>
      </c>
      <c r="Z40" s="534"/>
    </row>
    <row r="41" spans="1:26" ht="20.25" customHeight="1">
      <c r="A41" s="535" t="s">
        <v>651</v>
      </c>
      <c r="B41" s="536" t="s">
        <v>652</v>
      </c>
      <c r="C41" s="785"/>
      <c r="D41" s="793"/>
      <c r="E41" s="561"/>
      <c r="G41" s="785"/>
      <c r="H41" s="793"/>
      <c r="I41" s="561"/>
      <c r="K41" s="785"/>
      <c r="L41" s="793"/>
      <c r="M41" s="561"/>
      <c r="O41" s="785"/>
      <c r="P41" s="793"/>
      <c r="Q41" s="561">
        <v>1</v>
      </c>
      <c r="S41" s="785"/>
      <c r="T41" s="914">
        <v>1</v>
      </c>
      <c r="U41" s="561"/>
      <c r="V41" s="915"/>
      <c r="W41" s="572">
        <f t="shared" ref="W41:X46" si="7">+M41+O41+Q41+S41+U41</f>
        <v>1</v>
      </c>
      <c r="X41" s="573">
        <f t="shared" si="7"/>
        <v>1</v>
      </c>
      <c r="Y41" s="573">
        <f>SUM(B41:U41)</f>
        <v>2</v>
      </c>
    </row>
    <row r="42" spans="1:26" ht="19.5" customHeight="1">
      <c r="A42" s="535" t="s">
        <v>640</v>
      </c>
      <c r="B42" s="536" t="s">
        <v>641</v>
      </c>
      <c r="C42" s="572"/>
      <c r="D42" s="794"/>
      <c r="E42" s="561"/>
      <c r="G42" s="572"/>
      <c r="H42" s="794"/>
      <c r="I42" s="561"/>
      <c r="K42" s="572"/>
      <c r="L42" s="794"/>
      <c r="M42" s="561"/>
      <c r="O42" s="572"/>
      <c r="P42" s="794"/>
      <c r="Q42" s="561"/>
      <c r="S42" s="572">
        <v>1</v>
      </c>
      <c r="T42" s="916"/>
      <c r="U42" s="561"/>
      <c r="V42" s="915"/>
      <c r="W42" s="572">
        <f t="shared" si="7"/>
        <v>1</v>
      </c>
      <c r="X42" s="573">
        <f t="shared" si="7"/>
        <v>0</v>
      </c>
      <c r="Y42" s="573">
        <f>SUM(B42:V42)</f>
        <v>1</v>
      </c>
    </row>
    <row r="43" spans="1:26" ht="18" customHeight="1">
      <c r="A43" s="535" t="s">
        <v>194</v>
      </c>
      <c r="B43" s="536" t="s">
        <v>195</v>
      </c>
      <c r="C43" s="572"/>
      <c r="D43" s="794"/>
      <c r="E43" s="561"/>
      <c r="G43" s="572"/>
      <c r="H43" s="794"/>
      <c r="I43" s="561"/>
      <c r="K43" s="572"/>
      <c r="L43" s="794"/>
      <c r="M43" s="561"/>
      <c r="O43" s="572"/>
      <c r="P43" s="794"/>
      <c r="Q43" s="561"/>
      <c r="S43" s="572"/>
      <c r="T43" s="916"/>
      <c r="U43" s="561"/>
      <c r="V43" s="915"/>
      <c r="W43" s="572">
        <f t="shared" si="7"/>
        <v>0</v>
      </c>
      <c r="X43" s="573">
        <f t="shared" si="7"/>
        <v>0</v>
      </c>
      <c r="Y43" s="573">
        <f>SUM(B43:V43)</f>
        <v>0</v>
      </c>
    </row>
    <row r="44" spans="1:26" ht="19.5" customHeight="1">
      <c r="A44" s="535" t="s">
        <v>655</v>
      </c>
      <c r="B44" s="536" t="s">
        <v>656</v>
      </c>
      <c r="C44" s="572"/>
      <c r="D44" s="794"/>
      <c r="E44" s="561"/>
      <c r="G44" s="572"/>
      <c r="H44" s="794"/>
      <c r="I44" s="561"/>
      <c r="K44" s="572"/>
      <c r="L44" s="794"/>
      <c r="M44" s="561"/>
      <c r="O44" s="572"/>
      <c r="P44" s="794"/>
      <c r="Q44" s="561"/>
      <c r="S44" s="572">
        <v>1</v>
      </c>
      <c r="T44" s="916"/>
      <c r="U44" s="561"/>
      <c r="V44" s="915">
        <v>1</v>
      </c>
      <c r="W44" s="572">
        <f t="shared" si="7"/>
        <v>1</v>
      </c>
      <c r="X44" s="573">
        <f t="shared" si="7"/>
        <v>1</v>
      </c>
      <c r="Y44" s="573">
        <f>SUM(B44:V44)</f>
        <v>2</v>
      </c>
    </row>
    <row r="45" spans="1:26" ht="19.5" customHeight="1">
      <c r="A45" s="535" t="s">
        <v>196</v>
      </c>
      <c r="B45" s="536" t="s">
        <v>197</v>
      </c>
      <c r="C45" s="572"/>
      <c r="D45" s="552"/>
      <c r="E45" s="561"/>
      <c r="F45" s="534"/>
      <c r="G45" s="572"/>
      <c r="H45" s="552"/>
      <c r="I45" s="561"/>
      <c r="J45" s="534"/>
      <c r="K45" s="572"/>
      <c r="L45" s="552"/>
      <c r="M45" s="561">
        <v>1</v>
      </c>
      <c r="N45" s="561"/>
      <c r="O45" s="572">
        <v>26</v>
      </c>
      <c r="P45" s="573">
        <v>52</v>
      </c>
      <c r="Q45" s="561">
        <v>196</v>
      </c>
      <c r="R45" s="561">
        <v>122</v>
      </c>
      <c r="S45" s="572">
        <v>49</v>
      </c>
      <c r="T45" s="573">
        <v>48</v>
      </c>
      <c r="U45" s="561">
        <v>7</v>
      </c>
      <c r="V45" s="561">
        <v>6</v>
      </c>
      <c r="W45" s="572">
        <f t="shared" si="7"/>
        <v>279</v>
      </c>
      <c r="X45" s="573">
        <f t="shared" si="7"/>
        <v>228</v>
      </c>
      <c r="Y45" s="573">
        <f>SUM(B45:V45)</f>
        <v>507</v>
      </c>
    </row>
    <row r="46" spans="1:26" ht="19.5" customHeight="1">
      <c r="A46" s="535" t="s">
        <v>198</v>
      </c>
      <c r="B46" s="536" t="s">
        <v>199</v>
      </c>
      <c r="C46" s="572"/>
      <c r="D46" s="552"/>
      <c r="E46" s="561"/>
      <c r="F46" s="534"/>
      <c r="G46" s="572"/>
      <c r="H46" s="552"/>
      <c r="I46" s="561"/>
      <c r="J46" s="534"/>
      <c r="K46" s="572"/>
      <c r="L46" s="552"/>
      <c r="M46" s="561"/>
      <c r="N46" s="561"/>
      <c r="O46" s="572"/>
      <c r="P46" s="573"/>
      <c r="Q46" s="561"/>
      <c r="R46" s="561">
        <v>1</v>
      </c>
      <c r="S46" s="572"/>
      <c r="T46" s="573"/>
      <c r="U46" s="561"/>
      <c r="V46" s="561"/>
      <c r="W46" s="572">
        <f t="shared" si="7"/>
        <v>0</v>
      </c>
      <c r="X46" s="573">
        <f t="shared" si="7"/>
        <v>1</v>
      </c>
      <c r="Y46" s="573">
        <f t="shared" ref="Y46:Y59" si="8">SUM(B46:V46)</f>
        <v>1</v>
      </c>
    </row>
    <row r="47" spans="1:26" ht="19.5" customHeight="1">
      <c r="A47" s="535" t="s">
        <v>200</v>
      </c>
      <c r="B47" s="536" t="s">
        <v>201</v>
      </c>
      <c r="C47" s="572"/>
      <c r="D47" s="552"/>
      <c r="E47" s="561"/>
      <c r="F47" s="534"/>
      <c r="G47" s="572"/>
      <c r="H47" s="552"/>
      <c r="I47" s="561"/>
      <c r="J47" s="534"/>
      <c r="K47" s="572"/>
      <c r="L47" s="552"/>
      <c r="M47" s="561"/>
      <c r="N47" s="561"/>
      <c r="O47" s="572"/>
      <c r="P47" s="573"/>
      <c r="Q47" s="561"/>
      <c r="R47" s="561"/>
      <c r="S47" s="572"/>
      <c r="T47" s="573"/>
      <c r="U47" s="561"/>
      <c r="V47" s="561"/>
      <c r="W47" s="572"/>
      <c r="X47" s="573"/>
      <c r="Y47" s="573">
        <f t="shared" si="8"/>
        <v>0</v>
      </c>
    </row>
    <row r="48" spans="1:26" ht="18" customHeight="1">
      <c r="A48" s="535" t="s">
        <v>638</v>
      </c>
      <c r="B48" s="536" t="s">
        <v>639</v>
      </c>
      <c r="C48" s="572"/>
      <c r="D48" s="552"/>
      <c r="E48" s="561"/>
      <c r="F48" s="534"/>
      <c r="G48" s="572"/>
      <c r="H48" s="552"/>
      <c r="I48" s="561"/>
      <c r="J48" s="534"/>
      <c r="K48" s="572"/>
      <c r="L48" s="552"/>
      <c r="M48" s="561"/>
      <c r="N48" s="561"/>
      <c r="O48" s="572"/>
      <c r="P48" s="573"/>
      <c r="Q48" s="561"/>
      <c r="R48" s="561">
        <v>1</v>
      </c>
      <c r="S48" s="572">
        <v>2</v>
      </c>
      <c r="T48" s="573">
        <v>2</v>
      </c>
      <c r="U48" s="561">
        <v>2</v>
      </c>
      <c r="V48" s="561">
        <v>1</v>
      </c>
      <c r="W48" s="572">
        <f t="shared" ref="W48:X50" si="9">+M48+O48+Q48+S48+U48</f>
        <v>4</v>
      </c>
      <c r="X48" s="573">
        <f t="shared" si="9"/>
        <v>4</v>
      </c>
      <c r="Y48" s="573">
        <f t="shared" si="8"/>
        <v>8</v>
      </c>
    </row>
    <row r="49" spans="1:25" ht="18.75" customHeight="1">
      <c r="A49" s="535" t="s">
        <v>642</v>
      </c>
      <c r="B49" s="536" t="s">
        <v>643</v>
      </c>
      <c r="C49" s="572"/>
      <c r="D49" s="552"/>
      <c r="E49" s="561"/>
      <c r="F49" s="534"/>
      <c r="G49" s="572"/>
      <c r="H49" s="552"/>
      <c r="I49" s="561"/>
      <c r="J49" s="534"/>
      <c r="K49" s="572"/>
      <c r="L49" s="552"/>
      <c r="M49" s="561"/>
      <c r="N49" s="561"/>
      <c r="O49" s="572"/>
      <c r="P49" s="573"/>
      <c r="Q49" s="561">
        <v>3</v>
      </c>
      <c r="R49" s="561">
        <v>1</v>
      </c>
      <c r="S49" s="572">
        <v>13</v>
      </c>
      <c r="T49" s="573">
        <v>5</v>
      </c>
      <c r="U49" s="561">
        <v>5</v>
      </c>
      <c r="V49" s="561">
        <v>7</v>
      </c>
      <c r="W49" s="572">
        <f t="shared" si="9"/>
        <v>21</v>
      </c>
      <c r="X49" s="573">
        <f t="shared" si="9"/>
        <v>13</v>
      </c>
      <c r="Y49" s="573">
        <f t="shared" si="8"/>
        <v>34</v>
      </c>
    </row>
    <row r="50" spans="1:25" ht="19.5" customHeight="1">
      <c r="A50" s="535" t="s">
        <v>647</v>
      </c>
      <c r="B50" s="536" t="s">
        <v>648</v>
      </c>
      <c r="C50" s="572"/>
      <c r="D50" s="552"/>
      <c r="E50" s="561"/>
      <c r="F50" s="534"/>
      <c r="G50" s="572"/>
      <c r="H50" s="552"/>
      <c r="I50" s="561"/>
      <c r="J50" s="534"/>
      <c r="K50" s="572"/>
      <c r="L50" s="552"/>
      <c r="M50" s="561"/>
      <c r="N50" s="561"/>
      <c r="O50" s="572"/>
      <c r="P50" s="573"/>
      <c r="Q50" s="561"/>
      <c r="R50" s="561"/>
      <c r="S50" s="572">
        <v>3</v>
      </c>
      <c r="T50" s="573">
        <v>1</v>
      </c>
      <c r="U50" s="561">
        <v>1</v>
      </c>
      <c r="V50" s="561">
        <v>1</v>
      </c>
      <c r="W50" s="572">
        <f t="shared" si="9"/>
        <v>4</v>
      </c>
      <c r="X50" s="573">
        <f t="shared" si="9"/>
        <v>2</v>
      </c>
      <c r="Y50" s="573">
        <f t="shared" si="8"/>
        <v>6</v>
      </c>
    </row>
    <row r="51" spans="1:25" ht="18" customHeight="1">
      <c r="A51" s="535" t="s">
        <v>202</v>
      </c>
      <c r="B51" s="536" t="s">
        <v>203</v>
      </c>
      <c r="C51" s="572"/>
      <c r="D51" s="552"/>
      <c r="E51" s="561"/>
      <c r="F51" s="534"/>
      <c r="G51" s="572"/>
      <c r="H51" s="552"/>
      <c r="I51" s="561"/>
      <c r="J51" s="534"/>
      <c r="K51" s="572"/>
      <c r="L51" s="552"/>
      <c r="M51" s="561"/>
      <c r="N51" s="561"/>
      <c r="O51" s="572"/>
      <c r="P51" s="573"/>
      <c r="Q51" s="561"/>
      <c r="R51" s="561"/>
      <c r="S51" s="572"/>
      <c r="T51" s="573"/>
      <c r="U51" s="561"/>
      <c r="V51" s="561"/>
      <c r="W51" s="572"/>
      <c r="X51" s="573"/>
      <c r="Y51" s="573">
        <f t="shared" si="8"/>
        <v>0</v>
      </c>
    </row>
    <row r="52" spans="1:25" ht="19.5" customHeight="1">
      <c r="A52" s="535" t="s">
        <v>204</v>
      </c>
      <c r="B52" s="536" t="s">
        <v>205</v>
      </c>
      <c r="C52" s="572"/>
      <c r="D52" s="552"/>
      <c r="E52" s="561"/>
      <c r="F52" s="534"/>
      <c r="G52" s="572"/>
      <c r="H52" s="552"/>
      <c r="I52" s="561"/>
      <c r="J52" s="534"/>
      <c r="K52" s="572"/>
      <c r="L52" s="552"/>
      <c r="M52" s="561"/>
      <c r="N52" s="561"/>
      <c r="O52" s="572"/>
      <c r="P52" s="573"/>
      <c r="Q52" s="561"/>
      <c r="R52" s="561"/>
      <c r="S52" s="572"/>
      <c r="T52" s="573"/>
      <c r="U52" s="561"/>
      <c r="V52" s="561"/>
      <c r="W52" s="572">
        <f>+M52+O52+Q52+S52+U52</f>
        <v>0</v>
      </c>
      <c r="X52" s="573">
        <f>+N52+P52+R52+T52+V52</f>
        <v>0</v>
      </c>
      <c r="Y52" s="573">
        <f t="shared" si="8"/>
        <v>0</v>
      </c>
    </row>
    <row r="53" spans="1:25" ht="18.75" customHeight="1">
      <c r="A53" s="535" t="s">
        <v>649</v>
      </c>
      <c r="B53" s="536" t="s">
        <v>650</v>
      </c>
      <c r="C53" s="572"/>
      <c r="D53" s="552"/>
      <c r="E53" s="561"/>
      <c r="F53" s="534"/>
      <c r="G53" s="572"/>
      <c r="H53" s="552"/>
      <c r="I53" s="561"/>
      <c r="J53" s="534"/>
      <c r="K53" s="572"/>
      <c r="L53" s="552"/>
      <c r="M53" s="561"/>
      <c r="N53" s="561"/>
      <c r="O53" s="572"/>
      <c r="P53" s="573"/>
      <c r="Q53" s="561"/>
      <c r="R53" s="561"/>
      <c r="S53" s="572"/>
      <c r="T53" s="573">
        <v>1</v>
      </c>
      <c r="U53" s="561">
        <v>1</v>
      </c>
      <c r="V53" s="561"/>
      <c r="W53" s="572">
        <f>+M53+O53+Q53+S53+U53</f>
        <v>1</v>
      </c>
      <c r="X53" s="573">
        <f>+N53+P53+R53+T53+V53</f>
        <v>1</v>
      </c>
      <c r="Y53" s="573">
        <f t="shared" si="8"/>
        <v>2</v>
      </c>
    </row>
    <row r="54" spans="1:25" ht="18.75" customHeight="1">
      <c r="A54" s="535" t="s">
        <v>206</v>
      </c>
      <c r="B54" s="536" t="s">
        <v>207</v>
      </c>
      <c r="C54" s="572"/>
      <c r="D54" s="552"/>
      <c r="E54" s="561"/>
      <c r="F54" s="534"/>
      <c r="G54" s="572"/>
      <c r="H54" s="552"/>
      <c r="I54" s="561"/>
      <c r="J54" s="534"/>
      <c r="K54" s="572"/>
      <c r="L54" s="552"/>
      <c r="M54" s="561"/>
      <c r="N54" s="561"/>
      <c r="O54" s="572"/>
      <c r="P54" s="573"/>
      <c r="Q54" s="561"/>
      <c r="R54" s="561"/>
      <c r="S54" s="572"/>
      <c r="T54" s="573"/>
      <c r="U54" s="561"/>
      <c r="V54" s="561"/>
      <c r="W54" s="572"/>
      <c r="X54" s="573"/>
      <c r="Y54" s="573">
        <f t="shared" si="8"/>
        <v>0</v>
      </c>
    </row>
    <row r="55" spans="1:25" ht="18" customHeight="1">
      <c r="A55" s="535" t="s">
        <v>657</v>
      </c>
      <c r="B55" s="536" t="s">
        <v>658</v>
      </c>
      <c r="C55" s="572"/>
      <c r="D55" s="552"/>
      <c r="E55" s="561"/>
      <c r="F55" s="534"/>
      <c r="G55" s="572"/>
      <c r="H55" s="552"/>
      <c r="I55" s="561"/>
      <c r="J55" s="534"/>
      <c r="K55" s="572"/>
      <c r="L55" s="552"/>
      <c r="M55" s="561"/>
      <c r="N55" s="561"/>
      <c r="O55" s="572"/>
      <c r="P55" s="573"/>
      <c r="Q55" s="561"/>
      <c r="R55" s="561"/>
      <c r="S55" s="572"/>
      <c r="T55" s="573"/>
      <c r="U55" s="561"/>
      <c r="V55" s="561"/>
      <c r="W55" s="572"/>
      <c r="X55" s="573"/>
      <c r="Y55" s="573">
        <f t="shared" si="8"/>
        <v>0</v>
      </c>
    </row>
    <row r="56" spans="1:25" ht="20.25" customHeight="1">
      <c r="A56" s="535" t="s">
        <v>659</v>
      </c>
      <c r="B56" s="536" t="s">
        <v>660</v>
      </c>
      <c r="C56" s="572"/>
      <c r="D56" s="552"/>
      <c r="E56" s="561"/>
      <c r="F56" s="534"/>
      <c r="G56" s="572"/>
      <c r="H56" s="552"/>
      <c r="I56" s="561"/>
      <c r="J56" s="534"/>
      <c r="K56" s="572"/>
      <c r="L56" s="552"/>
      <c r="M56" s="561"/>
      <c r="N56" s="561"/>
      <c r="O56" s="572"/>
      <c r="P56" s="573"/>
      <c r="Q56" s="561"/>
      <c r="R56" s="561"/>
      <c r="S56" s="572"/>
      <c r="T56" s="573"/>
      <c r="U56" s="561"/>
      <c r="V56" s="561"/>
      <c r="W56" s="572">
        <f t="shared" ref="W56:X60" si="10">+M56+O56+Q56+S56+U56</f>
        <v>0</v>
      </c>
      <c r="X56" s="573">
        <f t="shared" si="10"/>
        <v>0</v>
      </c>
      <c r="Y56" s="573">
        <f t="shared" si="8"/>
        <v>0</v>
      </c>
    </row>
    <row r="57" spans="1:25" ht="19.5" customHeight="1">
      <c r="A57" s="535" t="s">
        <v>653</v>
      </c>
      <c r="B57" s="536" t="s">
        <v>673</v>
      </c>
      <c r="C57" s="572"/>
      <c r="D57" s="552"/>
      <c r="E57" s="561"/>
      <c r="F57" s="534"/>
      <c r="G57" s="572"/>
      <c r="H57" s="552"/>
      <c r="I57" s="561"/>
      <c r="J57" s="534"/>
      <c r="K57" s="572"/>
      <c r="L57" s="552"/>
      <c r="M57" s="561"/>
      <c r="N57" s="561"/>
      <c r="O57" s="572"/>
      <c r="P57" s="573">
        <v>1</v>
      </c>
      <c r="Q57" s="561">
        <v>1</v>
      </c>
      <c r="R57" s="561"/>
      <c r="S57" s="572">
        <v>1</v>
      </c>
      <c r="T57" s="573">
        <v>1</v>
      </c>
      <c r="U57" s="561"/>
      <c r="V57" s="561">
        <v>2</v>
      </c>
      <c r="W57" s="572">
        <f t="shared" si="10"/>
        <v>2</v>
      </c>
      <c r="X57" s="573">
        <f t="shared" si="10"/>
        <v>4</v>
      </c>
      <c r="Y57" s="573">
        <f t="shared" si="8"/>
        <v>6</v>
      </c>
    </row>
    <row r="58" spans="1:25" ht="19.5" customHeight="1">
      <c r="A58" s="535" t="s">
        <v>645</v>
      </c>
      <c r="B58" s="539" t="s">
        <v>208</v>
      </c>
      <c r="C58" s="572"/>
      <c r="D58" s="552"/>
      <c r="E58" s="561"/>
      <c r="F58" s="534"/>
      <c r="G58" s="572"/>
      <c r="H58" s="552"/>
      <c r="I58" s="561"/>
      <c r="J58" s="534"/>
      <c r="K58" s="572"/>
      <c r="L58" s="552"/>
      <c r="M58" s="561"/>
      <c r="N58" s="561"/>
      <c r="O58" s="572"/>
      <c r="P58" s="573"/>
      <c r="Q58" s="561">
        <v>4</v>
      </c>
      <c r="R58" s="561"/>
      <c r="S58" s="572"/>
      <c r="T58" s="573"/>
      <c r="U58" s="561"/>
      <c r="V58" s="561">
        <v>2</v>
      </c>
      <c r="W58" s="572">
        <f t="shared" si="10"/>
        <v>4</v>
      </c>
      <c r="X58" s="573">
        <f t="shared" si="10"/>
        <v>2</v>
      </c>
      <c r="Y58" s="573">
        <f t="shared" si="8"/>
        <v>6</v>
      </c>
    </row>
    <row r="59" spans="1:25" ht="19.5" customHeight="1">
      <c r="A59" s="181" t="s">
        <v>1437</v>
      </c>
      <c r="B59" s="211" t="s">
        <v>1439</v>
      </c>
      <c r="C59" s="572"/>
      <c r="D59" s="552"/>
      <c r="E59" s="561"/>
      <c r="F59" s="534"/>
      <c r="G59" s="572"/>
      <c r="H59" s="552"/>
      <c r="I59" s="561"/>
      <c r="J59" s="534"/>
      <c r="K59" s="572"/>
      <c r="L59" s="552"/>
      <c r="M59" s="561"/>
      <c r="N59" s="561"/>
      <c r="O59" s="572"/>
      <c r="P59" s="573"/>
      <c r="Q59" s="561"/>
      <c r="R59" s="561"/>
      <c r="S59" s="572"/>
      <c r="T59" s="573"/>
      <c r="U59" s="561"/>
      <c r="V59" s="561"/>
      <c r="W59" s="572">
        <f t="shared" si="10"/>
        <v>0</v>
      </c>
      <c r="X59" s="573">
        <f t="shared" si="10"/>
        <v>0</v>
      </c>
      <c r="Y59" s="573">
        <f t="shared" si="8"/>
        <v>0</v>
      </c>
    </row>
    <row r="60" spans="1:25" ht="27.75" customHeight="1">
      <c r="A60" s="181" t="s">
        <v>1438</v>
      </c>
      <c r="B60" s="211" t="s">
        <v>1440</v>
      </c>
      <c r="C60" s="572"/>
      <c r="D60" s="552"/>
      <c r="E60" s="561"/>
      <c r="F60" s="534"/>
      <c r="G60" s="572"/>
      <c r="H60" s="552"/>
      <c r="I60" s="561"/>
      <c r="J60" s="534"/>
      <c r="K60" s="572"/>
      <c r="L60" s="552"/>
      <c r="M60" s="561"/>
      <c r="N60" s="561"/>
      <c r="O60" s="572"/>
      <c r="P60" s="573"/>
      <c r="Q60" s="561"/>
      <c r="R60" s="561"/>
      <c r="S60" s="572"/>
      <c r="T60" s="573"/>
      <c r="U60" s="561"/>
      <c r="V60" s="561"/>
      <c r="W60" s="572">
        <f t="shared" si="10"/>
        <v>0</v>
      </c>
      <c r="X60" s="573">
        <f t="shared" si="10"/>
        <v>0</v>
      </c>
      <c r="Y60" s="1231">
        <f>SUM(W60:X60)</f>
        <v>0</v>
      </c>
    </row>
    <row r="61" spans="1:25" ht="19.5" customHeight="1">
      <c r="A61" s="540"/>
      <c r="B61" s="540" t="s">
        <v>767</v>
      </c>
      <c r="C61" s="1219">
        <f>SUM(C41:C60)</f>
        <v>0</v>
      </c>
      <c r="D61" s="1221">
        <f>SUM(D41:D60)</f>
        <v>0</v>
      </c>
      <c r="E61" s="1220">
        <f>SUM(E41:E60)</f>
        <v>0</v>
      </c>
      <c r="F61" s="1220">
        <f t="shared" ref="F61:X61" si="11">SUM(F41:F60)</f>
        <v>0</v>
      </c>
      <c r="G61" s="1219">
        <f t="shared" si="11"/>
        <v>0</v>
      </c>
      <c r="H61" s="1221">
        <f t="shared" si="11"/>
        <v>0</v>
      </c>
      <c r="I61" s="1220">
        <f t="shared" si="11"/>
        <v>0</v>
      </c>
      <c r="J61" s="1220">
        <f t="shared" si="11"/>
        <v>0</v>
      </c>
      <c r="K61" s="1219">
        <f t="shared" si="11"/>
        <v>0</v>
      </c>
      <c r="L61" s="1221">
        <f t="shared" si="11"/>
        <v>0</v>
      </c>
      <c r="M61" s="1220">
        <f t="shared" si="11"/>
        <v>1</v>
      </c>
      <c r="N61" s="1220">
        <f t="shared" si="11"/>
        <v>0</v>
      </c>
      <c r="O61" s="1219">
        <f t="shared" si="11"/>
        <v>26</v>
      </c>
      <c r="P61" s="1221">
        <f t="shared" si="11"/>
        <v>53</v>
      </c>
      <c r="Q61" s="1220">
        <f t="shared" si="11"/>
        <v>205</v>
      </c>
      <c r="R61" s="1220">
        <f t="shared" si="11"/>
        <v>125</v>
      </c>
      <c r="S61" s="1219">
        <f t="shared" si="11"/>
        <v>70</v>
      </c>
      <c r="T61" s="1221">
        <f t="shared" si="11"/>
        <v>59</v>
      </c>
      <c r="U61" s="1220">
        <f t="shared" si="11"/>
        <v>16</v>
      </c>
      <c r="V61" s="1220">
        <f t="shared" si="11"/>
        <v>20</v>
      </c>
      <c r="W61" s="1219">
        <f t="shared" si="11"/>
        <v>318</v>
      </c>
      <c r="X61" s="1221">
        <f t="shared" si="11"/>
        <v>257</v>
      </c>
      <c r="Y61" s="1222">
        <f>SUM(Y41:Y60)</f>
        <v>575</v>
      </c>
    </row>
  </sheetData>
  <mergeCells count="22">
    <mergeCell ref="M39:N39"/>
    <mergeCell ref="C38:V38"/>
    <mergeCell ref="A32:Y32"/>
    <mergeCell ref="A34:Y34"/>
    <mergeCell ref="A36:Y36"/>
    <mergeCell ref="O39:P39"/>
    <mergeCell ref="Q39:R39"/>
    <mergeCell ref="S39:T39"/>
    <mergeCell ref="U39:V39"/>
    <mergeCell ref="W39:Y39"/>
    <mergeCell ref="C39:D39"/>
    <mergeCell ref="E39:F39"/>
    <mergeCell ref="G39:H39"/>
    <mergeCell ref="I39:J39"/>
    <mergeCell ref="K39:L39"/>
    <mergeCell ref="E8:F8"/>
    <mergeCell ref="AC8:AE8"/>
    <mergeCell ref="M8:N8"/>
    <mergeCell ref="C8:D8"/>
    <mergeCell ref="A1:AE1"/>
    <mergeCell ref="A3:AE3"/>
    <mergeCell ref="A5:AE5"/>
  </mergeCells>
  <phoneticPr fontId="18" type="noConversion"/>
  <pageMargins left="1.7716535433070868" right="0.78740157480314965" top="1.1811023622047245" bottom="1.1811023622047245" header="0.51181102362204722" footer="0.51181102362204722"/>
  <pageSetup paperSize="5" scale="60" orientation="landscape"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2" tint="-0.249977111117893"/>
  </sheetPr>
  <dimension ref="B1:D115"/>
  <sheetViews>
    <sheetView topLeftCell="A19" zoomScaleNormal="100" workbookViewId="0">
      <selection activeCell="D13" sqref="D13"/>
    </sheetView>
  </sheetViews>
  <sheetFormatPr baseColWidth="10" defaultColWidth="11.42578125" defaultRowHeight="12.75"/>
  <cols>
    <col min="1" max="1" width="0.5703125" style="588" customWidth="1"/>
    <col min="2" max="2" width="42.5703125" style="589" customWidth="1"/>
    <col min="3" max="3" width="3.28515625" style="589" bestFit="1" customWidth="1"/>
    <col min="4" max="4" width="61" style="590" customWidth="1"/>
    <col min="5" max="16384" width="11.42578125" style="588"/>
  </cols>
  <sheetData>
    <row r="1" spans="2:4" ht="28.15" customHeight="1">
      <c r="B1" s="746"/>
      <c r="C1" s="1050"/>
      <c r="D1" s="747" t="s">
        <v>218</v>
      </c>
    </row>
    <row r="2" spans="2:4">
      <c r="B2" s="738"/>
      <c r="C2" s="1051"/>
      <c r="D2" s="739"/>
    </row>
    <row r="3" spans="2:4" ht="63.75">
      <c r="B3" s="743" t="s">
        <v>1522</v>
      </c>
      <c r="C3" s="1056" t="s">
        <v>1499</v>
      </c>
      <c r="D3" s="741" t="s">
        <v>219</v>
      </c>
    </row>
    <row r="4" spans="2:4">
      <c r="B4" s="738"/>
      <c r="C4" s="1051"/>
      <c r="D4" s="741"/>
    </row>
    <row r="5" spans="2:4">
      <c r="B5" s="734" t="s">
        <v>1523</v>
      </c>
      <c r="C5" s="1056" t="s">
        <v>1499</v>
      </c>
      <c r="D5" s="741" t="s">
        <v>220</v>
      </c>
    </row>
    <row r="6" spans="2:4">
      <c r="B6" s="734"/>
      <c r="C6" s="1052"/>
      <c r="D6" s="742"/>
    </row>
    <row r="7" spans="2:4">
      <c r="B7" s="734" t="s">
        <v>1524</v>
      </c>
      <c r="C7" s="1056" t="s">
        <v>1499</v>
      </c>
      <c r="D7" s="741" t="s">
        <v>221</v>
      </c>
    </row>
    <row r="8" spans="2:4">
      <c r="B8" s="734"/>
      <c r="C8" s="1052"/>
      <c r="D8" s="742"/>
    </row>
    <row r="9" spans="2:4">
      <c r="B9" s="734" t="s">
        <v>1525</v>
      </c>
      <c r="C9" s="1056" t="s">
        <v>1499</v>
      </c>
      <c r="D9" s="741" t="s">
        <v>222</v>
      </c>
    </row>
    <row r="10" spans="2:4">
      <c r="B10" s="734"/>
      <c r="C10" s="1052"/>
      <c r="D10" s="742"/>
    </row>
    <row r="11" spans="2:4" ht="25.5">
      <c r="B11" s="740" t="s">
        <v>1526</v>
      </c>
      <c r="C11" s="1056" t="s">
        <v>1499</v>
      </c>
      <c r="D11" s="741" t="s">
        <v>223</v>
      </c>
    </row>
    <row r="12" spans="2:4">
      <c r="B12" s="740"/>
      <c r="C12" s="1053"/>
      <c r="D12" s="742"/>
    </row>
    <row r="13" spans="2:4" ht="25.5">
      <c r="B13" s="743" t="s">
        <v>1605</v>
      </c>
      <c r="C13" s="1056" t="s">
        <v>1499</v>
      </c>
      <c r="D13" s="741" t="s">
        <v>224</v>
      </c>
    </row>
    <row r="14" spans="2:4">
      <c r="B14" s="743"/>
      <c r="C14" s="1054"/>
      <c r="D14" s="742"/>
    </row>
    <row r="15" spans="2:4" ht="25.5">
      <c r="B15" s="740" t="s">
        <v>1527</v>
      </c>
      <c r="C15" s="1056" t="s">
        <v>1499</v>
      </c>
      <c r="D15" s="741" t="s">
        <v>225</v>
      </c>
    </row>
    <row r="16" spans="2:4">
      <c r="B16" s="740"/>
      <c r="C16" s="1053"/>
      <c r="D16" s="742"/>
    </row>
    <row r="17" spans="2:4">
      <c r="B17" s="734" t="s">
        <v>1528</v>
      </c>
      <c r="C17" s="1056" t="s">
        <v>1499</v>
      </c>
      <c r="D17" s="741" t="s">
        <v>226</v>
      </c>
    </row>
    <row r="18" spans="2:4">
      <c r="B18" s="734"/>
      <c r="C18" s="1052"/>
      <c r="D18" s="742"/>
    </row>
    <row r="19" spans="2:4" ht="25.5">
      <c r="B19" s="734" t="s">
        <v>1529</v>
      </c>
      <c r="C19" s="1056" t="s">
        <v>1499</v>
      </c>
      <c r="D19" s="741" t="s">
        <v>227</v>
      </c>
    </row>
    <row r="20" spans="2:4">
      <c r="B20" s="734"/>
      <c r="C20" s="1052"/>
      <c r="D20" s="742"/>
    </row>
    <row r="21" spans="2:4">
      <c r="B21" s="740" t="s">
        <v>1530</v>
      </c>
      <c r="C21" s="1056" t="s">
        <v>1499</v>
      </c>
      <c r="D21" s="742" t="s">
        <v>228</v>
      </c>
    </row>
    <row r="22" spans="2:4">
      <c r="B22" s="740"/>
      <c r="C22" s="1053"/>
      <c r="D22" s="742"/>
    </row>
    <row r="23" spans="2:4" ht="25.5">
      <c r="B23" s="734" t="s">
        <v>1531</v>
      </c>
      <c r="C23" s="1056" t="s">
        <v>1499</v>
      </c>
      <c r="D23" s="742" t="s">
        <v>229</v>
      </c>
    </row>
    <row r="24" spans="2:4">
      <c r="B24" s="734"/>
      <c r="C24" s="1052"/>
      <c r="D24" s="742"/>
    </row>
    <row r="25" spans="2:4">
      <c r="B25" s="734" t="s">
        <v>1532</v>
      </c>
      <c r="C25" s="1056" t="s">
        <v>1499</v>
      </c>
      <c r="D25" s="741" t="s">
        <v>230</v>
      </c>
    </row>
    <row r="26" spans="2:4">
      <c r="B26" s="734"/>
      <c r="C26" s="1052"/>
      <c r="D26" s="742"/>
    </row>
    <row r="27" spans="2:4" ht="25.5">
      <c r="B27" s="740" t="s">
        <v>1533</v>
      </c>
      <c r="C27" s="1056" t="s">
        <v>1499</v>
      </c>
      <c r="D27" s="742" t="s">
        <v>241</v>
      </c>
    </row>
    <row r="28" spans="2:4">
      <c r="B28" s="740"/>
      <c r="C28" s="1053"/>
      <c r="D28" s="742"/>
    </row>
    <row r="29" spans="2:4" ht="51">
      <c r="B29" s="740" t="s">
        <v>1534</v>
      </c>
      <c r="C29" s="1056" t="s">
        <v>1499</v>
      </c>
      <c r="D29" s="741" t="s">
        <v>242</v>
      </c>
    </row>
    <row r="30" spans="2:4">
      <c r="B30" s="740"/>
      <c r="C30" s="1053"/>
      <c r="D30" s="742"/>
    </row>
    <row r="31" spans="2:4" ht="38.25">
      <c r="B31" s="740" t="s">
        <v>1535</v>
      </c>
      <c r="C31" s="1056" t="s">
        <v>1499</v>
      </c>
      <c r="D31" s="741" t="s">
        <v>243</v>
      </c>
    </row>
    <row r="32" spans="2:4">
      <c r="B32" s="740"/>
      <c r="C32" s="1053"/>
      <c r="D32" s="742"/>
    </row>
    <row r="33" spans="2:4" ht="25.5">
      <c r="B33" s="740" t="s">
        <v>1521</v>
      </c>
      <c r="C33" s="1056" t="s">
        <v>1499</v>
      </c>
      <c r="D33" s="741" t="s">
        <v>244</v>
      </c>
    </row>
    <row r="34" spans="2:4">
      <c r="B34" s="740"/>
      <c r="C34" s="1053"/>
      <c r="D34" s="742"/>
    </row>
    <row r="35" spans="2:4" ht="25.5">
      <c r="B35" s="740" t="s">
        <v>1520</v>
      </c>
      <c r="C35" s="1056" t="s">
        <v>1499</v>
      </c>
      <c r="D35" s="741" t="s">
        <v>245</v>
      </c>
    </row>
    <row r="36" spans="2:4">
      <c r="B36" s="740"/>
      <c r="C36" s="1053"/>
      <c r="D36" s="742"/>
    </row>
    <row r="37" spans="2:4" ht="51">
      <c r="B37" s="740" t="s">
        <v>1500</v>
      </c>
      <c r="C37" s="1056" t="s">
        <v>1499</v>
      </c>
      <c r="D37" s="741" t="s">
        <v>246</v>
      </c>
    </row>
    <row r="38" spans="2:4">
      <c r="B38" s="740"/>
      <c r="C38" s="1053"/>
      <c r="D38" s="742"/>
    </row>
    <row r="39" spans="2:4" ht="25.5">
      <c r="B39" s="740" t="s">
        <v>1501</v>
      </c>
      <c r="C39" s="1056" t="s">
        <v>1499</v>
      </c>
      <c r="D39" s="741" t="s">
        <v>247</v>
      </c>
    </row>
    <row r="40" spans="2:4">
      <c r="B40" s="740"/>
      <c r="C40" s="1053"/>
      <c r="D40" s="742"/>
    </row>
    <row r="41" spans="2:4" ht="25.5">
      <c r="B41" s="740" t="s">
        <v>1519</v>
      </c>
      <c r="C41" s="1056" t="s">
        <v>1499</v>
      </c>
      <c r="D41" s="741" t="s">
        <v>248</v>
      </c>
    </row>
    <row r="42" spans="2:4">
      <c r="B42" s="740"/>
      <c r="C42" s="1053"/>
      <c r="D42" s="742"/>
    </row>
    <row r="43" spans="2:4" ht="25.5">
      <c r="B43" s="740" t="s">
        <v>1518</v>
      </c>
      <c r="C43" s="1056" t="s">
        <v>1499</v>
      </c>
      <c r="D43" s="741" t="s">
        <v>249</v>
      </c>
    </row>
    <row r="44" spans="2:4">
      <c r="B44" s="740"/>
      <c r="C44" s="1053"/>
      <c r="D44" s="742"/>
    </row>
    <row r="45" spans="2:4">
      <c r="B45" s="734" t="s">
        <v>1517</v>
      </c>
      <c r="C45" s="1056" t="s">
        <v>1499</v>
      </c>
      <c r="D45" s="741" t="s">
        <v>1052</v>
      </c>
    </row>
    <row r="46" spans="2:4">
      <c r="B46" s="734"/>
      <c r="C46" s="1052"/>
      <c r="D46" s="742"/>
    </row>
    <row r="47" spans="2:4" ht="25.5">
      <c r="B47" s="740" t="s">
        <v>1516</v>
      </c>
      <c r="C47" s="1056" t="s">
        <v>1499</v>
      </c>
      <c r="D47" s="741" t="s">
        <v>250</v>
      </c>
    </row>
    <row r="48" spans="2:4">
      <c r="B48" s="740"/>
      <c r="C48" s="1053"/>
      <c r="D48" s="742"/>
    </row>
    <row r="49" spans="2:4" ht="38.25">
      <c r="B49" s="740" t="s">
        <v>1515</v>
      </c>
      <c r="C49" s="1056" t="s">
        <v>1499</v>
      </c>
      <c r="D49" s="741" t="s">
        <v>1123</v>
      </c>
    </row>
    <row r="50" spans="2:4">
      <c r="B50" s="740"/>
      <c r="C50" s="1053"/>
      <c r="D50" s="742"/>
    </row>
    <row r="51" spans="2:4" ht="25.5">
      <c r="B51" s="740" t="s">
        <v>1498</v>
      </c>
      <c r="C51" s="1056" t="s">
        <v>1499</v>
      </c>
      <c r="D51" s="741" t="s">
        <v>1537</v>
      </c>
    </row>
    <row r="52" spans="2:4">
      <c r="B52" s="740"/>
      <c r="C52" s="1053"/>
      <c r="D52" s="742"/>
    </row>
    <row r="53" spans="2:4">
      <c r="B53" s="734" t="s">
        <v>1514</v>
      </c>
      <c r="C53" s="1056" t="s">
        <v>1499</v>
      </c>
      <c r="D53" s="741" t="s">
        <v>251</v>
      </c>
    </row>
    <row r="54" spans="2:4">
      <c r="B54" s="734"/>
      <c r="C54" s="1052"/>
      <c r="D54" s="742"/>
    </row>
    <row r="55" spans="2:4">
      <c r="B55" s="734" t="s">
        <v>1513</v>
      </c>
      <c r="C55" s="1056" t="s">
        <v>1499</v>
      </c>
      <c r="D55" s="741" t="s">
        <v>252</v>
      </c>
    </row>
    <row r="56" spans="2:4">
      <c r="B56" s="734"/>
      <c r="C56" s="1052"/>
      <c r="D56" s="742"/>
    </row>
    <row r="57" spans="2:4">
      <c r="B57" s="740" t="s">
        <v>1512</v>
      </c>
      <c r="C57" s="1056" t="s">
        <v>1499</v>
      </c>
      <c r="D57" s="741" t="s">
        <v>253</v>
      </c>
    </row>
    <row r="58" spans="2:4">
      <c r="B58" s="740"/>
      <c r="C58" s="1053"/>
      <c r="D58" s="742"/>
    </row>
    <row r="59" spans="2:4" ht="25.5">
      <c r="B59" s="740" t="s">
        <v>1511</v>
      </c>
      <c r="C59" s="1056" t="s">
        <v>1499</v>
      </c>
      <c r="D59" s="741" t="s">
        <v>254</v>
      </c>
    </row>
    <row r="60" spans="2:4">
      <c r="B60" s="740"/>
      <c r="C60" s="1053"/>
      <c r="D60" s="742"/>
    </row>
    <row r="61" spans="2:4" ht="25.5">
      <c r="B61" s="740" t="s">
        <v>1510</v>
      </c>
      <c r="C61" s="1056" t="s">
        <v>1499</v>
      </c>
      <c r="D61" s="741" t="s">
        <v>259</v>
      </c>
    </row>
    <row r="62" spans="2:4">
      <c r="B62" s="740"/>
      <c r="C62" s="1053"/>
      <c r="D62" s="741"/>
    </row>
    <row r="63" spans="2:4" ht="51">
      <c r="B63" s="740" t="s">
        <v>1509</v>
      </c>
      <c r="C63" s="1056" t="s">
        <v>1499</v>
      </c>
      <c r="D63" s="741" t="s">
        <v>1040</v>
      </c>
    </row>
    <row r="64" spans="2:4">
      <c r="B64" s="740"/>
      <c r="C64" s="1053"/>
      <c r="D64" s="742"/>
    </row>
    <row r="65" spans="2:4" ht="25.5">
      <c r="B65" s="740" t="s">
        <v>1508</v>
      </c>
      <c r="C65" s="1056" t="s">
        <v>1499</v>
      </c>
      <c r="D65" s="741" t="s">
        <v>260</v>
      </c>
    </row>
    <row r="66" spans="2:4">
      <c r="B66" s="740"/>
      <c r="C66" s="1053"/>
      <c r="D66" s="742"/>
    </row>
    <row r="67" spans="2:4" ht="25.5">
      <c r="B67" s="740" t="s">
        <v>1507</v>
      </c>
      <c r="C67" s="1056" t="s">
        <v>1499</v>
      </c>
      <c r="D67" s="741" t="s">
        <v>261</v>
      </c>
    </row>
    <row r="68" spans="2:4">
      <c r="B68" s="740"/>
      <c r="C68" s="1053"/>
      <c r="D68" s="742"/>
    </row>
    <row r="69" spans="2:4" ht="25.5">
      <c r="B69" s="740" t="s">
        <v>1506</v>
      </c>
      <c r="C69" s="1056" t="s">
        <v>1499</v>
      </c>
      <c r="D69" s="741" t="s">
        <v>262</v>
      </c>
    </row>
    <row r="70" spans="2:4">
      <c r="B70" s="740"/>
      <c r="C70" s="1053"/>
      <c r="D70" s="742"/>
    </row>
    <row r="71" spans="2:4">
      <c r="B71" s="734" t="s">
        <v>1505</v>
      </c>
      <c r="C71" s="1056" t="s">
        <v>1499</v>
      </c>
      <c r="D71" s="741" t="s">
        <v>263</v>
      </c>
    </row>
    <row r="72" spans="2:4">
      <c r="B72" s="734"/>
      <c r="C72" s="1052"/>
      <c r="D72" s="741"/>
    </row>
    <row r="73" spans="2:4" ht="25.5">
      <c r="B73" s="740" t="s">
        <v>1504</v>
      </c>
      <c r="C73" s="1056" t="s">
        <v>1499</v>
      </c>
      <c r="D73" s="741" t="s">
        <v>267</v>
      </c>
    </row>
    <row r="74" spans="2:4">
      <c r="B74" s="734"/>
      <c r="C74" s="1052"/>
      <c r="D74" s="741"/>
    </row>
    <row r="75" spans="2:4" ht="38.25">
      <c r="B75" s="740" t="s">
        <v>1503</v>
      </c>
      <c r="C75" s="1056" t="s">
        <v>1499</v>
      </c>
      <c r="D75" s="879" t="s">
        <v>1277</v>
      </c>
    </row>
    <row r="76" spans="2:4" ht="89.25">
      <c r="B76" s="740" t="s">
        <v>1502</v>
      </c>
      <c r="C76" s="1056" t="s">
        <v>1499</v>
      </c>
      <c r="D76" s="741" t="s">
        <v>1411</v>
      </c>
    </row>
    <row r="77" spans="2:4" ht="52.5" customHeight="1">
      <c r="B77" s="740"/>
      <c r="C77" s="1053"/>
      <c r="D77" s="741"/>
    </row>
    <row r="78" spans="2:4" ht="52.5" customHeight="1">
      <c r="B78" s="740"/>
      <c r="C78" s="1053"/>
      <c r="D78" s="741"/>
    </row>
    <row r="79" spans="2:4" ht="52.5" customHeight="1">
      <c r="B79" s="740"/>
      <c r="C79" s="1053"/>
      <c r="D79" s="741"/>
    </row>
    <row r="80" spans="2:4">
      <c r="B80" s="738"/>
      <c r="C80" s="1051"/>
      <c r="D80" s="739"/>
    </row>
    <row r="81" spans="2:4">
      <c r="B81" s="744"/>
      <c r="C81" s="1055"/>
      <c r="D81" s="745"/>
    </row>
    <row r="82" spans="2:4">
      <c r="B82" s="592"/>
      <c r="C82" s="592"/>
      <c r="D82" s="593"/>
    </row>
    <row r="92" spans="2:4">
      <c r="B92" s="592"/>
      <c r="C92" s="592"/>
      <c r="D92" s="593"/>
    </row>
    <row r="93" spans="2:4" ht="26.25" customHeight="1"/>
    <row r="107" spans="2:4" s="2" customFormat="1">
      <c r="B107" s="589"/>
      <c r="C107" s="589"/>
      <c r="D107" s="590"/>
    </row>
    <row r="115" ht="26.25" customHeight="1"/>
  </sheetData>
  <phoneticPr fontId="18" type="noConversion"/>
  <pageMargins left="1.04" right="0.59055118110236227" top="1.3779527559055118" bottom="1.7716535433070868" header="0.51181102362204722" footer="0.51181102362204722"/>
  <pageSetup paperSize="14" scale="83"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95</vt:i4>
      </vt:variant>
      <vt:variant>
        <vt:lpstr>Rangos con nombre</vt:lpstr>
      </vt:variant>
      <vt:variant>
        <vt:i4>38</vt:i4>
      </vt:variant>
    </vt:vector>
  </HeadingPairs>
  <TitlesOfParts>
    <vt:vector size="133" baseType="lpstr">
      <vt:lpstr>INDICE</vt:lpstr>
      <vt:lpstr>PROLOGO</vt:lpstr>
      <vt:lpstr>CAP I INF. BASICA</vt:lpstr>
      <vt:lpstr>2</vt:lpstr>
      <vt:lpstr>3</vt:lpstr>
      <vt:lpstr>4</vt:lpstr>
      <vt:lpstr>5</vt:lpstr>
      <vt:lpstr>6</vt:lpstr>
      <vt:lpstr>7</vt:lpstr>
      <vt:lpstr>8</vt:lpstr>
      <vt:lpstr>9</vt:lpstr>
      <vt:lpstr>10</vt:lpstr>
      <vt:lpstr>11</vt:lpstr>
      <vt:lpstr>12</vt:lpstr>
      <vt:lpstr>13</vt:lpstr>
      <vt:lpstr>14</vt:lpstr>
      <vt:lpstr>15</vt:lpstr>
      <vt:lpstr>CAP II  IND BIODEM</vt:lpstr>
      <vt:lpstr>18</vt:lpstr>
      <vt:lpstr>19</vt:lpstr>
      <vt:lpstr>20</vt:lpstr>
      <vt:lpstr>21</vt:lpstr>
      <vt:lpstr>22</vt:lpstr>
      <vt:lpstr>23</vt:lpstr>
      <vt:lpstr>24</vt:lpstr>
      <vt:lpstr>25</vt:lpstr>
      <vt:lpstr>26</vt:lpstr>
      <vt:lpstr>27</vt:lpstr>
      <vt:lpstr>28</vt:lpstr>
      <vt:lpstr>29</vt:lpstr>
      <vt:lpstr>30</vt:lpstr>
      <vt:lpstr>31</vt:lpstr>
      <vt:lpstr>CAP III ACTIVIDADES</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GLOSARIO</vt:lpstr>
      <vt:lpstr>'76'!A_impresión_IM</vt:lpstr>
      <vt:lpstr>'77'!A_impresión_IM</vt:lpstr>
      <vt:lpstr>'78'!A_impresión_IM</vt:lpstr>
      <vt:lpstr>'80'!A_impresión_IM</vt:lpstr>
      <vt:lpstr>'81'!A_impresión_IM</vt:lpstr>
      <vt:lpstr>'82'!A_impresión_IM</vt:lpstr>
      <vt:lpstr>'10'!Área_de_impresión</vt:lpstr>
      <vt:lpstr>'12'!Área_de_impresión</vt:lpstr>
      <vt:lpstr>'13'!Área_de_impresión</vt:lpstr>
      <vt:lpstr>'29'!Área_de_impresión</vt:lpstr>
      <vt:lpstr>'34'!Área_de_impresión</vt:lpstr>
      <vt:lpstr>'38'!Área_de_impresión</vt:lpstr>
      <vt:lpstr>'6'!Área_de_impresión</vt:lpstr>
      <vt:lpstr>'61'!Área_de_impresión</vt:lpstr>
      <vt:lpstr>'66'!Área_de_impresión</vt:lpstr>
      <vt:lpstr>'69'!Área_de_impresión</vt:lpstr>
      <vt:lpstr>'70'!Área_de_impresión</vt:lpstr>
      <vt:lpstr>'71'!Área_de_impresión</vt:lpstr>
      <vt:lpstr>'73'!Área_de_impresión</vt:lpstr>
      <vt:lpstr>'78'!Área_de_impresión</vt:lpstr>
      <vt:lpstr>'80'!Área_de_impresión</vt:lpstr>
      <vt:lpstr>'81'!Área_de_impresión</vt:lpstr>
      <vt:lpstr>'82'!Área_de_impresión</vt:lpstr>
      <vt:lpstr>'83'!Área_de_impresión</vt:lpstr>
      <vt:lpstr>'84'!Área_de_impresión</vt:lpstr>
      <vt:lpstr>'85'!Área_de_impresión</vt:lpstr>
      <vt:lpstr>'86'!Área_de_impresión</vt:lpstr>
      <vt:lpstr>'87'!Área_de_impresión</vt:lpstr>
      <vt:lpstr>'88'!Área_de_impresión</vt:lpstr>
      <vt:lpstr>'CAP II  IND BIODEM'!Área_de_impresión</vt:lpstr>
      <vt:lpstr>'CAP III ACTIVIDADES'!Área_de_impresión</vt:lpstr>
      <vt:lpstr>GLOSARIO!Área_de_impresión</vt:lpstr>
      <vt:lpstr>'76'!TOTAL</vt:lpstr>
      <vt:lpstr>'77'!TOTAL</vt:lpstr>
      <vt:lpstr>'78'!TOTAL</vt:lpstr>
      <vt:lpstr>'80'!TOTAL</vt:lpstr>
      <vt:lpstr>'81'!TOTAL</vt:lpstr>
      <vt:lpstr>'82'!TOTAL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 End User</dc:creator>
  <cp:lastModifiedBy>Milena Mira</cp:lastModifiedBy>
  <cp:lastPrinted>2024-09-25T17:59:53Z</cp:lastPrinted>
  <dcterms:created xsi:type="dcterms:W3CDTF">2002-03-10T16:08:46Z</dcterms:created>
  <dcterms:modified xsi:type="dcterms:W3CDTF">2024-09-26T18:12:40Z</dcterms:modified>
</cp:coreProperties>
</file>